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3.xml" ContentType="application/vnd.openxmlformats-officedocument.spreadsheetml.table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tables/table4.xml" ContentType="application/vnd.openxmlformats-officedocument.spreadsheetml.table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tables/table5.xml" ContentType="application/vnd.openxmlformats-officedocument.spreadsheetml.table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omments5.xml" ContentType="application/vnd.openxmlformats-officedocument.spreadsheetml.comments+xml"/>
  <Override PartName="/xl/tables/table14.xml" ContentType="application/vnd.openxmlformats-officedocument.spreadsheetml.table+xml"/>
  <Override PartName="/xl/comments6.xml" ContentType="application/vnd.openxmlformats-officedocument.spreadsheetml.comments+xml"/>
  <Override PartName="/xl/tables/table15.xml" ContentType="application/vnd.openxmlformats-officedocument.spreadsheetml.table+xml"/>
  <Override PartName="/xl/comments7.xml" ContentType="application/vnd.openxmlformats-officedocument.spreadsheetml.comments+xml"/>
  <Override PartName="/xl/tables/table16.xml" ContentType="application/vnd.openxmlformats-officedocument.spreadsheetml.table+xml"/>
  <Override PartName="/xl/comments8.xml" ContentType="application/vnd.openxmlformats-officedocument.spreadsheetml.comments+xml"/>
  <Override PartName="/xl/tables/table17.xml" ContentType="application/vnd.openxmlformats-officedocument.spreadsheetml.table+xml"/>
  <Override PartName="/xl/comments9.xml" ContentType="application/vnd.openxmlformats-officedocument.spreadsheetml.comments+xml"/>
  <Override PartName="/xl/tables/table18.xml" ContentType="application/vnd.openxmlformats-officedocument.spreadsheetml.table+xml"/>
  <Override PartName="/xl/comments10.xml" ContentType="application/vnd.openxmlformats-officedocument.spreadsheetml.comments+xml"/>
  <Override PartName="/xl/tables/table19.xml" ContentType="application/vnd.openxmlformats-officedocument.spreadsheetml.table+xml"/>
  <Override PartName="/xl/comments11.xml" ContentType="application/vnd.openxmlformats-officedocument.spreadsheetml.comments+xml"/>
  <Override PartName="/xl/tables/table20.xml" ContentType="application/vnd.openxmlformats-officedocument.spreadsheetml.table+xml"/>
  <Override PartName="/xl/comments12.xml" ContentType="application/vnd.openxmlformats-officedocument.spreadsheetml.comments+xml"/>
  <Override PartName="/xl/tables/table21.xml" ContentType="application/vnd.openxmlformats-officedocument.spreadsheetml.table+xml"/>
  <Override PartName="/xl/comments13.xml" ContentType="application/vnd.openxmlformats-officedocument.spreadsheetml.comments+xml"/>
  <Override PartName="/xl/tables/table22.xml" ContentType="application/vnd.openxmlformats-officedocument.spreadsheetml.table+xml"/>
  <Override PartName="/xl/comments14.xml" ContentType="application/vnd.openxmlformats-officedocument.spreadsheetml.comments+xml"/>
  <Override PartName="/xl/tables/table23.xml" ContentType="application/vnd.openxmlformats-officedocument.spreadsheetml.table+xml"/>
  <Override PartName="/xl/comments15.xml" ContentType="application/vnd.openxmlformats-officedocument.spreadsheetml.comments+xml"/>
  <Override PartName="/xl/tables/table24.xml" ContentType="application/vnd.openxmlformats-officedocument.spreadsheetml.table+xml"/>
  <Override PartName="/xl/comments16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esktop\Tellerstanden\"/>
    </mc:Choice>
  </mc:AlternateContent>
  <xr:revisionPtr revIDLastSave="0" documentId="13_ncr:1_{84050674-A7F3-4631-988A-2A3B3A680DCD}" xr6:coauthVersionLast="47" xr6:coauthVersionMax="47" xr10:uidLastSave="{00000000-0000-0000-0000-000000000000}"/>
  <bookViews>
    <workbookView xWindow="-120" yWindow="-120" windowWidth="29040" windowHeight="17520" firstSheet="15" activeTab="23" xr2:uid="{D53AC878-C98B-4D69-A7A1-A4FAF05882CE}"/>
  </bookViews>
  <sheets>
    <sheet name="januari 2023" sheetId="1" state="hidden" r:id="rId1"/>
    <sheet name="februari 2023" sheetId="4" state="hidden" r:id="rId2"/>
    <sheet name="maart 2023" sheetId="7" state="hidden" r:id="rId3"/>
    <sheet name="april 2023" sheetId="8" state="hidden" r:id="rId4"/>
    <sheet name="mei 2023" sheetId="9" state="hidden" r:id="rId5"/>
    <sheet name="juni 2023" sheetId="10" state="hidden" r:id="rId6"/>
    <sheet name="juli 2023" sheetId="11" state="hidden" r:id="rId7"/>
    <sheet name="augustus 2023" sheetId="12" state="hidden" r:id="rId8"/>
    <sheet name="september 2023" sheetId="13" state="hidden" r:id="rId9"/>
    <sheet name="oktober 2023" sheetId="14" state="hidden" r:id="rId10"/>
    <sheet name="november 2023" sheetId="15" state="hidden" r:id="rId11"/>
    <sheet name="december 2023" sheetId="16" state="hidden" r:id="rId12"/>
    <sheet name="januari2025" sheetId="27" r:id="rId13"/>
    <sheet name="februari2025" sheetId="28" r:id="rId14"/>
    <sheet name="maart2025" sheetId="29" r:id="rId15"/>
    <sheet name="april2025" sheetId="30" r:id="rId16"/>
    <sheet name="mei2025" sheetId="31" r:id="rId17"/>
    <sheet name="juni2025" sheetId="32" r:id="rId18"/>
    <sheet name="juli2025" sheetId="33" r:id="rId19"/>
    <sheet name="augustus2025" sheetId="34" r:id="rId20"/>
    <sheet name="september2025" sheetId="35" r:id="rId21"/>
    <sheet name="oktober2025" sheetId="36" r:id="rId22"/>
    <sheet name="november2025" sheetId="37" r:id="rId23"/>
    <sheet name="december2025" sheetId="38" r:id="rId24"/>
  </sheets>
  <definedNames>
    <definedName name="_xlnm.Print_Area" localSheetId="23">december2025!$A$1:$AY$73</definedName>
    <definedName name="_xlnm.Print_Titles" localSheetId="23">december2025!$A:$C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38" l="1"/>
  <c r="H65" i="38" s="1"/>
  <c r="H53" i="38"/>
  <c r="AU12" i="38"/>
  <c r="AV12" i="38" s="1"/>
  <c r="AW12" i="38" s="1"/>
  <c r="AR12" i="37"/>
  <c r="AS12" i="37" s="1"/>
  <c r="AD65" i="37"/>
  <c r="T5" i="37"/>
  <c r="U5" i="38" s="1"/>
  <c r="Q5" i="37"/>
  <c r="R5" i="38" s="1"/>
  <c r="N5" i="37"/>
  <c r="U15" i="38"/>
  <c r="V15" i="38" s="1"/>
  <c r="AU38" i="38"/>
  <c r="AV38" i="38" s="1"/>
  <c r="AW38" i="38" s="1"/>
  <c r="AE38" i="37"/>
  <c r="AF38" i="37" s="1"/>
  <c r="AG38" i="37" s="1"/>
  <c r="AI38" i="37"/>
  <c r="AJ38" i="37" s="1"/>
  <c r="AK38" i="37" s="1"/>
  <c r="AM38" i="37"/>
  <c r="AN38" i="37" s="1"/>
  <c r="AO38" i="37" s="1"/>
  <c r="AQ38" i="37"/>
  <c r="AR38" i="37" s="1"/>
  <c r="AS38" i="37" s="1"/>
  <c r="AU38" i="37"/>
  <c r="F23" i="38"/>
  <c r="G23" i="38" s="1"/>
  <c r="H53" i="37"/>
  <c r="H53" i="36"/>
  <c r="H65" i="36" s="1"/>
  <c r="U54" i="36"/>
  <c r="I28" i="35"/>
  <c r="H53" i="35"/>
  <c r="I53" i="36" s="1"/>
  <c r="J53" i="36" s="1"/>
  <c r="H53" i="34"/>
  <c r="I53" i="35" s="1"/>
  <c r="J53" i="35" s="1"/>
  <c r="H53" i="33"/>
  <c r="H65" i="33" s="1"/>
  <c r="H53" i="32"/>
  <c r="AU38" i="31"/>
  <c r="AV38" i="31" s="1"/>
  <c r="AW38" i="31" s="1"/>
  <c r="AQ38" i="31"/>
  <c r="AR38" i="31" s="1"/>
  <c r="AS38" i="31" s="1"/>
  <c r="AM38" i="31"/>
  <c r="AN38" i="31" s="1"/>
  <c r="AO38" i="31" s="1"/>
  <c r="AI38" i="31"/>
  <c r="AJ38" i="31" s="1"/>
  <c r="AK38" i="31" s="1"/>
  <c r="AE38" i="31"/>
  <c r="H53" i="31"/>
  <c r="H53" i="30"/>
  <c r="AH65" i="29"/>
  <c r="AL65" i="29"/>
  <c r="H53" i="29"/>
  <c r="H65" i="29" s="1"/>
  <c r="H53" i="28"/>
  <c r="H65" i="28" s="1"/>
  <c r="AH65" i="27"/>
  <c r="H53" i="27"/>
  <c r="I53" i="28" s="1"/>
  <c r="J53" i="28" s="1"/>
  <c r="L23" i="27"/>
  <c r="M23" i="27" s="1"/>
  <c r="I53" i="27"/>
  <c r="I14" i="27"/>
  <c r="I65" i="27" s="1"/>
  <c r="F5" i="28"/>
  <c r="AU61" i="38"/>
  <c r="AU59" i="38"/>
  <c r="AU57" i="38"/>
  <c r="AV57" i="38" s="1"/>
  <c r="AW57" i="38" s="1"/>
  <c r="AU56" i="38"/>
  <c r="AU54" i="38"/>
  <c r="AV54" i="38" s="1"/>
  <c r="AW54" i="38" s="1"/>
  <c r="AU51" i="38"/>
  <c r="AV51" i="38" s="1"/>
  <c r="AW51" i="38" s="1"/>
  <c r="AU49" i="38"/>
  <c r="AV49" i="38" s="1"/>
  <c r="AW49" i="38" s="1"/>
  <c r="AU48" i="38"/>
  <c r="AU46" i="38"/>
  <c r="AV46" i="38" s="1"/>
  <c r="AW46" i="38" s="1"/>
  <c r="AU44" i="38"/>
  <c r="AV44" i="38" s="1"/>
  <c r="AW44" i="38" s="1"/>
  <c r="AU43" i="38"/>
  <c r="AV43" i="38" s="1"/>
  <c r="AW43" i="38" s="1"/>
  <c r="AU41" i="38"/>
  <c r="AU37" i="38"/>
  <c r="AU35" i="38"/>
  <c r="AU34" i="38"/>
  <c r="AV34" i="38" s="1"/>
  <c r="AW34" i="38" s="1"/>
  <c r="AU32" i="38"/>
  <c r="AV32" i="38" s="1"/>
  <c r="AW32" i="38" s="1"/>
  <c r="AU30" i="38"/>
  <c r="AV30" i="38" s="1"/>
  <c r="AW30" i="38" s="1"/>
  <c r="AU29" i="38"/>
  <c r="AU27" i="38"/>
  <c r="AV27" i="38" s="1"/>
  <c r="AW27" i="38" s="1"/>
  <c r="AU25" i="38"/>
  <c r="AU23" i="38"/>
  <c r="AV23" i="38" s="1"/>
  <c r="AW23" i="38" s="1"/>
  <c r="AU20" i="38"/>
  <c r="AU18" i="38"/>
  <c r="AV18" i="38" s="1"/>
  <c r="AW18" i="38" s="1"/>
  <c r="AU16" i="38"/>
  <c r="AU14" i="38"/>
  <c r="AV14" i="38" s="1"/>
  <c r="AW14" i="38" s="1"/>
  <c r="AU7" i="38"/>
  <c r="AQ61" i="38"/>
  <c r="AR61" i="38" s="1"/>
  <c r="AS61" i="38" s="1"/>
  <c r="AQ59" i="38"/>
  <c r="AR59" i="38" s="1"/>
  <c r="AS59" i="38" s="1"/>
  <c r="AQ57" i="38"/>
  <c r="AR57" i="38" s="1"/>
  <c r="AS57" i="38" s="1"/>
  <c r="AQ56" i="38"/>
  <c r="AQ54" i="38"/>
  <c r="AR54" i="38" s="1"/>
  <c r="AS54" i="38" s="1"/>
  <c r="AQ51" i="38"/>
  <c r="AQ49" i="38"/>
  <c r="AR49" i="38" s="1"/>
  <c r="AS49" i="38" s="1"/>
  <c r="AQ48" i="38"/>
  <c r="AQ46" i="38"/>
  <c r="AR46" i="38" s="1"/>
  <c r="AS46" i="38" s="1"/>
  <c r="AQ44" i="38"/>
  <c r="AQ43" i="38"/>
  <c r="AR43" i="38" s="1"/>
  <c r="AS43" i="38" s="1"/>
  <c r="AQ41" i="38"/>
  <c r="AR41" i="38" s="1"/>
  <c r="AS41" i="38" s="1"/>
  <c r="AQ38" i="38"/>
  <c r="AQ37" i="38"/>
  <c r="AR37" i="38" s="1"/>
  <c r="AS37" i="38" s="1"/>
  <c r="AQ35" i="38"/>
  <c r="AR35" i="38" s="1"/>
  <c r="AS35" i="38" s="1"/>
  <c r="AQ34" i="38"/>
  <c r="AR34" i="38" s="1"/>
  <c r="AS34" i="38" s="1"/>
  <c r="AQ32" i="38"/>
  <c r="AR32" i="38" s="1"/>
  <c r="AS32" i="38" s="1"/>
  <c r="AQ30" i="38"/>
  <c r="AR30" i="38" s="1"/>
  <c r="AS30" i="38" s="1"/>
  <c r="AQ29" i="38"/>
  <c r="AR29" i="38" s="1"/>
  <c r="AS29" i="38" s="1"/>
  <c r="AQ27" i="38"/>
  <c r="AR27" i="38" s="1"/>
  <c r="AS27" i="38" s="1"/>
  <c r="AQ25" i="38"/>
  <c r="AQ23" i="38"/>
  <c r="AQ20" i="38"/>
  <c r="AQ18" i="38"/>
  <c r="AR18" i="38" s="1"/>
  <c r="AS18" i="38" s="1"/>
  <c r="AQ16" i="38"/>
  <c r="AR16" i="38" s="1"/>
  <c r="AS16" i="38" s="1"/>
  <c r="AQ14" i="38"/>
  <c r="AR14" i="38" s="1"/>
  <c r="AS14" i="38" s="1"/>
  <c r="AQ7" i="38"/>
  <c r="AM61" i="38"/>
  <c r="AN61" i="38" s="1"/>
  <c r="AO61" i="38" s="1"/>
  <c r="AM59" i="38"/>
  <c r="AN59" i="38" s="1"/>
  <c r="AO59" i="38" s="1"/>
  <c r="AM57" i="38"/>
  <c r="AM56" i="38"/>
  <c r="AM54" i="38"/>
  <c r="AN54" i="38" s="1"/>
  <c r="AO54" i="38" s="1"/>
  <c r="AM51" i="38"/>
  <c r="AM49" i="38"/>
  <c r="AM48" i="38"/>
  <c r="AM46" i="38"/>
  <c r="AN46" i="38" s="1"/>
  <c r="AO46" i="38" s="1"/>
  <c r="AM44" i="38"/>
  <c r="AM43" i="38"/>
  <c r="AN43" i="38" s="1"/>
  <c r="AO43" i="38" s="1"/>
  <c r="AM41" i="38"/>
  <c r="AN41" i="38" s="1"/>
  <c r="AO41" i="38" s="1"/>
  <c r="AM38" i="38"/>
  <c r="AN38" i="38" s="1"/>
  <c r="AO38" i="38" s="1"/>
  <c r="AM37" i="38"/>
  <c r="AN37" i="38" s="1"/>
  <c r="AO37" i="38" s="1"/>
  <c r="AM35" i="38"/>
  <c r="AM34" i="38"/>
  <c r="AM32" i="38"/>
  <c r="AN32" i="38" s="1"/>
  <c r="AO32" i="38" s="1"/>
  <c r="AM30" i="38"/>
  <c r="AN30" i="38" s="1"/>
  <c r="AO30" i="38" s="1"/>
  <c r="AM29" i="38"/>
  <c r="AN29" i="38" s="1"/>
  <c r="AO29" i="38" s="1"/>
  <c r="AM27" i="38"/>
  <c r="AM25" i="38"/>
  <c r="AN25" i="38" s="1"/>
  <c r="AO25" i="38" s="1"/>
  <c r="AM23" i="38"/>
  <c r="AN23" i="38" s="1"/>
  <c r="AO23" i="38" s="1"/>
  <c r="AM20" i="38"/>
  <c r="AM18" i="38"/>
  <c r="AN18" i="38" s="1"/>
  <c r="AO18" i="38" s="1"/>
  <c r="AM16" i="38"/>
  <c r="AN16" i="38" s="1"/>
  <c r="AO16" i="38" s="1"/>
  <c r="AM14" i="38"/>
  <c r="AN14" i="38" s="1"/>
  <c r="AO14" i="38" s="1"/>
  <c r="AM7" i="38"/>
  <c r="AI61" i="38"/>
  <c r="AJ61" i="38" s="1"/>
  <c r="AK61" i="38" s="1"/>
  <c r="AI59" i="38"/>
  <c r="AJ59" i="38" s="1"/>
  <c r="AK59" i="38" s="1"/>
  <c r="AI57" i="38"/>
  <c r="AI56" i="38"/>
  <c r="AJ56" i="38" s="1"/>
  <c r="AK56" i="38" s="1"/>
  <c r="AI54" i="38"/>
  <c r="AI51" i="38"/>
  <c r="AI49" i="38"/>
  <c r="AI48" i="38"/>
  <c r="AJ48" i="38" s="1"/>
  <c r="AK48" i="38" s="1"/>
  <c r="AI46" i="38"/>
  <c r="AJ46" i="38" s="1"/>
  <c r="AK46" i="38" s="1"/>
  <c r="AI44" i="38"/>
  <c r="AJ44" i="38" s="1"/>
  <c r="AK44" i="38" s="1"/>
  <c r="AI43" i="38"/>
  <c r="AJ43" i="38" s="1"/>
  <c r="AK43" i="38" s="1"/>
  <c r="AI41" i="38"/>
  <c r="AJ41" i="38" s="1"/>
  <c r="AK41" i="38" s="1"/>
  <c r="AI38" i="38"/>
  <c r="AJ38" i="38" s="1"/>
  <c r="AK38" i="38" s="1"/>
  <c r="AI37" i="38"/>
  <c r="AI35" i="38"/>
  <c r="AI34" i="38"/>
  <c r="AI32" i="38"/>
  <c r="AI30" i="38"/>
  <c r="AJ30" i="38" s="1"/>
  <c r="AK30" i="38" s="1"/>
  <c r="AI29" i="38"/>
  <c r="AJ29" i="38" s="1"/>
  <c r="AK29" i="38" s="1"/>
  <c r="AI27" i="38"/>
  <c r="AI25" i="38"/>
  <c r="AJ25" i="38" s="1"/>
  <c r="AK25" i="38" s="1"/>
  <c r="AI23" i="38"/>
  <c r="AJ23" i="38" s="1"/>
  <c r="AK23" i="38" s="1"/>
  <c r="AI20" i="38"/>
  <c r="AJ20" i="38" s="1"/>
  <c r="AK20" i="38" s="1"/>
  <c r="AI18" i="38"/>
  <c r="AI16" i="38"/>
  <c r="AJ16" i="38" s="1"/>
  <c r="AK16" i="38" s="1"/>
  <c r="AI14" i="38"/>
  <c r="AI7" i="38"/>
  <c r="AE61" i="38"/>
  <c r="AF61" i="38" s="1"/>
  <c r="AG61" i="38" s="1"/>
  <c r="AE59" i="38"/>
  <c r="AE57" i="38"/>
  <c r="AE56" i="38"/>
  <c r="AF56" i="38" s="1"/>
  <c r="AG56" i="38" s="1"/>
  <c r="AE54" i="38"/>
  <c r="AF54" i="38" s="1"/>
  <c r="AG54" i="38" s="1"/>
  <c r="AE51" i="38"/>
  <c r="AF51" i="38" s="1"/>
  <c r="AG51" i="38" s="1"/>
  <c r="AE49" i="38"/>
  <c r="AF49" i="38" s="1"/>
  <c r="AG49" i="38" s="1"/>
  <c r="AE48" i="38"/>
  <c r="AF48" i="38" s="1"/>
  <c r="AG48" i="38" s="1"/>
  <c r="AE46" i="38"/>
  <c r="AF46" i="38" s="1"/>
  <c r="AG46" i="38" s="1"/>
  <c r="AE44" i="38"/>
  <c r="AF44" i="38" s="1"/>
  <c r="AG44" i="38" s="1"/>
  <c r="AE43" i="38"/>
  <c r="AE41" i="38"/>
  <c r="AF41" i="38" s="1"/>
  <c r="AG41" i="38" s="1"/>
  <c r="AE38" i="38"/>
  <c r="AE37" i="38"/>
  <c r="AF37" i="38" s="1"/>
  <c r="AG37" i="38" s="1"/>
  <c r="AE35" i="38"/>
  <c r="AE34" i="38"/>
  <c r="AF34" i="38" s="1"/>
  <c r="AG34" i="38" s="1"/>
  <c r="AE32" i="38"/>
  <c r="AF32" i="38" s="1"/>
  <c r="AG32" i="38" s="1"/>
  <c r="AE30" i="38"/>
  <c r="AF30" i="38" s="1"/>
  <c r="AG30" i="38" s="1"/>
  <c r="AE29" i="38"/>
  <c r="AF29" i="38" s="1"/>
  <c r="AG29" i="38" s="1"/>
  <c r="AE27" i="38"/>
  <c r="AF27" i="38" s="1"/>
  <c r="AG27" i="38" s="1"/>
  <c r="AE25" i="38"/>
  <c r="AF25" i="38" s="1"/>
  <c r="AG25" i="38" s="1"/>
  <c r="AE23" i="38"/>
  <c r="AF23" i="38" s="1"/>
  <c r="AG23" i="38" s="1"/>
  <c r="AE20" i="38"/>
  <c r="AF20" i="38" s="1"/>
  <c r="AG20" i="38" s="1"/>
  <c r="AE18" i="38"/>
  <c r="AE16" i="38"/>
  <c r="AE14" i="38"/>
  <c r="AE12" i="38"/>
  <c r="AE7" i="38"/>
  <c r="AA64" i="38"/>
  <c r="AA63" i="38"/>
  <c r="AB63" i="38" s="1"/>
  <c r="AA60" i="38"/>
  <c r="AB60" i="38" s="1"/>
  <c r="AA59" i="38"/>
  <c r="AB59" i="38" s="1"/>
  <c r="AA58" i="38"/>
  <c r="AB58" i="38" s="1"/>
  <c r="AA57" i="38"/>
  <c r="AB57" i="38" s="1"/>
  <c r="AA56" i="38"/>
  <c r="AB56" i="38" s="1"/>
  <c r="AA55" i="38"/>
  <c r="AB55" i="38" s="1"/>
  <c r="AA54" i="38"/>
  <c r="AA53" i="38"/>
  <c r="AB53" i="38" s="1"/>
  <c r="AA51" i="38"/>
  <c r="AA50" i="38"/>
  <c r="AB50" i="38" s="1"/>
  <c r="AA48" i="38"/>
  <c r="AB48" i="38" s="1"/>
  <c r="AA47" i="38"/>
  <c r="AB47" i="38" s="1"/>
  <c r="AA45" i="38"/>
  <c r="AB45" i="38" s="1"/>
  <c r="AA43" i="38"/>
  <c r="AB43" i="38" s="1"/>
  <c r="AA42" i="38"/>
  <c r="AB42" i="38" s="1"/>
  <c r="AA41" i="38"/>
  <c r="AB41" i="38" s="1"/>
  <c r="AA39" i="38"/>
  <c r="AB39" i="38" s="1"/>
  <c r="AA38" i="38"/>
  <c r="AB38" i="38" s="1"/>
  <c r="AA36" i="38"/>
  <c r="AA35" i="38"/>
  <c r="AB35" i="38" s="1"/>
  <c r="AA34" i="38"/>
  <c r="AA33" i="38"/>
  <c r="AB33" i="38" s="1"/>
  <c r="AA31" i="38"/>
  <c r="AA30" i="38"/>
  <c r="AB30" i="38" s="1"/>
  <c r="AA28" i="38"/>
  <c r="AB28" i="38" s="1"/>
  <c r="AA27" i="38"/>
  <c r="AB27" i="38" s="1"/>
  <c r="AA25" i="38"/>
  <c r="AB25" i="38" s="1"/>
  <c r="AA24" i="38"/>
  <c r="AB24" i="38" s="1"/>
  <c r="AA23" i="38"/>
  <c r="AB23" i="38" s="1"/>
  <c r="AA22" i="38"/>
  <c r="AB22" i="38" s="1"/>
  <c r="AA21" i="38"/>
  <c r="AA20" i="38"/>
  <c r="AA19" i="38"/>
  <c r="AB19" i="38" s="1"/>
  <c r="AA18" i="38"/>
  <c r="AA17" i="38"/>
  <c r="AA16" i="38"/>
  <c r="AB16" i="38" s="1"/>
  <c r="AA15" i="38"/>
  <c r="AB15" i="38" s="1"/>
  <c r="AA14" i="38"/>
  <c r="AB14" i="38" s="1"/>
  <c r="AA13" i="38"/>
  <c r="AB13" i="38" s="1"/>
  <c r="AA12" i="38"/>
  <c r="AB12" i="38" s="1"/>
  <c r="AA11" i="38"/>
  <c r="AB11" i="38" s="1"/>
  <c r="AA10" i="38"/>
  <c r="AB10" i="38" s="1"/>
  <c r="AA9" i="38"/>
  <c r="AA8" i="38"/>
  <c r="AA7" i="38"/>
  <c r="AB7" i="38" s="1"/>
  <c r="AA6" i="38"/>
  <c r="AB6" i="38" s="1"/>
  <c r="X64" i="38"/>
  <c r="Y64" i="38" s="1"/>
  <c r="X63" i="38"/>
  <c r="Y63" i="38" s="1"/>
  <c r="X60" i="38"/>
  <c r="Y60" i="38" s="1"/>
  <c r="X59" i="38"/>
  <c r="Y59" i="38" s="1"/>
  <c r="X58" i="38"/>
  <c r="Y58" i="38" s="1"/>
  <c r="X57" i="38"/>
  <c r="Y57" i="38" s="1"/>
  <c r="X56" i="38"/>
  <c r="Y56" i="38" s="1"/>
  <c r="X55" i="38"/>
  <c r="X54" i="38"/>
  <c r="X53" i="38"/>
  <c r="Y53" i="38" s="1"/>
  <c r="X51" i="38"/>
  <c r="X50" i="38"/>
  <c r="Y50" i="38" s="1"/>
  <c r="X48" i="38"/>
  <c r="Y48" i="38" s="1"/>
  <c r="X47" i="38"/>
  <c r="Y47" i="38" s="1"/>
  <c r="X45" i="38"/>
  <c r="Y45" i="38" s="1"/>
  <c r="X43" i="38"/>
  <c r="Y43" i="38" s="1"/>
  <c r="X42" i="38"/>
  <c r="X41" i="38"/>
  <c r="Y41" i="38" s="1"/>
  <c r="X39" i="38"/>
  <c r="Y39" i="38" s="1"/>
  <c r="X38" i="38"/>
  <c r="Y38" i="38" s="1"/>
  <c r="X36" i="38"/>
  <c r="X35" i="38"/>
  <c r="Y35" i="38" s="1"/>
  <c r="X34" i="38"/>
  <c r="Y34" i="38" s="1"/>
  <c r="X33" i="38"/>
  <c r="Y33" i="38" s="1"/>
  <c r="X31" i="38"/>
  <c r="X30" i="38"/>
  <c r="Y30" i="38" s="1"/>
  <c r="X28" i="38"/>
  <c r="Y28" i="38" s="1"/>
  <c r="X27" i="38"/>
  <c r="Y27" i="38" s="1"/>
  <c r="X25" i="38"/>
  <c r="Y25" i="38" s="1"/>
  <c r="X24" i="38"/>
  <c r="X23" i="38"/>
  <c r="Y23" i="38" s="1"/>
  <c r="X22" i="38"/>
  <c r="Y22" i="38" s="1"/>
  <c r="X21" i="38"/>
  <c r="X20" i="38"/>
  <c r="X19" i="38"/>
  <c r="Y19" i="38" s="1"/>
  <c r="X18" i="38"/>
  <c r="Y18" i="38" s="1"/>
  <c r="X17" i="38"/>
  <c r="Y17" i="38" s="1"/>
  <c r="X16" i="38"/>
  <c r="X14" i="38"/>
  <c r="Y14" i="38" s="1"/>
  <c r="X13" i="38"/>
  <c r="Y13" i="38" s="1"/>
  <c r="X12" i="38"/>
  <c r="Y12" i="38" s="1"/>
  <c r="X11" i="38"/>
  <c r="Y11" i="38" s="1"/>
  <c r="X10" i="38"/>
  <c r="Y10" i="38" s="1"/>
  <c r="X9" i="38"/>
  <c r="Y9" i="38" s="1"/>
  <c r="X8" i="38"/>
  <c r="Y8" i="38" s="1"/>
  <c r="X7" i="38"/>
  <c r="Y7" i="38" s="1"/>
  <c r="X6" i="38"/>
  <c r="U64" i="38"/>
  <c r="V64" i="38" s="1"/>
  <c r="U63" i="38"/>
  <c r="V63" i="38" s="1"/>
  <c r="U60" i="38"/>
  <c r="V60" i="38" s="1"/>
  <c r="U59" i="38"/>
  <c r="V59" i="38" s="1"/>
  <c r="U58" i="38"/>
  <c r="V58" i="38" s="1"/>
  <c r="U57" i="38"/>
  <c r="V57" i="38" s="1"/>
  <c r="U56" i="38"/>
  <c r="V56" i="38" s="1"/>
  <c r="U55" i="38"/>
  <c r="U54" i="38"/>
  <c r="V54" i="38" s="1"/>
  <c r="U53" i="38"/>
  <c r="U51" i="38"/>
  <c r="V51" i="38" s="1"/>
  <c r="U50" i="38"/>
  <c r="V50" i="38" s="1"/>
  <c r="U48" i="38"/>
  <c r="V48" i="38" s="1"/>
  <c r="U47" i="38"/>
  <c r="V47" i="38" s="1"/>
  <c r="U45" i="38"/>
  <c r="V45" i="38" s="1"/>
  <c r="U43" i="38"/>
  <c r="V43" i="38" s="1"/>
  <c r="U42" i="38"/>
  <c r="V42" i="38" s="1"/>
  <c r="U41" i="38"/>
  <c r="U39" i="38"/>
  <c r="V39" i="38" s="1"/>
  <c r="U38" i="38"/>
  <c r="V38" i="38" s="1"/>
  <c r="U36" i="38"/>
  <c r="V36" i="38" s="1"/>
  <c r="U35" i="38"/>
  <c r="U34" i="38"/>
  <c r="U33" i="38"/>
  <c r="V33" i="38" s="1"/>
  <c r="U31" i="38"/>
  <c r="V31" i="38" s="1"/>
  <c r="U30" i="38"/>
  <c r="V30" i="38" s="1"/>
  <c r="U28" i="38"/>
  <c r="V28" i="38" s="1"/>
  <c r="U27" i="38"/>
  <c r="V27" i="38" s="1"/>
  <c r="U25" i="38"/>
  <c r="V25" i="38" s="1"/>
  <c r="U24" i="38"/>
  <c r="U23" i="38"/>
  <c r="V23" i="38" s="1"/>
  <c r="U22" i="38"/>
  <c r="U21" i="38"/>
  <c r="V21" i="38" s="1"/>
  <c r="U20" i="38"/>
  <c r="V20" i="38" s="1"/>
  <c r="U19" i="38"/>
  <c r="V19" i="38" s="1"/>
  <c r="U18" i="38"/>
  <c r="U17" i="38"/>
  <c r="V17" i="38" s="1"/>
  <c r="U16" i="38"/>
  <c r="U14" i="38"/>
  <c r="V14" i="38" s="1"/>
  <c r="U13" i="38"/>
  <c r="V13" i="38" s="1"/>
  <c r="U12" i="38"/>
  <c r="V12" i="38" s="1"/>
  <c r="U11" i="38"/>
  <c r="V11" i="38" s="1"/>
  <c r="U10" i="38"/>
  <c r="U9" i="38"/>
  <c r="V9" i="38" s="1"/>
  <c r="U8" i="38"/>
  <c r="V8" i="38" s="1"/>
  <c r="U7" i="38"/>
  <c r="V7" i="38" s="1"/>
  <c r="U6" i="38"/>
  <c r="R64" i="38"/>
  <c r="S64" i="38" s="1"/>
  <c r="R63" i="38"/>
  <c r="S63" i="38" s="1"/>
  <c r="R60" i="38"/>
  <c r="S60" i="38" s="1"/>
  <c r="R59" i="38"/>
  <c r="R58" i="38"/>
  <c r="S58" i="38" s="1"/>
  <c r="R57" i="38"/>
  <c r="S57" i="38" s="1"/>
  <c r="R56" i="38"/>
  <c r="S56" i="38" s="1"/>
  <c r="R55" i="38"/>
  <c r="S55" i="38" s="1"/>
  <c r="R54" i="38"/>
  <c r="S54" i="38" s="1"/>
  <c r="R53" i="38"/>
  <c r="S53" i="38" s="1"/>
  <c r="R51" i="38"/>
  <c r="S51" i="38" s="1"/>
  <c r="R50" i="38"/>
  <c r="R48" i="38"/>
  <c r="R47" i="38"/>
  <c r="R45" i="38"/>
  <c r="S45" i="38" s="1"/>
  <c r="R43" i="38"/>
  <c r="S43" i="38" s="1"/>
  <c r="R42" i="38"/>
  <c r="S42" i="38" s="1"/>
  <c r="R41" i="38"/>
  <c r="S41" i="38" s="1"/>
  <c r="R39" i="38"/>
  <c r="S39" i="38" s="1"/>
  <c r="R38" i="38"/>
  <c r="S38" i="38" s="1"/>
  <c r="R36" i="38"/>
  <c r="S36" i="38" s="1"/>
  <c r="R35" i="38"/>
  <c r="S35" i="38" s="1"/>
  <c r="R34" i="38"/>
  <c r="R33" i="38"/>
  <c r="S33" i="38" s="1"/>
  <c r="R31" i="38"/>
  <c r="R30" i="38"/>
  <c r="S30" i="38" s="1"/>
  <c r="R28" i="38"/>
  <c r="S28" i="38" s="1"/>
  <c r="R27" i="38"/>
  <c r="S27" i="38" s="1"/>
  <c r="R25" i="38"/>
  <c r="S25" i="38" s="1"/>
  <c r="R24" i="38"/>
  <c r="S24" i="38" s="1"/>
  <c r="R23" i="38"/>
  <c r="R22" i="38"/>
  <c r="S22" i="38" s="1"/>
  <c r="R20" i="38"/>
  <c r="S20" i="38" s="1"/>
  <c r="R19" i="38"/>
  <c r="S19" i="38" s="1"/>
  <c r="R18" i="38"/>
  <c r="S18" i="38" s="1"/>
  <c r="R17" i="38"/>
  <c r="S17" i="38" s="1"/>
  <c r="R16" i="38"/>
  <c r="R14" i="38"/>
  <c r="S14" i="38" s="1"/>
  <c r="R13" i="38"/>
  <c r="S13" i="38" s="1"/>
  <c r="R12" i="38"/>
  <c r="S12" i="38" s="1"/>
  <c r="R11" i="38"/>
  <c r="S11" i="38" s="1"/>
  <c r="R10" i="38"/>
  <c r="S10" i="38" s="1"/>
  <c r="R9" i="38"/>
  <c r="S9" i="38" s="1"/>
  <c r="R8" i="38"/>
  <c r="S8" i="38" s="1"/>
  <c r="R7" i="38"/>
  <c r="R6" i="38"/>
  <c r="S6" i="38" s="1"/>
  <c r="O64" i="38"/>
  <c r="P64" i="38" s="1"/>
  <c r="O63" i="38"/>
  <c r="O60" i="38"/>
  <c r="P60" i="38" s="1"/>
  <c r="O59" i="38"/>
  <c r="O58" i="38"/>
  <c r="P58" i="38" s="1"/>
  <c r="O57" i="38"/>
  <c r="P57" i="38" s="1"/>
  <c r="O56" i="38"/>
  <c r="P56" i="38" s="1"/>
  <c r="O55" i="38"/>
  <c r="P55" i="38" s="1"/>
  <c r="O54" i="38"/>
  <c r="O53" i="38"/>
  <c r="P53" i="38" s="1"/>
  <c r="O51" i="38"/>
  <c r="P51" i="38" s="1"/>
  <c r="O50" i="38"/>
  <c r="P50" i="38" s="1"/>
  <c r="O48" i="38"/>
  <c r="O47" i="38"/>
  <c r="O45" i="38"/>
  <c r="O43" i="38"/>
  <c r="P43" i="38" s="1"/>
  <c r="O42" i="38"/>
  <c r="O41" i="38"/>
  <c r="P41" i="38" s="1"/>
  <c r="O39" i="38"/>
  <c r="P39" i="38" s="1"/>
  <c r="O38" i="38"/>
  <c r="P38" i="38" s="1"/>
  <c r="O36" i="38"/>
  <c r="P36" i="38" s="1"/>
  <c r="O35" i="38"/>
  <c r="P35" i="38" s="1"/>
  <c r="O34" i="38"/>
  <c r="P34" i="38" s="1"/>
  <c r="O33" i="38"/>
  <c r="P33" i="38" s="1"/>
  <c r="O31" i="38"/>
  <c r="O30" i="38"/>
  <c r="O28" i="38"/>
  <c r="P28" i="38" s="1"/>
  <c r="O27" i="38"/>
  <c r="O25" i="38"/>
  <c r="P25" i="38" s="1"/>
  <c r="O24" i="38"/>
  <c r="P24" i="38" s="1"/>
  <c r="O23" i="38"/>
  <c r="P23" i="38" s="1"/>
  <c r="O22" i="38"/>
  <c r="O21" i="38"/>
  <c r="P21" i="38" s="1"/>
  <c r="O20" i="38"/>
  <c r="P20" i="38" s="1"/>
  <c r="O19" i="38"/>
  <c r="P19" i="38" s="1"/>
  <c r="O18" i="38"/>
  <c r="P18" i="38" s="1"/>
  <c r="O17" i="38"/>
  <c r="P17" i="38" s="1"/>
  <c r="O16" i="38"/>
  <c r="P16" i="38" s="1"/>
  <c r="O15" i="38"/>
  <c r="P15" i="38" s="1"/>
  <c r="O14" i="38"/>
  <c r="O13" i="38"/>
  <c r="P13" i="38" s="1"/>
  <c r="O12" i="38"/>
  <c r="P12" i="38" s="1"/>
  <c r="O11" i="38"/>
  <c r="P11" i="38" s="1"/>
  <c r="O10" i="38"/>
  <c r="P10" i="38" s="1"/>
  <c r="O9" i="38"/>
  <c r="P9" i="38" s="1"/>
  <c r="O8" i="38"/>
  <c r="P8" i="38" s="1"/>
  <c r="O7" i="38"/>
  <c r="O6" i="38"/>
  <c r="P6" i="38" s="1"/>
  <c r="L64" i="38"/>
  <c r="L63" i="38"/>
  <c r="L60" i="38"/>
  <c r="M60" i="38" s="1"/>
  <c r="L59" i="38"/>
  <c r="L58" i="38"/>
  <c r="M58" i="38" s="1"/>
  <c r="L57" i="38"/>
  <c r="M57" i="38" s="1"/>
  <c r="L56" i="38"/>
  <c r="M56" i="38" s="1"/>
  <c r="L55" i="38"/>
  <c r="M55" i="38" s="1"/>
  <c r="L54" i="38"/>
  <c r="L53" i="38"/>
  <c r="M53" i="38" s="1"/>
  <c r="L51" i="38"/>
  <c r="M51" i="38" s="1"/>
  <c r="L50" i="38"/>
  <c r="M50" i="38" s="1"/>
  <c r="L48" i="38"/>
  <c r="M48" i="38" s="1"/>
  <c r="L47" i="38"/>
  <c r="L45" i="38"/>
  <c r="L43" i="38"/>
  <c r="M43" i="38" s="1"/>
  <c r="L42" i="38"/>
  <c r="L41" i="38"/>
  <c r="M41" i="38" s="1"/>
  <c r="L39" i="38"/>
  <c r="M39" i="38" s="1"/>
  <c r="L38" i="38"/>
  <c r="M38" i="38" s="1"/>
  <c r="L36" i="38"/>
  <c r="M36" i="38" s="1"/>
  <c r="L35" i="38"/>
  <c r="M35" i="38" s="1"/>
  <c r="L34" i="38"/>
  <c r="M34" i="38" s="1"/>
  <c r="L33" i="38"/>
  <c r="M33" i="38" s="1"/>
  <c r="L31" i="38"/>
  <c r="M31" i="38" s="1"/>
  <c r="L30" i="38"/>
  <c r="L28" i="38"/>
  <c r="M28" i="38" s="1"/>
  <c r="L27" i="38"/>
  <c r="M27" i="38" s="1"/>
  <c r="L25" i="38"/>
  <c r="M25" i="38" s="1"/>
  <c r="L23" i="38"/>
  <c r="M23" i="38" s="1"/>
  <c r="L22" i="38"/>
  <c r="M22" i="38" s="1"/>
  <c r="L21" i="38"/>
  <c r="M21" i="38" s="1"/>
  <c r="L20" i="38"/>
  <c r="M20" i="38" s="1"/>
  <c r="L19" i="38"/>
  <c r="M19" i="38" s="1"/>
  <c r="L18" i="38"/>
  <c r="M18" i="38" s="1"/>
  <c r="L17" i="38"/>
  <c r="L16" i="38"/>
  <c r="M16" i="38" s="1"/>
  <c r="L15" i="38"/>
  <c r="M15" i="38" s="1"/>
  <c r="L14" i="38"/>
  <c r="L13" i="38"/>
  <c r="M13" i="38" s="1"/>
  <c r="L12" i="38"/>
  <c r="L11" i="38"/>
  <c r="M11" i="38" s="1"/>
  <c r="L10" i="38"/>
  <c r="M10" i="38" s="1"/>
  <c r="L9" i="38"/>
  <c r="M9" i="38" s="1"/>
  <c r="L8" i="38"/>
  <c r="M8" i="38" s="1"/>
  <c r="L7" i="38"/>
  <c r="L6" i="38"/>
  <c r="M6" i="38" s="1"/>
  <c r="I64" i="38"/>
  <c r="I63" i="38"/>
  <c r="I60" i="38"/>
  <c r="I59" i="38"/>
  <c r="J59" i="38" s="1"/>
  <c r="I58" i="38"/>
  <c r="J58" i="38" s="1"/>
  <c r="I57" i="38"/>
  <c r="I56" i="38"/>
  <c r="J56" i="38" s="1"/>
  <c r="I55" i="38"/>
  <c r="J55" i="38" s="1"/>
  <c r="I54" i="38"/>
  <c r="J54" i="38" s="1"/>
  <c r="I53" i="38"/>
  <c r="J53" i="38" s="1"/>
  <c r="I51" i="38"/>
  <c r="J51" i="38" s="1"/>
  <c r="I50" i="38"/>
  <c r="J50" i="38" s="1"/>
  <c r="I48" i="38"/>
  <c r="I47" i="38"/>
  <c r="J47" i="38" s="1"/>
  <c r="I45" i="38"/>
  <c r="I43" i="38"/>
  <c r="I42" i="38"/>
  <c r="J42" i="38" s="1"/>
  <c r="I41" i="38"/>
  <c r="J41" i="38" s="1"/>
  <c r="I39" i="38"/>
  <c r="J39" i="38" s="1"/>
  <c r="I38" i="38"/>
  <c r="I36" i="38"/>
  <c r="J36" i="38" s="1"/>
  <c r="I35" i="38"/>
  <c r="J35" i="38" s="1"/>
  <c r="I34" i="38"/>
  <c r="J34" i="38" s="1"/>
  <c r="I33" i="38"/>
  <c r="J33" i="38" s="1"/>
  <c r="I31" i="38"/>
  <c r="I30" i="38"/>
  <c r="I28" i="38"/>
  <c r="I27" i="38"/>
  <c r="J27" i="38" s="1"/>
  <c r="I25" i="38"/>
  <c r="J25" i="38" s="1"/>
  <c r="I23" i="38"/>
  <c r="J23" i="38" s="1"/>
  <c r="I20" i="38"/>
  <c r="J20" i="38" s="1"/>
  <c r="I19" i="38"/>
  <c r="J19" i="38" s="1"/>
  <c r="I18" i="38"/>
  <c r="J18" i="38" s="1"/>
  <c r="I17" i="38"/>
  <c r="J17" i="38" s="1"/>
  <c r="I16" i="38"/>
  <c r="J16" i="38" s="1"/>
  <c r="I13" i="38"/>
  <c r="I12" i="38"/>
  <c r="I11" i="38"/>
  <c r="J11" i="38" s="1"/>
  <c r="I10" i="38"/>
  <c r="J10" i="38" s="1"/>
  <c r="I9" i="38"/>
  <c r="I8" i="38"/>
  <c r="J8" i="38" s="1"/>
  <c r="I7" i="38"/>
  <c r="J7" i="38" s="1"/>
  <c r="I6" i="38"/>
  <c r="F6" i="38"/>
  <c r="F7" i="38"/>
  <c r="G7" i="38" s="1"/>
  <c r="F8" i="38"/>
  <c r="G8" i="38" s="1"/>
  <c r="F9" i="38"/>
  <c r="F10" i="38"/>
  <c r="F11" i="38"/>
  <c r="F12" i="38"/>
  <c r="F13" i="38"/>
  <c r="G13" i="38" s="1"/>
  <c r="F16" i="38"/>
  <c r="G16" i="38" s="1"/>
  <c r="F17" i="38"/>
  <c r="G17" i="38" s="1"/>
  <c r="F18" i="38"/>
  <c r="G18" i="38" s="1"/>
  <c r="F19" i="38"/>
  <c r="G19" i="38" s="1"/>
  <c r="F20" i="38"/>
  <c r="G20" i="38" s="1"/>
  <c r="F25" i="38"/>
  <c r="G25" i="38" s="1"/>
  <c r="F27" i="38"/>
  <c r="G27" i="38" s="1"/>
  <c r="F28" i="38"/>
  <c r="F30" i="38"/>
  <c r="F31" i="38"/>
  <c r="F33" i="38"/>
  <c r="F34" i="38"/>
  <c r="F35" i="38"/>
  <c r="G35" i="38" s="1"/>
  <c r="F36" i="38"/>
  <c r="G36" i="38" s="1"/>
  <c r="F38" i="38"/>
  <c r="G38" i="38" s="1"/>
  <c r="F39" i="38"/>
  <c r="G39" i="38" s="1"/>
  <c r="F41" i="38"/>
  <c r="G41" i="38" s="1"/>
  <c r="F42" i="38"/>
  <c r="G42" i="38" s="1"/>
  <c r="F43" i="38"/>
  <c r="G43" i="38" s="1"/>
  <c r="F45" i="38"/>
  <c r="F47" i="38"/>
  <c r="F48" i="38"/>
  <c r="F50" i="38"/>
  <c r="G50" i="38" s="1"/>
  <c r="F51" i="38"/>
  <c r="G51" i="38" s="1"/>
  <c r="F53" i="38"/>
  <c r="G53" i="38" s="1"/>
  <c r="F54" i="38"/>
  <c r="G54" i="38" s="1"/>
  <c r="F55" i="38"/>
  <c r="G55" i="38" s="1"/>
  <c r="F56" i="38"/>
  <c r="G56" i="38" s="1"/>
  <c r="F57" i="38"/>
  <c r="G57" i="38" s="1"/>
  <c r="F58" i="38"/>
  <c r="G58" i="38" s="1"/>
  <c r="F59" i="38"/>
  <c r="F60" i="38"/>
  <c r="F63" i="38"/>
  <c r="F64" i="38"/>
  <c r="G64" i="38" s="1"/>
  <c r="AP65" i="38"/>
  <c r="AL65" i="38"/>
  <c r="AD65" i="38"/>
  <c r="Z65" i="38"/>
  <c r="W65" i="38"/>
  <c r="K65" i="38"/>
  <c r="E65" i="38"/>
  <c r="AB64" i="38"/>
  <c r="M64" i="38"/>
  <c r="J64" i="38"/>
  <c r="P63" i="38"/>
  <c r="M63" i="38"/>
  <c r="J63" i="38"/>
  <c r="G63" i="38"/>
  <c r="AV61" i="38"/>
  <c r="AW61" i="38" s="1"/>
  <c r="J60" i="38"/>
  <c r="G60" i="38"/>
  <c r="AF59" i="38"/>
  <c r="AG59" i="38" s="1"/>
  <c r="S59" i="38"/>
  <c r="P59" i="38"/>
  <c r="M59" i="38"/>
  <c r="G59" i="38"/>
  <c r="AN57" i="38"/>
  <c r="AO57" i="38" s="1"/>
  <c r="AJ57" i="38"/>
  <c r="AK57" i="38" s="1"/>
  <c r="AF57" i="38"/>
  <c r="AG57" i="38" s="1"/>
  <c r="J57" i="38"/>
  <c r="AV56" i="38"/>
  <c r="AW56" i="38" s="1"/>
  <c r="AR56" i="38"/>
  <c r="AS56" i="38" s="1"/>
  <c r="AN56" i="38"/>
  <c r="AO56" i="38" s="1"/>
  <c r="Y55" i="38"/>
  <c r="V55" i="38"/>
  <c r="AJ54" i="38"/>
  <c r="AK54" i="38" s="1"/>
  <c r="AB54" i="38"/>
  <c r="Y54" i="38"/>
  <c r="P54" i="38"/>
  <c r="M54" i="38"/>
  <c r="V53" i="38"/>
  <c r="AR51" i="38"/>
  <c r="AS51" i="38" s="1"/>
  <c r="AN51" i="38"/>
  <c r="AO51" i="38" s="1"/>
  <c r="AJ51" i="38"/>
  <c r="AK51" i="38" s="1"/>
  <c r="AB51" i="38"/>
  <c r="Y51" i="38"/>
  <c r="S50" i="38"/>
  <c r="AN49" i="38"/>
  <c r="AO49" i="38" s="1"/>
  <c r="AJ49" i="38"/>
  <c r="AK49" i="38" s="1"/>
  <c r="AV48" i="38"/>
  <c r="AW48" i="38" s="1"/>
  <c r="AR48" i="38"/>
  <c r="AS48" i="38" s="1"/>
  <c r="AN48" i="38"/>
  <c r="AO48" i="38" s="1"/>
  <c r="P48" i="38"/>
  <c r="J48" i="38"/>
  <c r="G48" i="38"/>
  <c r="S47" i="38"/>
  <c r="P47" i="38"/>
  <c r="M47" i="38"/>
  <c r="G47" i="38"/>
  <c r="P45" i="38"/>
  <c r="M45" i="38"/>
  <c r="J45" i="38"/>
  <c r="G45" i="38"/>
  <c r="AR44" i="38"/>
  <c r="AS44" i="38" s="1"/>
  <c r="AN44" i="38"/>
  <c r="AO44" i="38" s="1"/>
  <c r="AF43" i="38"/>
  <c r="AG43" i="38" s="1"/>
  <c r="J43" i="38"/>
  <c r="Y42" i="38"/>
  <c r="P42" i="38"/>
  <c r="M42" i="38"/>
  <c r="AV41" i="38"/>
  <c r="AW41" i="38" s="1"/>
  <c r="V41" i="38"/>
  <c r="AR38" i="38"/>
  <c r="AS38" i="38" s="1"/>
  <c r="AF38" i="38"/>
  <c r="AG38" i="38" s="1"/>
  <c r="J38" i="38"/>
  <c r="AV37" i="38"/>
  <c r="AW37" i="38" s="1"/>
  <c r="AJ37" i="38"/>
  <c r="AK37" i="38" s="1"/>
  <c r="AB36" i="38"/>
  <c r="Y36" i="38"/>
  <c r="AV35" i="38"/>
  <c r="AW35" i="38" s="1"/>
  <c r="AN35" i="38"/>
  <c r="AO35" i="38" s="1"/>
  <c r="AJ35" i="38"/>
  <c r="AK35" i="38" s="1"/>
  <c r="AF35" i="38"/>
  <c r="AG35" i="38" s="1"/>
  <c r="V35" i="38"/>
  <c r="AN34" i="38"/>
  <c r="AO34" i="38" s="1"/>
  <c r="AJ34" i="38"/>
  <c r="AK34" i="38" s="1"/>
  <c r="AB34" i="38"/>
  <c r="V34" i="38"/>
  <c r="S34" i="38"/>
  <c r="G34" i="38"/>
  <c r="G33" i="38"/>
  <c r="AJ32" i="38"/>
  <c r="AK32" i="38" s="1"/>
  <c r="AB31" i="38"/>
  <c r="Y31" i="38"/>
  <c r="S31" i="38"/>
  <c r="P31" i="38"/>
  <c r="J31" i="38"/>
  <c r="G31" i="38"/>
  <c r="P30" i="38"/>
  <c r="M30" i="38"/>
  <c r="J30" i="38"/>
  <c r="G30" i="38"/>
  <c r="AV29" i="38"/>
  <c r="AW29" i="38" s="1"/>
  <c r="J28" i="38"/>
  <c r="G28" i="38"/>
  <c r="AN27" i="38"/>
  <c r="AO27" i="38" s="1"/>
  <c r="AJ27" i="38"/>
  <c r="AK27" i="38" s="1"/>
  <c r="P27" i="38"/>
  <c r="AV25" i="38"/>
  <c r="AW25" i="38" s="1"/>
  <c r="AR25" i="38"/>
  <c r="AS25" i="38" s="1"/>
  <c r="Y24" i="38"/>
  <c r="V24" i="38"/>
  <c r="AR23" i="38"/>
  <c r="AS23" i="38" s="1"/>
  <c r="S23" i="38"/>
  <c r="AB21" i="38"/>
  <c r="Y21" i="38"/>
  <c r="AV20" i="38"/>
  <c r="AW20" i="38" s="1"/>
  <c r="AR20" i="38"/>
  <c r="AS20" i="38" s="1"/>
  <c r="AN20" i="38"/>
  <c r="AO20" i="38" s="1"/>
  <c r="AB20" i="38"/>
  <c r="Y20" i="38"/>
  <c r="AJ18" i="38"/>
  <c r="AK18" i="38" s="1"/>
  <c r="AF18" i="38"/>
  <c r="AG18" i="38" s="1"/>
  <c r="AB18" i="38"/>
  <c r="V18" i="38"/>
  <c r="AB17" i="38"/>
  <c r="M17" i="38"/>
  <c r="AV16" i="38"/>
  <c r="AW16" i="38" s="1"/>
  <c r="AF16" i="38"/>
  <c r="AG16" i="38" s="1"/>
  <c r="Y16" i="38"/>
  <c r="V16" i="38"/>
  <c r="S16" i="38"/>
  <c r="AJ14" i="38"/>
  <c r="AK14" i="38" s="1"/>
  <c r="AF14" i="38"/>
  <c r="AG14" i="38" s="1"/>
  <c r="P14" i="38"/>
  <c r="M14" i="38"/>
  <c r="J13" i="38"/>
  <c r="AF12" i="38"/>
  <c r="AG12" i="38" s="1"/>
  <c r="M12" i="38"/>
  <c r="J12" i="38"/>
  <c r="G12" i="38"/>
  <c r="G11" i="38"/>
  <c r="V10" i="38"/>
  <c r="G10" i="38"/>
  <c r="AB9" i="38"/>
  <c r="J9" i="38"/>
  <c r="G9" i="38"/>
  <c r="AB8" i="38"/>
  <c r="S7" i="38"/>
  <c r="P7" i="38"/>
  <c r="M7" i="38"/>
  <c r="Y6" i="38"/>
  <c r="V6" i="38"/>
  <c r="J6" i="38"/>
  <c r="G6" i="38"/>
  <c r="AU61" i="37"/>
  <c r="AV61" i="37" s="1"/>
  <c r="AW61" i="37" s="1"/>
  <c r="AU59" i="37"/>
  <c r="AV59" i="37" s="1"/>
  <c r="AW59" i="37" s="1"/>
  <c r="AU57" i="37"/>
  <c r="AU56" i="37"/>
  <c r="AU54" i="37"/>
  <c r="AU51" i="37"/>
  <c r="AV51" i="37" s="1"/>
  <c r="AW51" i="37" s="1"/>
  <c r="AU49" i="37"/>
  <c r="AV49" i="37" s="1"/>
  <c r="AW49" i="37" s="1"/>
  <c r="AU48" i="37"/>
  <c r="AV48" i="37" s="1"/>
  <c r="AW48" i="37" s="1"/>
  <c r="AU46" i="37"/>
  <c r="AV46" i="37" s="1"/>
  <c r="AW46" i="37" s="1"/>
  <c r="AU44" i="37"/>
  <c r="AV44" i="37" s="1"/>
  <c r="AW44" i="37" s="1"/>
  <c r="AU43" i="37"/>
  <c r="AV43" i="37" s="1"/>
  <c r="AW43" i="37" s="1"/>
  <c r="AU41" i="37"/>
  <c r="AV41" i="37" s="1"/>
  <c r="AW41" i="37" s="1"/>
  <c r="AU37" i="37"/>
  <c r="AV37" i="37" s="1"/>
  <c r="AW37" i="37" s="1"/>
  <c r="AU35" i="37"/>
  <c r="AV35" i="37" s="1"/>
  <c r="AW35" i="37" s="1"/>
  <c r="AU34" i="37"/>
  <c r="AU32" i="37"/>
  <c r="AU30" i="37"/>
  <c r="AU29" i="37"/>
  <c r="AU25" i="37"/>
  <c r="AV25" i="37" s="1"/>
  <c r="AW25" i="37" s="1"/>
  <c r="AU23" i="37"/>
  <c r="AV23" i="37" s="1"/>
  <c r="AW23" i="37" s="1"/>
  <c r="AU20" i="37"/>
  <c r="AU18" i="37"/>
  <c r="AV18" i="37" s="1"/>
  <c r="AW18" i="37" s="1"/>
  <c r="AU16" i="37"/>
  <c r="AU14" i="37"/>
  <c r="AV14" i="37" s="1"/>
  <c r="AW14" i="37" s="1"/>
  <c r="AU12" i="37"/>
  <c r="AU7" i="37"/>
  <c r="AQ61" i="37"/>
  <c r="AQ59" i="37"/>
  <c r="AQ57" i="37"/>
  <c r="AQ56" i="37"/>
  <c r="AQ54" i="37"/>
  <c r="AQ51" i="37"/>
  <c r="AR51" i="37" s="1"/>
  <c r="AS51" i="37" s="1"/>
  <c r="AQ49" i="37"/>
  <c r="AR49" i="37" s="1"/>
  <c r="AS49" i="37" s="1"/>
  <c r="AQ48" i="37"/>
  <c r="AR48" i="37" s="1"/>
  <c r="AS48" i="37" s="1"/>
  <c r="AQ46" i="37"/>
  <c r="AR46" i="37" s="1"/>
  <c r="AS46" i="37" s="1"/>
  <c r="AQ44" i="37"/>
  <c r="AR44" i="37" s="1"/>
  <c r="AS44" i="37" s="1"/>
  <c r="AQ43" i="37"/>
  <c r="AR43" i="37" s="1"/>
  <c r="AS43" i="37" s="1"/>
  <c r="AQ41" i="37"/>
  <c r="AR41" i="37" s="1"/>
  <c r="AS41" i="37" s="1"/>
  <c r="AQ37" i="37"/>
  <c r="AQ35" i="37"/>
  <c r="AQ34" i="37"/>
  <c r="AR34" i="37" s="1"/>
  <c r="AS34" i="37" s="1"/>
  <c r="AQ32" i="37"/>
  <c r="AR32" i="37" s="1"/>
  <c r="AS32" i="37" s="1"/>
  <c r="AQ30" i="37"/>
  <c r="AQ29" i="37"/>
  <c r="AR29" i="37" s="1"/>
  <c r="AS29" i="37" s="1"/>
  <c r="AQ25" i="37"/>
  <c r="AR25" i="37" s="1"/>
  <c r="AS25" i="37" s="1"/>
  <c r="AQ23" i="37"/>
  <c r="AR23" i="37" s="1"/>
  <c r="AS23" i="37" s="1"/>
  <c r="AQ20" i="37"/>
  <c r="AR20" i="37" s="1"/>
  <c r="AS20" i="37" s="1"/>
  <c r="AQ18" i="37"/>
  <c r="AR18" i="37" s="1"/>
  <c r="AS18" i="37" s="1"/>
  <c r="AQ16" i="37"/>
  <c r="AR16" i="37" s="1"/>
  <c r="AS16" i="37" s="1"/>
  <c r="AQ14" i="37"/>
  <c r="AR14" i="37" s="1"/>
  <c r="AS14" i="37" s="1"/>
  <c r="AQ12" i="37"/>
  <c r="AQ7" i="37"/>
  <c r="AM61" i="37"/>
  <c r="AM59" i="37"/>
  <c r="AN59" i="37" s="1"/>
  <c r="AO59" i="37" s="1"/>
  <c r="AM57" i="37"/>
  <c r="AM56" i="37"/>
  <c r="AN56" i="37" s="1"/>
  <c r="AO56" i="37" s="1"/>
  <c r="AM54" i="37"/>
  <c r="AM51" i="37"/>
  <c r="AN51" i="37" s="1"/>
  <c r="AO51" i="37" s="1"/>
  <c r="AM49" i="37"/>
  <c r="AN49" i="37" s="1"/>
  <c r="AO49" i="37" s="1"/>
  <c r="AM48" i="37"/>
  <c r="AN48" i="37" s="1"/>
  <c r="AO48" i="37" s="1"/>
  <c r="AM46" i="37"/>
  <c r="AN46" i="37" s="1"/>
  <c r="AO46" i="37" s="1"/>
  <c r="AM44" i="37"/>
  <c r="AN44" i="37" s="1"/>
  <c r="AO44" i="37" s="1"/>
  <c r="AM43" i="37"/>
  <c r="AM41" i="37"/>
  <c r="AM37" i="37"/>
  <c r="AN37" i="37" s="1"/>
  <c r="AO37" i="37" s="1"/>
  <c r="AM35" i="37"/>
  <c r="AN35" i="37" s="1"/>
  <c r="AO35" i="37" s="1"/>
  <c r="AM34" i="37"/>
  <c r="AN34" i="37" s="1"/>
  <c r="AO34" i="37" s="1"/>
  <c r="AM32" i="37"/>
  <c r="AN32" i="37" s="1"/>
  <c r="AO32" i="37" s="1"/>
  <c r="AM30" i="37"/>
  <c r="AN30" i="37" s="1"/>
  <c r="AO30" i="37" s="1"/>
  <c r="AM29" i="37"/>
  <c r="AN29" i="37" s="1"/>
  <c r="AO29" i="37" s="1"/>
  <c r="AM25" i="37"/>
  <c r="AN25" i="37" s="1"/>
  <c r="AO25" i="37" s="1"/>
  <c r="AM23" i="37"/>
  <c r="AN23" i="37" s="1"/>
  <c r="AO23" i="37" s="1"/>
  <c r="AM20" i="37"/>
  <c r="AN20" i="37" s="1"/>
  <c r="AO20" i="37" s="1"/>
  <c r="AM18" i="37"/>
  <c r="AM16" i="37"/>
  <c r="AM14" i="37"/>
  <c r="AM12" i="37"/>
  <c r="AM7" i="37"/>
  <c r="AI61" i="37"/>
  <c r="AJ61" i="37" s="1"/>
  <c r="AK61" i="37" s="1"/>
  <c r="AI59" i="37"/>
  <c r="AJ59" i="37" s="1"/>
  <c r="AK59" i="37" s="1"/>
  <c r="AI57" i="37"/>
  <c r="AJ57" i="37" s="1"/>
  <c r="AK57" i="37" s="1"/>
  <c r="AI56" i="37"/>
  <c r="AI54" i="37"/>
  <c r="AJ54" i="37" s="1"/>
  <c r="AK54" i="37" s="1"/>
  <c r="AI51" i="37"/>
  <c r="AJ51" i="37" s="1"/>
  <c r="AK51" i="37" s="1"/>
  <c r="AI49" i="37"/>
  <c r="AJ49" i="37" s="1"/>
  <c r="AK49" i="37" s="1"/>
  <c r="AI48" i="37"/>
  <c r="AJ48" i="37" s="1"/>
  <c r="AK48" i="37" s="1"/>
  <c r="AI46" i="37"/>
  <c r="AI44" i="37"/>
  <c r="AI43" i="37"/>
  <c r="AI41" i="37"/>
  <c r="AI37" i="37"/>
  <c r="AJ37" i="37" s="1"/>
  <c r="AK37" i="37" s="1"/>
  <c r="AI35" i="37"/>
  <c r="AJ35" i="37" s="1"/>
  <c r="AK35" i="37" s="1"/>
  <c r="AI34" i="37"/>
  <c r="AJ34" i="37" s="1"/>
  <c r="AK34" i="37" s="1"/>
  <c r="AI32" i="37"/>
  <c r="AJ32" i="37" s="1"/>
  <c r="AK32" i="37" s="1"/>
  <c r="AI30" i="37"/>
  <c r="AJ30" i="37" s="1"/>
  <c r="AK30" i="37" s="1"/>
  <c r="AI29" i="37"/>
  <c r="AJ29" i="37" s="1"/>
  <c r="AK29" i="37" s="1"/>
  <c r="AI25" i="37"/>
  <c r="AJ25" i="37" s="1"/>
  <c r="AK25" i="37" s="1"/>
  <c r="AI23" i="37"/>
  <c r="AJ23" i="37" s="1"/>
  <c r="AK23" i="37" s="1"/>
  <c r="AI20" i="37"/>
  <c r="AI18" i="37"/>
  <c r="AI16" i="37"/>
  <c r="AJ16" i="37" s="1"/>
  <c r="AK16" i="37" s="1"/>
  <c r="AI14" i="37"/>
  <c r="AI12" i="37"/>
  <c r="AI7" i="37"/>
  <c r="AE61" i="37"/>
  <c r="AF61" i="37" s="1"/>
  <c r="AG61" i="37" s="1"/>
  <c r="AE59" i="37"/>
  <c r="AF59" i="37" s="1"/>
  <c r="AG59" i="37" s="1"/>
  <c r="AE57" i="37"/>
  <c r="AF57" i="37" s="1"/>
  <c r="AG57" i="37" s="1"/>
  <c r="AE56" i="37"/>
  <c r="AF56" i="37" s="1"/>
  <c r="AG56" i="37" s="1"/>
  <c r="AE54" i="37"/>
  <c r="AE51" i="37"/>
  <c r="AF51" i="37" s="1"/>
  <c r="AG51" i="37" s="1"/>
  <c r="AE49" i="37"/>
  <c r="AE48" i="37"/>
  <c r="AE46" i="37"/>
  <c r="AE44" i="37"/>
  <c r="AE43" i="37"/>
  <c r="AE41" i="37"/>
  <c r="AF41" i="37" s="1"/>
  <c r="AG41" i="37" s="1"/>
  <c r="AE37" i="37"/>
  <c r="AF37" i="37" s="1"/>
  <c r="AG37" i="37" s="1"/>
  <c r="AE35" i="37"/>
  <c r="AF35" i="37" s="1"/>
  <c r="AG35" i="37" s="1"/>
  <c r="AE34" i="37"/>
  <c r="AF34" i="37" s="1"/>
  <c r="AG34" i="37" s="1"/>
  <c r="AE32" i="37"/>
  <c r="AF32" i="37" s="1"/>
  <c r="AG32" i="37" s="1"/>
  <c r="AE30" i="37"/>
  <c r="AF30" i="37" s="1"/>
  <c r="AG30" i="37" s="1"/>
  <c r="AE29" i="37"/>
  <c r="AF29" i="37" s="1"/>
  <c r="AG29" i="37" s="1"/>
  <c r="AE25" i="37"/>
  <c r="AE23" i="37"/>
  <c r="AE20" i="37"/>
  <c r="AE18" i="37"/>
  <c r="AE16" i="37"/>
  <c r="AF16" i="37" s="1"/>
  <c r="AG16" i="37" s="1"/>
  <c r="AE14" i="37"/>
  <c r="AF14" i="37" s="1"/>
  <c r="AG14" i="37" s="1"/>
  <c r="AE12" i="37"/>
  <c r="AE7" i="37"/>
  <c r="AA64" i="37"/>
  <c r="AB64" i="37" s="1"/>
  <c r="AA63" i="37"/>
  <c r="AB63" i="37" s="1"/>
  <c r="AA60" i="37"/>
  <c r="AB60" i="37" s="1"/>
  <c r="AA59" i="37"/>
  <c r="AB59" i="37" s="1"/>
  <c r="AA58" i="37"/>
  <c r="AA57" i="37"/>
  <c r="AA56" i="37"/>
  <c r="AB56" i="37" s="1"/>
  <c r="AA55" i="37"/>
  <c r="AA54" i="37"/>
  <c r="AA53" i="37"/>
  <c r="AB53" i="37" s="1"/>
  <c r="AA51" i="37"/>
  <c r="AB51" i="37" s="1"/>
  <c r="AA50" i="37"/>
  <c r="AB50" i="37" s="1"/>
  <c r="AA48" i="37"/>
  <c r="AB48" i="37" s="1"/>
  <c r="AA47" i="37"/>
  <c r="AB47" i="37" s="1"/>
  <c r="AA45" i="37"/>
  <c r="AB45" i="37" s="1"/>
  <c r="AA43" i="37"/>
  <c r="AA42" i="37"/>
  <c r="AA41" i="37"/>
  <c r="AA39" i="37"/>
  <c r="AA38" i="37"/>
  <c r="AB38" i="37" s="1"/>
  <c r="AA36" i="37"/>
  <c r="AB36" i="37" s="1"/>
  <c r="AA35" i="37"/>
  <c r="AB35" i="37" s="1"/>
  <c r="AA34" i="37"/>
  <c r="AB34" i="37" s="1"/>
  <c r="AA33" i="37"/>
  <c r="AB33" i="37" s="1"/>
  <c r="AA31" i="37"/>
  <c r="AB31" i="37" s="1"/>
  <c r="AA30" i="37"/>
  <c r="AB30" i="37" s="1"/>
  <c r="AA28" i="37"/>
  <c r="AB28" i="37" s="1"/>
  <c r="AA27" i="37"/>
  <c r="AB27" i="37" s="1"/>
  <c r="AA25" i="37"/>
  <c r="AA24" i="37"/>
  <c r="AA23" i="37"/>
  <c r="AB23" i="37" s="1"/>
  <c r="AA22" i="37"/>
  <c r="AA21" i="37"/>
  <c r="AB21" i="37" s="1"/>
  <c r="AA20" i="37"/>
  <c r="AB20" i="37" s="1"/>
  <c r="AA19" i="37"/>
  <c r="AB19" i="37" s="1"/>
  <c r="AA18" i="37"/>
  <c r="AB18" i="37" s="1"/>
  <c r="AA17" i="37"/>
  <c r="AB17" i="37" s="1"/>
  <c r="AA16" i="37"/>
  <c r="AB16" i="37" s="1"/>
  <c r="AA15" i="37"/>
  <c r="AA14" i="37"/>
  <c r="AA13" i="37"/>
  <c r="AA12" i="37"/>
  <c r="AA11" i="37"/>
  <c r="AA10" i="37"/>
  <c r="AA9" i="37"/>
  <c r="AB9" i="37" s="1"/>
  <c r="AA8" i="37"/>
  <c r="AB8" i="37" s="1"/>
  <c r="AA7" i="37"/>
  <c r="AB7" i="37" s="1"/>
  <c r="AA6" i="37"/>
  <c r="AB6" i="37" s="1"/>
  <c r="AA5" i="37"/>
  <c r="Z5" i="37" s="1"/>
  <c r="AA5" i="38" s="1"/>
  <c r="X64" i="37"/>
  <c r="Y64" i="37" s="1"/>
  <c r="X63" i="37"/>
  <c r="Y63" i="37" s="1"/>
  <c r="X60" i="37"/>
  <c r="Y60" i="37" s="1"/>
  <c r="X59" i="37"/>
  <c r="X58" i="37"/>
  <c r="X57" i="37"/>
  <c r="Y57" i="37" s="1"/>
  <c r="X56" i="37"/>
  <c r="Y56" i="37" s="1"/>
  <c r="X55" i="37"/>
  <c r="X54" i="37"/>
  <c r="Y54" i="37" s="1"/>
  <c r="X53" i="37"/>
  <c r="X51" i="37"/>
  <c r="Y51" i="37" s="1"/>
  <c r="X50" i="37"/>
  <c r="Y50" i="37" s="1"/>
  <c r="X48" i="37"/>
  <c r="Y48" i="37" s="1"/>
  <c r="X47" i="37"/>
  <c r="Y47" i="37" s="1"/>
  <c r="X45" i="37"/>
  <c r="X43" i="37"/>
  <c r="X42" i="37"/>
  <c r="X41" i="37"/>
  <c r="X39" i="37"/>
  <c r="X38" i="37"/>
  <c r="Y38" i="37" s="1"/>
  <c r="X36" i="37"/>
  <c r="Y36" i="37" s="1"/>
  <c r="X35" i="37"/>
  <c r="Y35" i="37" s="1"/>
  <c r="X34" i="37"/>
  <c r="Y34" i="37" s="1"/>
  <c r="X33" i="37"/>
  <c r="Y33" i="37" s="1"/>
  <c r="X31" i="37"/>
  <c r="Y31" i="37" s="1"/>
  <c r="X30" i="37"/>
  <c r="Y30" i="37" s="1"/>
  <c r="X28" i="37"/>
  <c r="Y28" i="37" s="1"/>
  <c r="X27" i="37"/>
  <c r="X25" i="37"/>
  <c r="X24" i="37"/>
  <c r="X23" i="37"/>
  <c r="Y23" i="37" s="1"/>
  <c r="X22" i="37"/>
  <c r="X21" i="37"/>
  <c r="Y21" i="37" s="1"/>
  <c r="X20" i="37"/>
  <c r="Y20" i="37" s="1"/>
  <c r="X19" i="37"/>
  <c r="Y19" i="37" s="1"/>
  <c r="X18" i="37"/>
  <c r="Y18" i="37" s="1"/>
  <c r="X17" i="37"/>
  <c r="Y17" i="37" s="1"/>
  <c r="X16" i="37"/>
  <c r="Y16" i="37" s="1"/>
  <c r="X15" i="37"/>
  <c r="X14" i="37"/>
  <c r="X13" i="37"/>
  <c r="X12" i="37"/>
  <c r="Y12" i="37" s="1"/>
  <c r="X11" i="37"/>
  <c r="Y11" i="37" s="1"/>
  <c r="X10" i="37"/>
  <c r="X9" i="37"/>
  <c r="Y9" i="37" s="1"/>
  <c r="X8" i="37"/>
  <c r="Y8" i="37" s="1"/>
  <c r="X7" i="37"/>
  <c r="Y7" i="37" s="1"/>
  <c r="X6" i="37"/>
  <c r="Y6" i="37" s="1"/>
  <c r="X5" i="37"/>
  <c r="W5" i="37" s="1"/>
  <c r="X5" i="38" s="1"/>
  <c r="U64" i="37"/>
  <c r="V64" i="37" s="1"/>
  <c r="U63" i="37"/>
  <c r="U60" i="37"/>
  <c r="U59" i="37"/>
  <c r="U58" i="37"/>
  <c r="V58" i="37" s="1"/>
  <c r="U57" i="37"/>
  <c r="V57" i="37" s="1"/>
  <c r="U56" i="37"/>
  <c r="V56" i="37" s="1"/>
  <c r="U55" i="37"/>
  <c r="V55" i="37" s="1"/>
  <c r="U54" i="37"/>
  <c r="V54" i="37" s="1"/>
  <c r="U53" i="37"/>
  <c r="V53" i="37" s="1"/>
  <c r="U51" i="37"/>
  <c r="V51" i="37" s="1"/>
  <c r="U50" i="37"/>
  <c r="V50" i="37" s="1"/>
  <c r="U48" i="37"/>
  <c r="U47" i="37"/>
  <c r="U45" i="37"/>
  <c r="U43" i="37"/>
  <c r="U42" i="37"/>
  <c r="U41" i="37"/>
  <c r="V41" i="37" s="1"/>
  <c r="U39" i="37"/>
  <c r="U38" i="37"/>
  <c r="V38" i="37" s="1"/>
  <c r="U36" i="37"/>
  <c r="V36" i="37" s="1"/>
  <c r="U35" i="37"/>
  <c r="U34" i="37"/>
  <c r="V34" i="37" s="1"/>
  <c r="U33" i="37"/>
  <c r="V33" i="37" s="1"/>
  <c r="U31" i="37"/>
  <c r="V31" i="37" s="1"/>
  <c r="U30" i="37"/>
  <c r="U28" i="37"/>
  <c r="U27" i="37"/>
  <c r="U25" i="37"/>
  <c r="U24" i="37"/>
  <c r="U23" i="37"/>
  <c r="V23" i="37" s="1"/>
  <c r="U22" i="37"/>
  <c r="V22" i="37" s="1"/>
  <c r="U21" i="37"/>
  <c r="U20" i="37"/>
  <c r="V20" i="37" s="1"/>
  <c r="U19" i="37"/>
  <c r="V19" i="37" s="1"/>
  <c r="U18" i="37"/>
  <c r="V18" i="37" s="1"/>
  <c r="U17" i="37"/>
  <c r="V17" i="37" s="1"/>
  <c r="U16" i="37"/>
  <c r="U15" i="37"/>
  <c r="U14" i="37"/>
  <c r="U13" i="37"/>
  <c r="U12" i="37"/>
  <c r="V12" i="37" s="1"/>
  <c r="U11" i="37"/>
  <c r="V11" i="37" s="1"/>
  <c r="U10" i="37"/>
  <c r="V10" i="37" s="1"/>
  <c r="U9" i="37"/>
  <c r="V9" i="37" s="1"/>
  <c r="U8" i="37"/>
  <c r="V8" i="37" s="1"/>
  <c r="U7" i="37"/>
  <c r="V7" i="37" s="1"/>
  <c r="U6" i="37"/>
  <c r="V6" i="37" s="1"/>
  <c r="U5" i="37"/>
  <c r="R64" i="37"/>
  <c r="S64" i="37" s="1"/>
  <c r="R63" i="37"/>
  <c r="R60" i="37"/>
  <c r="R59" i="37"/>
  <c r="R58" i="37"/>
  <c r="S58" i="37" s="1"/>
  <c r="R57" i="37"/>
  <c r="S57" i="37" s="1"/>
  <c r="R56" i="37"/>
  <c r="S56" i="37" s="1"/>
  <c r="R55" i="37"/>
  <c r="S55" i="37" s="1"/>
  <c r="R54" i="37"/>
  <c r="S54" i="37" s="1"/>
  <c r="R53" i="37"/>
  <c r="S53" i="37" s="1"/>
  <c r="R51" i="37"/>
  <c r="S51" i="37" s="1"/>
  <c r="R50" i="37"/>
  <c r="S50" i="37" s="1"/>
  <c r="R48" i="37"/>
  <c r="R47" i="37"/>
  <c r="R45" i="37"/>
  <c r="R43" i="37"/>
  <c r="S43" i="37" s="1"/>
  <c r="R42" i="37"/>
  <c r="R41" i="37"/>
  <c r="S41" i="37" s="1"/>
  <c r="R39" i="37"/>
  <c r="R38" i="37"/>
  <c r="S38" i="37" s="1"/>
  <c r="R36" i="37"/>
  <c r="S36" i="37" s="1"/>
  <c r="R35" i="37"/>
  <c r="S35" i="37" s="1"/>
  <c r="R34" i="37"/>
  <c r="S34" i="37" s="1"/>
  <c r="R33" i="37"/>
  <c r="S33" i="37" s="1"/>
  <c r="R31" i="37"/>
  <c r="S31" i="37" s="1"/>
  <c r="R30" i="37"/>
  <c r="R28" i="37"/>
  <c r="R27" i="37"/>
  <c r="R25" i="37"/>
  <c r="R24" i="37"/>
  <c r="R23" i="37"/>
  <c r="S23" i="37" s="1"/>
  <c r="R22" i="37"/>
  <c r="R21" i="37"/>
  <c r="R20" i="37"/>
  <c r="S20" i="37" s="1"/>
  <c r="R19" i="37"/>
  <c r="S19" i="37" s="1"/>
  <c r="R18" i="37"/>
  <c r="S18" i="37" s="1"/>
  <c r="R17" i="37"/>
  <c r="S17" i="37" s="1"/>
  <c r="R16" i="37"/>
  <c r="R15" i="37"/>
  <c r="R14" i="37"/>
  <c r="R13" i="37"/>
  <c r="R12" i="37"/>
  <c r="S12" i="37" s="1"/>
  <c r="R11" i="37"/>
  <c r="S11" i="37" s="1"/>
  <c r="R10" i="37"/>
  <c r="S10" i="37" s="1"/>
  <c r="R9" i="37"/>
  <c r="S9" i="37" s="1"/>
  <c r="R8" i="37"/>
  <c r="S8" i="37" s="1"/>
  <c r="R7" i="37"/>
  <c r="S7" i="37" s="1"/>
  <c r="R6" i="37"/>
  <c r="S6" i="37" s="1"/>
  <c r="R5" i="37"/>
  <c r="O64" i="37"/>
  <c r="O63" i="37"/>
  <c r="O60" i="37"/>
  <c r="O59" i="37"/>
  <c r="O58" i="37"/>
  <c r="P58" i="37" s="1"/>
  <c r="O57" i="37"/>
  <c r="P57" i="37" s="1"/>
  <c r="O56" i="37"/>
  <c r="P56" i="37" s="1"/>
  <c r="O55" i="37"/>
  <c r="P55" i="37" s="1"/>
  <c r="O54" i="37"/>
  <c r="P54" i="37" s="1"/>
  <c r="O53" i="37"/>
  <c r="P53" i="37" s="1"/>
  <c r="O51" i="37"/>
  <c r="P51" i="37" s="1"/>
  <c r="O50" i="37"/>
  <c r="O48" i="37"/>
  <c r="O47" i="37"/>
  <c r="O45" i="37"/>
  <c r="O43" i="37"/>
  <c r="P43" i="37" s="1"/>
  <c r="O42" i="37"/>
  <c r="O41" i="37"/>
  <c r="P41" i="37" s="1"/>
  <c r="O39" i="37"/>
  <c r="O38" i="37"/>
  <c r="O36" i="37"/>
  <c r="P36" i="37" s="1"/>
  <c r="O35" i="37"/>
  <c r="P35" i="37" s="1"/>
  <c r="O34" i="37"/>
  <c r="P34" i="37" s="1"/>
  <c r="O33" i="37"/>
  <c r="O31" i="37"/>
  <c r="O30" i="37"/>
  <c r="O28" i="37"/>
  <c r="O27" i="37"/>
  <c r="O25" i="37"/>
  <c r="O24" i="37"/>
  <c r="P24" i="37" s="1"/>
  <c r="O23" i="37"/>
  <c r="P23" i="37" s="1"/>
  <c r="O22" i="37"/>
  <c r="P22" i="37" s="1"/>
  <c r="O21" i="37"/>
  <c r="P21" i="37" s="1"/>
  <c r="O20" i="37"/>
  <c r="P20" i="37" s="1"/>
  <c r="O19" i="37"/>
  <c r="P19" i="37" s="1"/>
  <c r="O18" i="37"/>
  <c r="P18" i="37" s="1"/>
  <c r="O17" i="37"/>
  <c r="O16" i="37"/>
  <c r="O15" i="37"/>
  <c r="P15" i="37" s="1"/>
  <c r="O14" i="37"/>
  <c r="P14" i="37" s="1"/>
  <c r="O13" i="37"/>
  <c r="O12" i="37"/>
  <c r="P12" i="37" s="1"/>
  <c r="O11" i="37"/>
  <c r="P11" i="37" s="1"/>
  <c r="O10" i="37"/>
  <c r="P10" i="37" s="1"/>
  <c r="O9" i="37"/>
  <c r="P9" i="37" s="1"/>
  <c r="O8" i="37"/>
  <c r="P8" i="37" s="1"/>
  <c r="O7" i="37"/>
  <c r="P7" i="37" s="1"/>
  <c r="O6" i="37"/>
  <c r="O5" i="37"/>
  <c r="L64" i="37"/>
  <c r="L63" i="37"/>
  <c r="L60" i="37"/>
  <c r="L59" i="37"/>
  <c r="L58" i="37"/>
  <c r="M58" i="37" s="1"/>
  <c r="L57" i="37"/>
  <c r="M57" i="37" s="1"/>
  <c r="L56" i="37"/>
  <c r="M56" i="37" s="1"/>
  <c r="L55" i="37"/>
  <c r="M55" i="37" s="1"/>
  <c r="L54" i="37"/>
  <c r="M54" i="37" s="1"/>
  <c r="L53" i="37"/>
  <c r="M53" i="37" s="1"/>
  <c r="L51" i="37"/>
  <c r="M51" i="37" s="1"/>
  <c r="L50" i="37"/>
  <c r="L48" i="37"/>
  <c r="L47" i="37"/>
  <c r="L45" i="37"/>
  <c r="M45" i="37" s="1"/>
  <c r="L43" i="37"/>
  <c r="M43" i="37" s="1"/>
  <c r="L42" i="37"/>
  <c r="M42" i="37" s="1"/>
  <c r="L41" i="37"/>
  <c r="M41" i="37" s="1"/>
  <c r="L39" i="37"/>
  <c r="L38" i="37"/>
  <c r="M38" i="37" s="1"/>
  <c r="L36" i="37"/>
  <c r="M36" i="37" s="1"/>
  <c r="L35" i="37"/>
  <c r="L34" i="37"/>
  <c r="M34" i="37" s="1"/>
  <c r="L33" i="37"/>
  <c r="L31" i="37"/>
  <c r="L30" i="37"/>
  <c r="L28" i="37"/>
  <c r="L27" i="37"/>
  <c r="L25" i="37"/>
  <c r="M25" i="37" s="1"/>
  <c r="L24" i="37"/>
  <c r="K24" i="37" s="1"/>
  <c r="L24" i="38" s="1"/>
  <c r="M24" i="38" s="1"/>
  <c r="L23" i="37"/>
  <c r="M23" i="37" s="1"/>
  <c r="L22" i="37"/>
  <c r="M22" i="37" s="1"/>
  <c r="L21" i="37"/>
  <c r="M21" i="37" s="1"/>
  <c r="L20" i="37"/>
  <c r="M20" i="37" s="1"/>
  <c r="L19" i="37"/>
  <c r="M19" i="37" s="1"/>
  <c r="L18" i="37"/>
  <c r="L17" i="37"/>
  <c r="L16" i="37"/>
  <c r="L15" i="37"/>
  <c r="M15" i="37" s="1"/>
  <c r="L14" i="37"/>
  <c r="M14" i="37" s="1"/>
  <c r="L13" i="37"/>
  <c r="M13" i="37" s="1"/>
  <c r="L12" i="37"/>
  <c r="M12" i="37" s="1"/>
  <c r="L11" i="37"/>
  <c r="M11" i="37" s="1"/>
  <c r="L10" i="37"/>
  <c r="M10" i="37" s="1"/>
  <c r="L9" i="37"/>
  <c r="M9" i="37" s="1"/>
  <c r="L8" i="37"/>
  <c r="M8" i="37" s="1"/>
  <c r="L7" i="37"/>
  <c r="M7" i="37" s="1"/>
  <c r="L6" i="37"/>
  <c r="L5" i="37"/>
  <c r="K5" i="37" s="1"/>
  <c r="L5" i="38" s="1"/>
  <c r="I64" i="37"/>
  <c r="I63" i="37"/>
  <c r="J63" i="37" s="1"/>
  <c r="I60" i="37"/>
  <c r="J60" i="37" s="1"/>
  <c r="I59" i="37"/>
  <c r="J59" i="37" s="1"/>
  <c r="I58" i="37"/>
  <c r="J58" i="37" s="1"/>
  <c r="I57" i="37"/>
  <c r="I56" i="37"/>
  <c r="J56" i="37" s="1"/>
  <c r="I55" i="37"/>
  <c r="J55" i="37" s="1"/>
  <c r="I54" i="37"/>
  <c r="J54" i="37" s="1"/>
  <c r="I53" i="37"/>
  <c r="I51" i="37"/>
  <c r="I50" i="37"/>
  <c r="I48" i="37"/>
  <c r="J48" i="37" s="1"/>
  <c r="I47" i="37"/>
  <c r="I45" i="37"/>
  <c r="J45" i="37" s="1"/>
  <c r="I43" i="37"/>
  <c r="J43" i="37" s="1"/>
  <c r="I42" i="37"/>
  <c r="J42" i="37" s="1"/>
  <c r="I41" i="37"/>
  <c r="J41" i="37" s="1"/>
  <c r="I39" i="37"/>
  <c r="J39" i="37" s="1"/>
  <c r="I38" i="37"/>
  <c r="J38" i="37" s="1"/>
  <c r="I36" i="37"/>
  <c r="J36" i="37" s="1"/>
  <c r="I35" i="37"/>
  <c r="J35" i="37" s="1"/>
  <c r="I34" i="37"/>
  <c r="I33" i="37"/>
  <c r="I31" i="37"/>
  <c r="I30" i="37"/>
  <c r="J30" i="37" s="1"/>
  <c r="I28" i="37"/>
  <c r="I27" i="37"/>
  <c r="J27" i="37" s="1"/>
  <c r="I25" i="37"/>
  <c r="J25" i="37" s="1"/>
  <c r="I24" i="37"/>
  <c r="H24" i="37" s="1"/>
  <c r="J24" i="37" s="1"/>
  <c r="I23" i="37"/>
  <c r="J23" i="37" s="1"/>
  <c r="I22" i="37"/>
  <c r="H22" i="37" s="1"/>
  <c r="I21" i="37"/>
  <c r="H21" i="37" s="1"/>
  <c r="I20" i="37"/>
  <c r="J20" i="37" s="1"/>
  <c r="I19" i="37"/>
  <c r="I18" i="37"/>
  <c r="I17" i="37"/>
  <c r="I16" i="37"/>
  <c r="I15" i="37"/>
  <c r="H15" i="37" s="1"/>
  <c r="I14" i="37"/>
  <c r="H14" i="37" s="1"/>
  <c r="I13" i="37"/>
  <c r="I12" i="37"/>
  <c r="I11" i="37"/>
  <c r="J11" i="37" s="1"/>
  <c r="I10" i="37"/>
  <c r="J10" i="37" s="1"/>
  <c r="I9" i="37"/>
  <c r="I8" i="37"/>
  <c r="J8" i="37" s="1"/>
  <c r="I7" i="37"/>
  <c r="I6" i="37"/>
  <c r="I5" i="37"/>
  <c r="H5" i="37" s="1"/>
  <c r="I5" i="38" s="1"/>
  <c r="F6" i="37"/>
  <c r="G6" i="37" s="1"/>
  <c r="F7" i="37"/>
  <c r="F8" i="37"/>
  <c r="G8" i="37" s="1"/>
  <c r="F9" i="37"/>
  <c r="F10" i="37"/>
  <c r="F11" i="37"/>
  <c r="G11" i="37" s="1"/>
  <c r="F12" i="37"/>
  <c r="G12" i="37" s="1"/>
  <c r="F13" i="37"/>
  <c r="G13" i="37" s="1"/>
  <c r="F14" i="37"/>
  <c r="E14" i="37" s="1"/>
  <c r="F15" i="37"/>
  <c r="E15" i="37" s="1"/>
  <c r="F16" i="37"/>
  <c r="F17" i="37"/>
  <c r="F18" i="37"/>
  <c r="G18" i="37" s="1"/>
  <c r="F19" i="37"/>
  <c r="G19" i="37" s="1"/>
  <c r="F20" i="37"/>
  <c r="G20" i="37" s="1"/>
  <c r="F21" i="37"/>
  <c r="E21" i="37" s="1"/>
  <c r="F22" i="37"/>
  <c r="E22" i="37" s="1"/>
  <c r="F23" i="37"/>
  <c r="G23" i="37" s="1"/>
  <c r="F24" i="37"/>
  <c r="E24" i="37" s="1"/>
  <c r="F25" i="37"/>
  <c r="G25" i="37" s="1"/>
  <c r="F27" i="37"/>
  <c r="G27" i="37" s="1"/>
  <c r="F28" i="37"/>
  <c r="F30" i="37"/>
  <c r="F31" i="37"/>
  <c r="F33" i="37"/>
  <c r="G33" i="37" s="1"/>
  <c r="F34" i="37"/>
  <c r="G34" i="37" s="1"/>
  <c r="F35" i="37"/>
  <c r="G35" i="37" s="1"/>
  <c r="F36" i="37"/>
  <c r="G36" i="37" s="1"/>
  <c r="F38" i="37"/>
  <c r="G38" i="37" s="1"/>
  <c r="F39" i="37"/>
  <c r="F41" i="37"/>
  <c r="G41" i="37" s="1"/>
  <c r="F42" i="37"/>
  <c r="G42" i="37" s="1"/>
  <c r="F43" i="37"/>
  <c r="G43" i="37" s="1"/>
  <c r="F45" i="37"/>
  <c r="F47" i="37"/>
  <c r="F48" i="37"/>
  <c r="G48" i="37" s="1"/>
  <c r="F50" i="37"/>
  <c r="G50" i="37" s="1"/>
  <c r="F51" i="37"/>
  <c r="G51" i="37" s="1"/>
  <c r="F53" i="37"/>
  <c r="G53" i="37" s="1"/>
  <c r="F54" i="37"/>
  <c r="G54" i="37" s="1"/>
  <c r="F55" i="37"/>
  <c r="G55" i="37" s="1"/>
  <c r="F56" i="37"/>
  <c r="G56" i="37" s="1"/>
  <c r="F57" i="37"/>
  <c r="F58" i="37"/>
  <c r="G58" i="37" s="1"/>
  <c r="F59" i="37"/>
  <c r="F60" i="37"/>
  <c r="F63" i="37"/>
  <c r="F64" i="37"/>
  <c r="G64" i="37" s="1"/>
  <c r="F5" i="37"/>
  <c r="E5" i="37" s="1"/>
  <c r="F5" i="38" s="1"/>
  <c r="P64" i="37"/>
  <c r="M64" i="37"/>
  <c r="J64" i="37"/>
  <c r="V63" i="37"/>
  <c r="S63" i="37"/>
  <c r="P63" i="37"/>
  <c r="M63" i="37"/>
  <c r="G63" i="37"/>
  <c r="AR61" i="37"/>
  <c r="AS61" i="37" s="1"/>
  <c r="AN61" i="37"/>
  <c r="AO61" i="37" s="1"/>
  <c r="V60" i="37"/>
  <c r="S60" i="37"/>
  <c r="P60" i="37"/>
  <c r="M60" i="37"/>
  <c r="G60" i="37"/>
  <c r="AR59" i="37"/>
  <c r="AS59" i="37" s="1"/>
  <c r="Y59" i="37"/>
  <c r="V59" i="37"/>
  <c r="S59" i="37"/>
  <c r="P59" i="37"/>
  <c r="M59" i="37"/>
  <c r="G59" i="37"/>
  <c r="AB58" i="37"/>
  <c r="Y58" i="37"/>
  <c r="AV57" i="37"/>
  <c r="AW57" i="37" s="1"/>
  <c r="AR57" i="37"/>
  <c r="AS57" i="37" s="1"/>
  <c r="AN57" i="37"/>
  <c r="AO57" i="37" s="1"/>
  <c r="AB57" i="37"/>
  <c r="J57" i="37"/>
  <c r="G57" i="37"/>
  <c r="AV56" i="37"/>
  <c r="AW56" i="37" s="1"/>
  <c r="AR56" i="37"/>
  <c r="AS56" i="37" s="1"/>
  <c r="AJ56" i="37"/>
  <c r="AK56" i="37" s="1"/>
  <c r="AB55" i="37"/>
  <c r="Y55" i="37"/>
  <c r="AV54" i="37"/>
  <c r="AW54" i="37" s="1"/>
  <c r="AR54" i="37"/>
  <c r="AS54" i="37" s="1"/>
  <c r="AN54" i="37"/>
  <c r="AO54" i="37" s="1"/>
  <c r="AF54" i="37"/>
  <c r="AG54" i="37" s="1"/>
  <c r="AB54" i="37"/>
  <c r="Y53" i="37"/>
  <c r="J51" i="37"/>
  <c r="P50" i="37"/>
  <c r="M50" i="37"/>
  <c r="J50" i="37"/>
  <c r="AF49" i="37"/>
  <c r="AG49" i="37" s="1"/>
  <c r="AF48" i="37"/>
  <c r="AG48" i="37" s="1"/>
  <c r="V48" i="37"/>
  <c r="P48" i="37"/>
  <c r="M48" i="37"/>
  <c r="V47" i="37"/>
  <c r="S47" i="37"/>
  <c r="P47" i="37"/>
  <c r="M47" i="37"/>
  <c r="J47" i="37"/>
  <c r="G47" i="37"/>
  <c r="AJ46" i="37"/>
  <c r="AK46" i="37" s="1"/>
  <c r="AF46" i="37"/>
  <c r="AG46" i="37" s="1"/>
  <c r="Y45" i="37"/>
  <c r="V45" i="37"/>
  <c r="S45" i="37"/>
  <c r="P45" i="37"/>
  <c r="G45" i="37"/>
  <c r="AJ44" i="37"/>
  <c r="AK44" i="37" s="1"/>
  <c r="AF44" i="37"/>
  <c r="AG44" i="37" s="1"/>
  <c r="AN43" i="37"/>
  <c r="AO43" i="37" s="1"/>
  <c r="AJ43" i="37"/>
  <c r="AK43" i="37" s="1"/>
  <c r="AF43" i="37"/>
  <c r="AG43" i="37" s="1"/>
  <c r="AB43" i="37"/>
  <c r="Y43" i="37"/>
  <c r="V43" i="37"/>
  <c r="AB42" i="37"/>
  <c r="Y42" i="37"/>
  <c r="V42" i="37"/>
  <c r="S42" i="37"/>
  <c r="P42" i="37"/>
  <c r="AN41" i="37"/>
  <c r="AO41" i="37" s="1"/>
  <c r="AJ41" i="37"/>
  <c r="AK41" i="37" s="1"/>
  <c r="AB41" i="37"/>
  <c r="Y41" i="37"/>
  <c r="AB39" i="37"/>
  <c r="Y39" i="37"/>
  <c r="V39" i="37"/>
  <c r="S39" i="37"/>
  <c r="P39" i="37"/>
  <c r="M39" i="37"/>
  <c r="G39" i="37"/>
  <c r="P38" i="37"/>
  <c r="AR37" i="37"/>
  <c r="AS37" i="37" s="1"/>
  <c r="AR35" i="37"/>
  <c r="AS35" i="37" s="1"/>
  <c r="V35" i="37"/>
  <c r="M35" i="37"/>
  <c r="AV34" i="37"/>
  <c r="AW34" i="37" s="1"/>
  <c r="J34" i="37"/>
  <c r="P33" i="37"/>
  <c r="M33" i="37"/>
  <c r="J33" i="37"/>
  <c r="AV32" i="37"/>
  <c r="AW32" i="37" s="1"/>
  <c r="P31" i="37"/>
  <c r="M31" i="37"/>
  <c r="J31" i="37"/>
  <c r="G31" i="37"/>
  <c r="AV30" i="37"/>
  <c r="AW30" i="37" s="1"/>
  <c r="AR30" i="37"/>
  <c r="AS30" i="37" s="1"/>
  <c r="V30" i="37"/>
  <c r="S30" i="37"/>
  <c r="P30" i="37"/>
  <c r="M30" i="37"/>
  <c r="G30" i="37"/>
  <c r="AV29" i="37"/>
  <c r="AW29" i="37" s="1"/>
  <c r="V28" i="37"/>
  <c r="S28" i="37"/>
  <c r="P28" i="37"/>
  <c r="M28" i="37"/>
  <c r="J28" i="37"/>
  <c r="G28" i="37"/>
  <c r="AV27" i="37"/>
  <c r="AW27" i="37" s="1"/>
  <c r="AR27" i="37"/>
  <c r="AS27" i="37" s="1"/>
  <c r="AN27" i="37"/>
  <c r="AO27" i="37" s="1"/>
  <c r="AJ27" i="37"/>
  <c r="AK27" i="37" s="1"/>
  <c r="AF27" i="37"/>
  <c r="AG27" i="37" s="1"/>
  <c r="Y27" i="37"/>
  <c r="V27" i="37"/>
  <c r="S27" i="37"/>
  <c r="P27" i="37"/>
  <c r="M27" i="37"/>
  <c r="AF25" i="37"/>
  <c r="AG25" i="37" s="1"/>
  <c r="AB25" i="37"/>
  <c r="Y25" i="37"/>
  <c r="V25" i="37"/>
  <c r="S25" i="37"/>
  <c r="P25" i="37"/>
  <c r="AB24" i="37"/>
  <c r="Y24" i="37"/>
  <c r="V24" i="37"/>
  <c r="S24" i="37"/>
  <c r="AF23" i="37"/>
  <c r="AG23" i="37" s="1"/>
  <c r="AB22" i="37"/>
  <c r="Y22" i="37"/>
  <c r="S22" i="37"/>
  <c r="AV20" i="37"/>
  <c r="AW20" i="37" s="1"/>
  <c r="AJ20" i="37"/>
  <c r="AK20" i="37" s="1"/>
  <c r="AF20" i="37"/>
  <c r="AG20" i="37" s="1"/>
  <c r="J19" i="37"/>
  <c r="AN18" i="37"/>
  <c r="AO18" i="37" s="1"/>
  <c r="AJ18" i="37"/>
  <c r="AK18" i="37" s="1"/>
  <c r="AF18" i="37"/>
  <c r="AG18" i="37" s="1"/>
  <c r="M18" i="37"/>
  <c r="J18" i="37"/>
  <c r="P17" i="37"/>
  <c r="M17" i="37"/>
  <c r="J17" i="37"/>
  <c r="G17" i="37"/>
  <c r="AV16" i="37"/>
  <c r="AW16" i="37" s="1"/>
  <c r="AN16" i="37"/>
  <c r="AO16" i="37" s="1"/>
  <c r="V16" i="37"/>
  <c r="S16" i="37"/>
  <c r="P16" i="37"/>
  <c r="M16" i="37"/>
  <c r="J16" i="37"/>
  <c r="G16" i="37"/>
  <c r="V15" i="37"/>
  <c r="AN14" i="37"/>
  <c r="AO14" i="37" s="1"/>
  <c r="AJ14" i="37"/>
  <c r="AK14" i="37" s="1"/>
  <c r="AB14" i="37"/>
  <c r="Y14" i="37"/>
  <c r="V14" i="37"/>
  <c r="S14" i="37"/>
  <c r="AB13" i="37"/>
  <c r="Y13" i="37"/>
  <c r="V13" i="37"/>
  <c r="S13" i="37"/>
  <c r="P13" i="37"/>
  <c r="J13" i="37"/>
  <c r="AF12" i="37"/>
  <c r="AG12" i="37" s="1"/>
  <c r="AB12" i="37"/>
  <c r="J12" i="37"/>
  <c r="AB11" i="37"/>
  <c r="AB10" i="37"/>
  <c r="Y10" i="37"/>
  <c r="G10" i="37"/>
  <c r="J9" i="37"/>
  <c r="G9" i="37"/>
  <c r="J7" i="37"/>
  <c r="G7" i="37"/>
  <c r="P6" i="37"/>
  <c r="M6" i="37"/>
  <c r="J6" i="37"/>
  <c r="AU61" i="36"/>
  <c r="AV61" i="36" s="1"/>
  <c r="AW61" i="36" s="1"/>
  <c r="AU59" i="36"/>
  <c r="AV59" i="36" s="1"/>
  <c r="AW59" i="36" s="1"/>
  <c r="AU57" i="36"/>
  <c r="AV57" i="36" s="1"/>
  <c r="AW57" i="36" s="1"/>
  <c r="AU56" i="36"/>
  <c r="AV56" i="36" s="1"/>
  <c r="AW56" i="36" s="1"/>
  <c r="AU54" i="36"/>
  <c r="AU51" i="36"/>
  <c r="AU49" i="36"/>
  <c r="AU48" i="36"/>
  <c r="AU46" i="36"/>
  <c r="AU43" i="36"/>
  <c r="AV43" i="36" s="1"/>
  <c r="AW43" i="36" s="1"/>
  <c r="AU41" i="36"/>
  <c r="AV41" i="36" s="1"/>
  <c r="AW41" i="36" s="1"/>
  <c r="AU38" i="36"/>
  <c r="AV38" i="36" s="1"/>
  <c r="AW38" i="36" s="1"/>
  <c r="AU37" i="36"/>
  <c r="AU35" i="36"/>
  <c r="AV35" i="36" s="1"/>
  <c r="AW35" i="36" s="1"/>
  <c r="AU34" i="36"/>
  <c r="AV34" i="36" s="1"/>
  <c r="AW34" i="36" s="1"/>
  <c r="AU32" i="36"/>
  <c r="AV32" i="36" s="1"/>
  <c r="AW32" i="36" s="1"/>
  <c r="AU30" i="36"/>
  <c r="AU29" i="36"/>
  <c r="AU27" i="36"/>
  <c r="AU25" i="36"/>
  <c r="AV25" i="36" s="1"/>
  <c r="AW25" i="36" s="1"/>
  <c r="AU23" i="36"/>
  <c r="AV23" i="36" s="1"/>
  <c r="AW23" i="36" s="1"/>
  <c r="AU20" i="36"/>
  <c r="AV20" i="36" s="1"/>
  <c r="AW20" i="36" s="1"/>
  <c r="AU18" i="36"/>
  <c r="AV18" i="36" s="1"/>
  <c r="AW18" i="36" s="1"/>
  <c r="AU16" i="36"/>
  <c r="AV16" i="36" s="1"/>
  <c r="AW16" i="36" s="1"/>
  <c r="AU14" i="36"/>
  <c r="AV14" i="36" s="1"/>
  <c r="AW14" i="36" s="1"/>
  <c r="AU12" i="36"/>
  <c r="AV12" i="36" s="1"/>
  <c r="AW12" i="36" s="1"/>
  <c r="AU7" i="36"/>
  <c r="AQ61" i="36"/>
  <c r="AR61" i="36" s="1"/>
  <c r="AS61" i="36" s="1"/>
  <c r="AQ59" i="36"/>
  <c r="AQ57" i="36"/>
  <c r="AQ56" i="36"/>
  <c r="AQ54" i="36"/>
  <c r="AQ51" i="36"/>
  <c r="AR51" i="36" s="1"/>
  <c r="AS51" i="36" s="1"/>
  <c r="AQ49" i="36"/>
  <c r="AR49" i="36" s="1"/>
  <c r="AS49" i="36" s="1"/>
  <c r="AQ48" i="36"/>
  <c r="AR48" i="36" s="1"/>
  <c r="AS48" i="36" s="1"/>
  <c r="AQ46" i="36"/>
  <c r="AR46" i="36" s="1"/>
  <c r="AS46" i="36" s="1"/>
  <c r="AQ43" i="36"/>
  <c r="AR43" i="36" s="1"/>
  <c r="AS43" i="36" s="1"/>
  <c r="AQ41" i="36"/>
  <c r="AR41" i="36" s="1"/>
  <c r="AS41" i="36" s="1"/>
  <c r="AQ38" i="36"/>
  <c r="AR38" i="36" s="1"/>
  <c r="AS38" i="36" s="1"/>
  <c r="AQ37" i="36"/>
  <c r="AR37" i="36" s="1"/>
  <c r="AS37" i="36" s="1"/>
  <c r="AQ35" i="36"/>
  <c r="AR35" i="36" s="1"/>
  <c r="AS35" i="36" s="1"/>
  <c r="AQ34" i="36"/>
  <c r="AR34" i="36" s="1"/>
  <c r="AS34" i="36" s="1"/>
  <c r="AQ32" i="36"/>
  <c r="AQ30" i="36"/>
  <c r="AQ29" i="36"/>
  <c r="AR29" i="36" s="1"/>
  <c r="AS29" i="36" s="1"/>
  <c r="AQ27" i="36"/>
  <c r="AR27" i="36" s="1"/>
  <c r="AS27" i="36" s="1"/>
  <c r="AQ25" i="36"/>
  <c r="AR25" i="36" s="1"/>
  <c r="AS25" i="36" s="1"/>
  <c r="AQ23" i="36"/>
  <c r="AR23" i="36" s="1"/>
  <c r="AS23" i="36" s="1"/>
  <c r="AQ20" i="36"/>
  <c r="AR20" i="36" s="1"/>
  <c r="AS20" i="36" s="1"/>
  <c r="AQ18" i="36"/>
  <c r="AR18" i="36" s="1"/>
  <c r="AS18" i="36" s="1"/>
  <c r="AQ16" i="36"/>
  <c r="AR16" i="36" s="1"/>
  <c r="AS16" i="36" s="1"/>
  <c r="AQ14" i="36"/>
  <c r="AR14" i="36" s="1"/>
  <c r="AS14" i="36" s="1"/>
  <c r="AQ12" i="36"/>
  <c r="AQ7" i="36"/>
  <c r="AM61" i="36"/>
  <c r="AM59" i="36"/>
  <c r="AN59" i="36" s="1"/>
  <c r="AO59" i="36" s="1"/>
  <c r="AM57" i="36"/>
  <c r="AM56" i="36"/>
  <c r="AN56" i="36" s="1"/>
  <c r="AO56" i="36" s="1"/>
  <c r="AM54" i="36"/>
  <c r="AN54" i="36" s="1"/>
  <c r="AO54" i="36" s="1"/>
  <c r="AM51" i="36"/>
  <c r="AN51" i="36" s="1"/>
  <c r="AO51" i="36" s="1"/>
  <c r="AM49" i="36"/>
  <c r="AN49" i="36" s="1"/>
  <c r="AO49" i="36" s="1"/>
  <c r="AM48" i="36"/>
  <c r="AN48" i="36" s="1"/>
  <c r="AO48" i="36" s="1"/>
  <c r="AM46" i="36"/>
  <c r="AN46" i="36" s="1"/>
  <c r="AO46" i="36" s="1"/>
  <c r="AM43" i="36"/>
  <c r="AM41" i="36"/>
  <c r="AN41" i="36" s="1"/>
  <c r="AO41" i="36" s="1"/>
  <c r="AM38" i="36"/>
  <c r="AM37" i="36"/>
  <c r="AM35" i="36"/>
  <c r="AN35" i="36" s="1"/>
  <c r="AO35" i="36" s="1"/>
  <c r="AM34" i="36"/>
  <c r="AN34" i="36" s="1"/>
  <c r="AO34" i="36" s="1"/>
  <c r="AM32" i="36"/>
  <c r="AN32" i="36" s="1"/>
  <c r="AO32" i="36" s="1"/>
  <c r="AM30" i="36"/>
  <c r="AN30" i="36" s="1"/>
  <c r="AO30" i="36" s="1"/>
  <c r="AM29" i="36"/>
  <c r="AN29" i="36" s="1"/>
  <c r="AO29" i="36" s="1"/>
  <c r="AM27" i="36"/>
  <c r="AN27" i="36" s="1"/>
  <c r="AO27" i="36" s="1"/>
  <c r="AM25" i="36"/>
  <c r="AN25" i="36" s="1"/>
  <c r="AO25" i="36" s="1"/>
  <c r="AM23" i="36"/>
  <c r="AN23" i="36" s="1"/>
  <c r="AO23" i="36" s="1"/>
  <c r="AM20" i="36"/>
  <c r="AN20" i="36" s="1"/>
  <c r="AO20" i="36" s="1"/>
  <c r="AM18" i="36"/>
  <c r="AN18" i="36" s="1"/>
  <c r="AO18" i="36" s="1"/>
  <c r="AM16" i="36"/>
  <c r="AM14" i="36"/>
  <c r="AM12" i="36"/>
  <c r="AM7" i="36"/>
  <c r="AI61" i="36"/>
  <c r="AJ61" i="36" s="1"/>
  <c r="AK61" i="36" s="1"/>
  <c r="AI59" i="36"/>
  <c r="AJ59" i="36" s="1"/>
  <c r="AK59" i="36" s="1"/>
  <c r="AI57" i="36"/>
  <c r="AJ57" i="36" s="1"/>
  <c r="AK57" i="36" s="1"/>
  <c r="AI56" i="36"/>
  <c r="AJ56" i="36" s="1"/>
  <c r="AK56" i="36" s="1"/>
  <c r="AI54" i="36"/>
  <c r="AJ54" i="36" s="1"/>
  <c r="AK54" i="36" s="1"/>
  <c r="AI51" i="36"/>
  <c r="AJ51" i="36" s="1"/>
  <c r="AK51" i="36" s="1"/>
  <c r="AI49" i="36"/>
  <c r="AJ49" i="36" s="1"/>
  <c r="AK49" i="36" s="1"/>
  <c r="AI48" i="36"/>
  <c r="AI46" i="36"/>
  <c r="AJ46" i="36" s="1"/>
  <c r="AK46" i="36" s="1"/>
  <c r="AI43" i="36"/>
  <c r="AI41" i="36"/>
  <c r="AI38" i="36"/>
  <c r="AJ38" i="36" s="1"/>
  <c r="AK38" i="36" s="1"/>
  <c r="AI37" i="36"/>
  <c r="AJ37" i="36" s="1"/>
  <c r="AK37" i="36" s="1"/>
  <c r="AI35" i="36"/>
  <c r="AJ35" i="36" s="1"/>
  <c r="AK35" i="36" s="1"/>
  <c r="AI34" i="36"/>
  <c r="AJ34" i="36" s="1"/>
  <c r="AK34" i="36" s="1"/>
  <c r="AI32" i="36"/>
  <c r="AJ32" i="36" s="1"/>
  <c r="AK32" i="36" s="1"/>
  <c r="AI30" i="36"/>
  <c r="AJ30" i="36" s="1"/>
  <c r="AK30" i="36" s="1"/>
  <c r="AI29" i="36"/>
  <c r="AJ29" i="36" s="1"/>
  <c r="AK29" i="36" s="1"/>
  <c r="AI27" i="36"/>
  <c r="AJ27" i="36" s="1"/>
  <c r="AK27" i="36" s="1"/>
  <c r="AI25" i="36"/>
  <c r="AI23" i="36"/>
  <c r="AJ23" i="36" s="1"/>
  <c r="AK23" i="36" s="1"/>
  <c r="AI20" i="36"/>
  <c r="AI18" i="36"/>
  <c r="AJ18" i="36" s="1"/>
  <c r="AK18" i="36" s="1"/>
  <c r="AI16" i="36"/>
  <c r="AJ16" i="36" s="1"/>
  <c r="AK16" i="36" s="1"/>
  <c r="AI14" i="36"/>
  <c r="AJ14" i="36" s="1"/>
  <c r="AK14" i="36" s="1"/>
  <c r="AI12" i="36"/>
  <c r="AJ12" i="36" s="1"/>
  <c r="AK12" i="36" s="1"/>
  <c r="AI7" i="36"/>
  <c r="AE61" i="36"/>
  <c r="AF61" i="36" s="1"/>
  <c r="AG61" i="36" s="1"/>
  <c r="AE59" i="36"/>
  <c r="AF59" i="36" s="1"/>
  <c r="AG59" i="36" s="1"/>
  <c r="AE57" i="36"/>
  <c r="AF57" i="36" s="1"/>
  <c r="AG57" i="36" s="1"/>
  <c r="AE56" i="36"/>
  <c r="AF56" i="36" s="1"/>
  <c r="AG56" i="36" s="1"/>
  <c r="AE54" i="36"/>
  <c r="AE51" i="36"/>
  <c r="AE49" i="36"/>
  <c r="AE48" i="36"/>
  <c r="AE46" i="36"/>
  <c r="AF46" i="36" s="1"/>
  <c r="AG46" i="36" s="1"/>
  <c r="AE43" i="36"/>
  <c r="AF43" i="36" s="1"/>
  <c r="AG43" i="36" s="1"/>
  <c r="AE41" i="36"/>
  <c r="AF41" i="36" s="1"/>
  <c r="AG41" i="36" s="1"/>
  <c r="AE38" i="36"/>
  <c r="AF38" i="36" s="1"/>
  <c r="AG38" i="36" s="1"/>
  <c r="AE37" i="36"/>
  <c r="AF37" i="36" s="1"/>
  <c r="AG37" i="36" s="1"/>
  <c r="AE35" i="36"/>
  <c r="AF35" i="36" s="1"/>
  <c r="AG35" i="36" s="1"/>
  <c r="AE34" i="36"/>
  <c r="AF34" i="36" s="1"/>
  <c r="AG34" i="36" s="1"/>
  <c r="AE32" i="36"/>
  <c r="AF32" i="36" s="1"/>
  <c r="AG32" i="36" s="1"/>
  <c r="AE30" i="36"/>
  <c r="AF30" i="36" s="1"/>
  <c r="AG30" i="36" s="1"/>
  <c r="AE29" i="36"/>
  <c r="AE27" i="36"/>
  <c r="AE25" i="36"/>
  <c r="AE23" i="36"/>
  <c r="AF23" i="36" s="1"/>
  <c r="AG23" i="36" s="1"/>
  <c r="AE20" i="36"/>
  <c r="AE18" i="36"/>
  <c r="AF18" i="36" s="1"/>
  <c r="AG18" i="36" s="1"/>
  <c r="AE16" i="36"/>
  <c r="AF16" i="36" s="1"/>
  <c r="AG16" i="36" s="1"/>
  <c r="AE14" i="36"/>
  <c r="AF14" i="36" s="1"/>
  <c r="AG14" i="36" s="1"/>
  <c r="AE12" i="36"/>
  <c r="AF12" i="36" s="1"/>
  <c r="AG12" i="36" s="1"/>
  <c r="AE7" i="36"/>
  <c r="AA64" i="36"/>
  <c r="AB64" i="36" s="1"/>
  <c r="AA63" i="36"/>
  <c r="AB63" i="36" s="1"/>
  <c r="AA60" i="36"/>
  <c r="AB60" i="36" s="1"/>
  <c r="AA59" i="36"/>
  <c r="AA58" i="36"/>
  <c r="AA57" i="36"/>
  <c r="AB57" i="36" s="1"/>
  <c r="AA56" i="36"/>
  <c r="AB56" i="36" s="1"/>
  <c r="AA55" i="36"/>
  <c r="AB55" i="36" s="1"/>
  <c r="AA54" i="36"/>
  <c r="AB54" i="36" s="1"/>
  <c r="AA53" i="36"/>
  <c r="AB53" i="36" s="1"/>
  <c r="AA51" i="36"/>
  <c r="AB51" i="36" s="1"/>
  <c r="AA50" i="36"/>
  <c r="AB50" i="36" s="1"/>
  <c r="AA48" i="36"/>
  <c r="AB48" i="36" s="1"/>
  <c r="AA47" i="36"/>
  <c r="AB47" i="36" s="1"/>
  <c r="AA45" i="36"/>
  <c r="AA43" i="36"/>
  <c r="AA42" i="36"/>
  <c r="AA41" i="36"/>
  <c r="AB41" i="36" s="1"/>
  <c r="AA39" i="36"/>
  <c r="AB39" i="36" s="1"/>
  <c r="AA38" i="36"/>
  <c r="AB38" i="36" s="1"/>
  <c r="AA36" i="36"/>
  <c r="AB36" i="36" s="1"/>
  <c r="AA35" i="36"/>
  <c r="AB35" i="36" s="1"/>
  <c r="AA34" i="36"/>
  <c r="AB34" i="36" s="1"/>
  <c r="AA33" i="36"/>
  <c r="AB33" i="36" s="1"/>
  <c r="AA31" i="36"/>
  <c r="AB31" i="36" s="1"/>
  <c r="AA30" i="36"/>
  <c r="AA28" i="36"/>
  <c r="AA27" i="36"/>
  <c r="AA25" i="36"/>
  <c r="AA24" i="36"/>
  <c r="AB24" i="36" s="1"/>
  <c r="AA23" i="36"/>
  <c r="AB23" i="36" s="1"/>
  <c r="AA22" i="36"/>
  <c r="AB22" i="36" s="1"/>
  <c r="AA21" i="36"/>
  <c r="AB21" i="36" s="1"/>
  <c r="AA20" i="36"/>
  <c r="AB20" i="36" s="1"/>
  <c r="AA19" i="36"/>
  <c r="AB19" i="36" s="1"/>
  <c r="AA18" i="36"/>
  <c r="AB18" i="36" s="1"/>
  <c r="AA17" i="36"/>
  <c r="AB17" i="36" s="1"/>
  <c r="AA16" i="36"/>
  <c r="AB16" i="36" s="1"/>
  <c r="AA15" i="36"/>
  <c r="AA14" i="36"/>
  <c r="AA13" i="36"/>
  <c r="AA12" i="36"/>
  <c r="AA11" i="36"/>
  <c r="AB11" i="36" s="1"/>
  <c r="AA10" i="36"/>
  <c r="AB10" i="36" s="1"/>
  <c r="AA9" i="36"/>
  <c r="AB9" i="36" s="1"/>
  <c r="AA8" i="36"/>
  <c r="AB8" i="36" s="1"/>
  <c r="AA7" i="36"/>
  <c r="AB7" i="36" s="1"/>
  <c r="AA6" i="36"/>
  <c r="AB6" i="36" s="1"/>
  <c r="AA5" i="36"/>
  <c r="X64" i="36"/>
  <c r="X63" i="36"/>
  <c r="Y63" i="36" s="1"/>
  <c r="X60" i="36"/>
  <c r="X59" i="36"/>
  <c r="X58" i="36"/>
  <c r="Y58" i="36" s="1"/>
  <c r="X57" i="36"/>
  <c r="Y57" i="36" s="1"/>
  <c r="X56" i="36"/>
  <c r="Y56" i="36" s="1"/>
  <c r="X55" i="36"/>
  <c r="X54" i="36"/>
  <c r="Y54" i="36" s="1"/>
  <c r="X53" i="36"/>
  <c r="Y53" i="36" s="1"/>
  <c r="X51" i="36"/>
  <c r="Y51" i="36" s="1"/>
  <c r="X50" i="36"/>
  <c r="Y50" i="36" s="1"/>
  <c r="X48" i="36"/>
  <c r="X47" i="36"/>
  <c r="X45" i="36"/>
  <c r="X43" i="36"/>
  <c r="Y43" i="36" s="1"/>
  <c r="X42" i="36"/>
  <c r="X41" i="36"/>
  <c r="Y41" i="36" s="1"/>
  <c r="X39" i="36"/>
  <c r="Y39" i="36" s="1"/>
  <c r="X38" i="36"/>
  <c r="Y38" i="36" s="1"/>
  <c r="X36" i="36"/>
  <c r="Y36" i="36" s="1"/>
  <c r="X35" i="36"/>
  <c r="Y35" i="36" s="1"/>
  <c r="X34" i="36"/>
  <c r="Y34" i="36" s="1"/>
  <c r="X33" i="36"/>
  <c r="Y33" i="36" s="1"/>
  <c r="X31" i="36"/>
  <c r="X30" i="36"/>
  <c r="X28" i="36"/>
  <c r="X27" i="36"/>
  <c r="X25" i="36"/>
  <c r="X24" i="36"/>
  <c r="Y24" i="36" s="1"/>
  <c r="X23" i="36"/>
  <c r="Y23" i="36" s="1"/>
  <c r="X22" i="36"/>
  <c r="Y22" i="36" s="1"/>
  <c r="X21" i="36"/>
  <c r="Y21" i="36" s="1"/>
  <c r="X20" i="36"/>
  <c r="Y20" i="36" s="1"/>
  <c r="X19" i="36"/>
  <c r="Y19" i="36" s="1"/>
  <c r="X18" i="36"/>
  <c r="Y18" i="36" s="1"/>
  <c r="X17" i="36"/>
  <c r="Y17" i="36" s="1"/>
  <c r="X16" i="36"/>
  <c r="X15" i="36"/>
  <c r="X14" i="36"/>
  <c r="X13" i="36"/>
  <c r="Y13" i="36" s="1"/>
  <c r="X12" i="36"/>
  <c r="Y12" i="36" s="1"/>
  <c r="X11" i="36"/>
  <c r="Y11" i="36" s="1"/>
  <c r="X10" i="36"/>
  <c r="Y10" i="36" s="1"/>
  <c r="X9" i="36"/>
  <c r="Y9" i="36" s="1"/>
  <c r="X8" i="36"/>
  <c r="Y8" i="36" s="1"/>
  <c r="X7" i="36"/>
  <c r="Y7" i="36" s="1"/>
  <c r="X6" i="36"/>
  <c r="Y6" i="36" s="1"/>
  <c r="X5" i="36"/>
  <c r="U64" i="36"/>
  <c r="U63" i="36"/>
  <c r="U60" i="36"/>
  <c r="U59" i="36"/>
  <c r="U58" i="36"/>
  <c r="V58" i="36" s="1"/>
  <c r="U57" i="36"/>
  <c r="V57" i="36" s="1"/>
  <c r="U56" i="36"/>
  <c r="V56" i="36" s="1"/>
  <c r="U55" i="36"/>
  <c r="U53" i="36"/>
  <c r="V53" i="36" s="1"/>
  <c r="U51" i="36"/>
  <c r="V51" i="36" s="1"/>
  <c r="U50" i="36"/>
  <c r="V50" i="36" s="1"/>
  <c r="U48" i="36"/>
  <c r="U47" i="36"/>
  <c r="U45" i="36"/>
  <c r="V45" i="36" s="1"/>
  <c r="U43" i="36"/>
  <c r="U42" i="36"/>
  <c r="U41" i="36"/>
  <c r="V41" i="36" s="1"/>
  <c r="U39" i="36"/>
  <c r="V39" i="36" s="1"/>
  <c r="U38" i="36"/>
  <c r="V38" i="36" s="1"/>
  <c r="U36" i="36"/>
  <c r="U35" i="36"/>
  <c r="V35" i="36" s="1"/>
  <c r="U34" i="36"/>
  <c r="V34" i="36" s="1"/>
  <c r="U33" i="36"/>
  <c r="V33" i="36" s="1"/>
  <c r="U31" i="36"/>
  <c r="U30" i="36"/>
  <c r="U28" i="36"/>
  <c r="U27" i="36"/>
  <c r="U25" i="36"/>
  <c r="U24" i="36"/>
  <c r="V24" i="36" s="1"/>
  <c r="U23" i="36"/>
  <c r="V23" i="36" s="1"/>
  <c r="U22" i="36"/>
  <c r="V22" i="36" s="1"/>
  <c r="U21" i="36"/>
  <c r="V21" i="36" s="1"/>
  <c r="U20" i="36"/>
  <c r="U19" i="36"/>
  <c r="V19" i="36" s="1"/>
  <c r="U18" i="36"/>
  <c r="V18" i="36" s="1"/>
  <c r="U17" i="36"/>
  <c r="U16" i="36"/>
  <c r="U15" i="36"/>
  <c r="U14" i="36"/>
  <c r="U13" i="36"/>
  <c r="V13" i="36" s="1"/>
  <c r="U12" i="36"/>
  <c r="V12" i="36" s="1"/>
  <c r="U11" i="36"/>
  <c r="V11" i="36" s="1"/>
  <c r="U10" i="36"/>
  <c r="V10" i="36" s="1"/>
  <c r="U9" i="36"/>
  <c r="V9" i="36" s="1"/>
  <c r="U8" i="36"/>
  <c r="V8" i="36" s="1"/>
  <c r="U7" i="36"/>
  <c r="V7" i="36" s="1"/>
  <c r="U6" i="36"/>
  <c r="U5" i="36"/>
  <c r="R64" i="36"/>
  <c r="R63" i="36"/>
  <c r="R60" i="36"/>
  <c r="R59" i="36"/>
  <c r="R58" i="36"/>
  <c r="S58" i="36" s="1"/>
  <c r="R57" i="36"/>
  <c r="S57" i="36" s="1"/>
  <c r="R56" i="36"/>
  <c r="S56" i="36" s="1"/>
  <c r="R55" i="36"/>
  <c r="S55" i="36" s="1"/>
  <c r="R54" i="36"/>
  <c r="S54" i="36" s="1"/>
  <c r="R53" i="36"/>
  <c r="S53" i="36" s="1"/>
  <c r="R51" i="36"/>
  <c r="S51" i="36" s="1"/>
  <c r="R50" i="36"/>
  <c r="R48" i="36"/>
  <c r="R47" i="36"/>
  <c r="R45" i="36"/>
  <c r="S45" i="36" s="1"/>
  <c r="R43" i="36"/>
  <c r="S43" i="36" s="1"/>
  <c r="R42" i="36"/>
  <c r="S42" i="36" s="1"/>
  <c r="R41" i="36"/>
  <c r="S41" i="36" s="1"/>
  <c r="R39" i="36"/>
  <c r="S39" i="36" s="1"/>
  <c r="R38" i="36"/>
  <c r="S38" i="36" s="1"/>
  <c r="R36" i="36"/>
  <c r="R35" i="36"/>
  <c r="S35" i="36" s="1"/>
  <c r="R34" i="36"/>
  <c r="S34" i="36" s="1"/>
  <c r="R33" i="36"/>
  <c r="R31" i="36"/>
  <c r="R30" i="36"/>
  <c r="R28" i="36"/>
  <c r="S28" i="36" s="1"/>
  <c r="R27" i="36"/>
  <c r="R25" i="36"/>
  <c r="S25" i="36" s="1"/>
  <c r="R24" i="36"/>
  <c r="S24" i="36" s="1"/>
  <c r="R23" i="36"/>
  <c r="S23" i="36" s="1"/>
  <c r="R22" i="36"/>
  <c r="S22" i="36" s="1"/>
  <c r="R21" i="36"/>
  <c r="S21" i="36" s="1"/>
  <c r="R20" i="36"/>
  <c r="S20" i="36" s="1"/>
  <c r="R19" i="36"/>
  <c r="S19" i="36" s="1"/>
  <c r="R18" i="36"/>
  <c r="R17" i="36"/>
  <c r="R16" i="36"/>
  <c r="R15" i="36"/>
  <c r="R14" i="36"/>
  <c r="S14" i="36" s="1"/>
  <c r="R13" i="36"/>
  <c r="S13" i="36" s="1"/>
  <c r="R12" i="36"/>
  <c r="S12" i="36" s="1"/>
  <c r="R11" i="36"/>
  <c r="R10" i="36"/>
  <c r="S10" i="36" s="1"/>
  <c r="R9" i="36"/>
  <c r="S9" i="36" s="1"/>
  <c r="R8" i="36"/>
  <c r="S8" i="36" s="1"/>
  <c r="R7" i="36"/>
  <c r="S7" i="36" s="1"/>
  <c r="R6" i="36"/>
  <c r="R5" i="36"/>
  <c r="O64" i="36"/>
  <c r="O63" i="36"/>
  <c r="P63" i="36" s="1"/>
  <c r="O60" i="36"/>
  <c r="O59" i="36"/>
  <c r="P59" i="36" s="1"/>
  <c r="O58" i="36"/>
  <c r="P58" i="36" s="1"/>
  <c r="O57" i="36"/>
  <c r="P57" i="36" s="1"/>
  <c r="O56" i="36"/>
  <c r="P56" i="36" s="1"/>
  <c r="O55" i="36"/>
  <c r="P55" i="36" s="1"/>
  <c r="O54" i="36"/>
  <c r="P54" i="36" s="1"/>
  <c r="O53" i="36"/>
  <c r="P53" i="36" s="1"/>
  <c r="O51" i="36"/>
  <c r="O50" i="36"/>
  <c r="O48" i="36"/>
  <c r="O47" i="36"/>
  <c r="O45" i="36"/>
  <c r="P45" i="36" s="1"/>
  <c r="O43" i="36"/>
  <c r="P43" i="36" s="1"/>
  <c r="O42" i="36"/>
  <c r="P42" i="36" s="1"/>
  <c r="O41" i="36"/>
  <c r="P41" i="36" s="1"/>
  <c r="O39" i="36"/>
  <c r="P39" i="36" s="1"/>
  <c r="O38" i="36"/>
  <c r="P38" i="36" s="1"/>
  <c r="O36" i="36"/>
  <c r="P36" i="36" s="1"/>
  <c r="O35" i="36"/>
  <c r="P35" i="36" s="1"/>
  <c r="O34" i="36"/>
  <c r="O33" i="36"/>
  <c r="O31" i="36"/>
  <c r="O30" i="36"/>
  <c r="O28" i="36"/>
  <c r="P28" i="36" s="1"/>
  <c r="O27" i="36"/>
  <c r="O25" i="36"/>
  <c r="P25" i="36" s="1"/>
  <c r="O24" i="36"/>
  <c r="O23" i="36"/>
  <c r="P23" i="36" s="1"/>
  <c r="O22" i="36"/>
  <c r="P22" i="36" s="1"/>
  <c r="O21" i="36"/>
  <c r="P21" i="36" s="1"/>
  <c r="O20" i="36"/>
  <c r="P20" i="36" s="1"/>
  <c r="O19" i="36"/>
  <c r="O18" i="36"/>
  <c r="O17" i="36"/>
  <c r="O16" i="36"/>
  <c r="O15" i="36"/>
  <c r="P15" i="36" s="1"/>
  <c r="O14" i="36"/>
  <c r="P14" i="36" s="1"/>
  <c r="O13" i="36"/>
  <c r="P13" i="36" s="1"/>
  <c r="O12" i="36"/>
  <c r="P12" i="36" s="1"/>
  <c r="O11" i="36"/>
  <c r="P11" i="36" s="1"/>
  <c r="O10" i="36"/>
  <c r="P10" i="36" s="1"/>
  <c r="O9" i="36"/>
  <c r="P9" i="36" s="1"/>
  <c r="O8" i="36"/>
  <c r="P8" i="36" s="1"/>
  <c r="O7" i="36"/>
  <c r="O6" i="36"/>
  <c r="O5" i="36"/>
  <c r="L64" i="36"/>
  <c r="L63" i="36"/>
  <c r="M63" i="36" s="1"/>
  <c r="L60" i="36"/>
  <c r="M60" i="36" s="1"/>
  <c r="L59" i="36"/>
  <c r="M59" i="36" s="1"/>
  <c r="L58" i="36"/>
  <c r="M58" i="36" s="1"/>
  <c r="L57" i="36"/>
  <c r="M57" i="36" s="1"/>
  <c r="L56" i="36"/>
  <c r="M56" i="36" s="1"/>
  <c r="L55" i="36"/>
  <c r="M55" i="36" s="1"/>
  <c r="L54" i="36"/>
  <c r="M54" i="36" s="1"/>
  <c r="L53" i="36"/>
  <c r="L51" i="36"/>
  <c r="L50" i="36"/>
  <c r="L48" i="36"/>
  <c r="L47" i="36"/>
  <c r="L45" i="36"/>
  <c r="M45" i="36" s="1"/>
  <c r="L43" i="36"/>
  <c r="M43" i="36" s="1"/>
  <c r="L42" i="36"/>
  <c r="L41" i="36"/>
  <c r="M41" i="36" s="1"/>
  <c r="L39" i="36"/>
  <c r="M39" i="36" s="1"/>
  <c r="L38" i="36"/>
  <c r="M38" i="36" s="1"/>
  <c r="L36" i="36"/>
  <c r="M36" i="36" s="1"/>
  <c r="L35" i="36"/>
  <c r="L34" i="36"/>
  <c r="L33" i="36"/>
  <c r="L31" i="36"/>
  <c r="L30" i="36"/>
  <c r="L28" i="36"/>
  <c r="M28" i="36" s="1"/>
  <c r="L27" i="36"/>
  <c r="M27" i="36" s="1"/>
  <c r="L25" i="36"/>
  <c r="M25" i="36" s="1"/>
  <c r="L24" i="36"/>
  <c r="M24" i="36" s="1"/>
  <c r="L23" i="36"/>
  <c r="M23" i="36" s="1"/>
  <c r="L22" i="36"/>
  <c r="M22" i="36" s="1"/>
  <c r="L21" i="36"/>
  <c r="M21" i="36" s="1"/>
  <c r="L20" i="36"/>
  <c r="M20" i="36" s="1"/>
  <c r="L19" i="36"/>
  <c r="L18" i="36"/>
  <c r="L17" i="36"/>
  <c r="L16" i="36"/>
  <c r="L15" i="36"/>
  <c r="M15" i="36" s="1"/>
  <c r="L14" i="36"/>
  <c r="M14" i="36" s="1"/>
  <c r="L13" i="36"/>
  <c r="M13" i="36" s="1"/>
  <c r="L12" i="36"/>
  <c r="M12" i="36" s="1"/>
  <c r="L11" i="36"/>
  <c r="M11" i="36" s="1"/>
  <c r="L10" i="36"/>
  <c r="M10" i="36" s="1"/>
  <c r="L9" i="36"/>
  <c r="M9" i="36" s="1"/>
  <c r="L8" i="36"/>
  <c r="L7" i="36"/>
  <c r="L6" i="36"/>
  <c r="L5" i="36"/>
  <c r="I64" i="36"/>
  <c r="I63" i="36"/>
  <c r="J63" i="36" s="1"/>
  <c r="I60" i="36"/>
  <c r="J60" i="36" s="1"/>
  <c r="I59" i="36"/>
  <c r="J59" i="36" s="1"/>
  <c r="I58" i="36"/>
  <c r="J58" i="36" s="1"/>
  <c r="I57" i="36"/>
  <c r="J57" i="36" s="1"/>
  <c r="I56" i="36"/>
  <c r="J56" i="36" s="1"/>
  <c r="I55" i="36"/>
  <c r="J55" i="36" s="1"/>
  <c r="I54" i="36"/>
  <c r="I51" i="36"/>
  <c r="I50" i="36"/>
  <c r="I48" i="36"/>
  <c r="J48" i="36" s="1"/>
  <c r="I47" i="36"/>
  <c r="I45" i="36"/>
  <c r="J45" i="36" s="1"/>
  <c r="I43" i="36"/>
  <c r="J43" i="36" s="1"/>
  <c r="I42" i="36"/>
  <c r="J42" i="36" s="1"/>
  <c r="I41" i="36"/>
  <c r="J41" i="36" s="1"/>
  <c r="I39" i="36"/>
  <c r="I38" i="36"/>
  <c r="J38" i="36" s="1"/>
  <c r="I36" i="36"/>
  <c r="J36" i="36" s="1"/>
  <c r="I35" i="36"/>
  <c r="I34" i="36"/>
  <c r="I33" i="36"/>
  <c r="I31" i="36"/>
  <c r="I30" i="36"/>
  <c r="I28" i="36"/>
  <c r="J28" i="36" s="1"/>
  <c r="I27" i="36"/>
  <c r="J27" i="36" s="1"/>
  <c r="I25" i="36"/>
  <c r="J25" i="36" s="1"/>
  <c r="I24" i="36"/>
  <c r="J24" i="36" s="1"/>
  <c r="I23" i="36"/>
  <c r="J23" i="36" s="1"/>
  <c r="I22" i="36"/>
  <c r="J22" i="36" s="1"/>
  <c r="I21" i="36"/>
  <c r="J21" i="36" s="1"/>
  <c r="I20" i="36"/>
  <c r="J20" i="36" s="1"/>
  <c r="I19" i="36"/>
  <c r="I18" i="36"/>
  <c r="I17" i="36"/>
  <c r="I16" i="36"/>
  <c r="I15" i="36"/>
  <c r="J15" i="36" s="1"/>
  <c r="I14" i="36"/>
  <c r="J14" i="36" s="1"/>
  <c r="I13" i="36"/>
  <c r="J13" i="36" s="1"/>
  <c r="I12" i="36"/>
  <c r="J12" i="36" s="1"/>
  <c r="I11" i="36"/>
  <c r="J11" i="36" s="1"/>
  <c r="I10" i="36"/>
  <c r="J10" i="36" s="1"/>
  <c r="I9" i="36"/>
  <c r="J9" i="36" s="1"/>
  <c r="I8" i="36"/>
  <c r="I7" i="36"/>
  <c r="I6" i="36"/>
  <c r="I5" i="36"/>
  <c r="F6" i="36"/>
  <c r="F7" i="36"/>
  <c r="G7" i="36" s="1"/>
  <c r="F8" i="36"/>
  <c r="G8" i="36" s="1"/>
  <c r="F9" i="36"/>
  <c r="G9" i="36" s="1"/>
  <c r="F10" i="36"/>
  <c r="G10" i="36" s="1"/>
  <c r="F11" i="36"/>
  <c r="G11" i="36" s="1"/>
  <c r="F12" i="36"/>
  <c r="G12" i="36" s="1"/>
  <c r="F13" i="36"/>
  <c r="G13" i="36" s="1"/>
  <c r="F14" i="36"/>
  <c r="F15" i="36"/>
  <c r="F16" i="36"/>
  <c r="F17" i="36"/>
  <c r="F18" i="36"/>
  <c r="G18" i="36" s="1"/>
  <c r="F19" i="36"/>
  <c r="G19" i="36" s="1"/>
  <c r="F20" i="36"/>
  <c r="G20" i="36" s="1"/>
  <c r="F21" i="36"/>
  <c r="G21" i="36" s="1"/>
  <c r="F22" i="36"/>
  <c r="G22" i="36" s="1"/>
  <c r="F23" i="36"/>
  <c r="G23" i="36" s="1"/>
  <c r="F24" i="36"/>
  <c r="G24" i="36" s="1"/>
  <c r="F25" i="36"/>
  <c r="G25" i="36" s="1"/>
  <c r="F27" i="36"/>
  <c r="G27" i="36" s="1"/>
  <c r="F28" i="36"/>
  <c r="F30" i="36"/>
  <c r="F31" i="36"/>
  <c r="F33" i="36"/>
  <c r="F34" i="36"/>
  <c r="G34" i="36" s="1"/>
  <c r="F35" i="36"/>
  <c r="G35" i="36" s="1"/>
  <c r="F36" i="36"/>
  <c r="G36" i="36" s="1"/>
  <c r="F38" i="36"/>
  <c r="G38" i="36" s="1"/>
  <c r="F39" i="36"/>
  <c r="G39" i="36" s="1"/>
  <c r="F41" i="36"/>
  <c r="G41" i="36" s="1"/>
  <c r="F42" i="36"/>
  <c r="G42" i="36" s="1"/>
  <c r="F43" i="36"/>
  <c r="F45" i="36"/>
  <c r="F47" i="36"/>
  <c r="F48" i="36"/>
  <c r="G48" i="36" s="1"/>
  <c r="F50" i="36"/>
  <c r="G50" i="36" s="1"/>
  <c r="F51" i="36"/>
  <c r="G51" i="36" s="1"/>
  <c r="F53" i="36"/>
  <c r="G53" i="36" s="1"/>
  <c r="F54" i="36"/>
  <c r="G54" i="36" s="1"/>
  <c r="F55" i="36"/>
  <c r="G55" i="36" s="1"/>
  <c r="F56" i="36"/>
  <c r="G56" i="36" s="1"/>
  <c r="F57" i="36"/>
  <c r="G57" i="36" s="1"/>
  <c r="F58" i="36"/>
  <c r="G58" i="36" s="1"/>
  <c r="F59" i="36"/>
  <c r="F60" i="36"/>
  <c r="F63" i="36"/>
  <c r="F64" i="36"/>
  <c r="F5" i="36"/>
  <c r="AT65" i="36"/>
  <c r="AP65" i="36"/>
  <c r="AL65" i="36"/>
  <c r="AD65" i="36"/>
  <c r="Z65" i="36"/>
  <c r="W65" i="36"/>
  <c r="T65" i="36"/>
  <c r="Q65" i="36"/>
  <c r="N65" i="36"/>
  <c r="K65" i="36"/>
  <c r="E65" i="36"/>
  <c r="Y64" i="36"/>
  <c r="V64" i="36"/>
  <c r="S64" i="36"/>
  <c r="P64" i="36"/>
  <c r="M64" i="36"/>
  <c r="J64" i="36"/>
  <c r="G64" i="36"/>
  <c r="V63" i="36"/>
  <c r="S63" i="36"/>
  <c r="G63" i="36"/>
  <c r="AN61" i="36"/>
  <c r="AO61" i="36" s="1"/>
  <c r="Y60" i="36"/>
  <c r="V60" i="36"/>
  <c r="S60" i="36"/>
  <c r="P60" i="36"/>
  <c r="G60" i="36"/>
  <c r="AR59" i="36"/>
  <c r="AS59" i="36" s="1"/>
  <c r="AB59" i="36"/>
  <c r="Y59" i="36"/>
  <c r="V59" i="36"/>
  <c r="S59" i="36"/>
  <c r="G59" i="36"/>
  <c r="AB58" i="36"/>
  <c r="AR57" i="36"/>
  <c r="AS57" i="36" s="1"/>
  <c r="AN57" i="36"/>
  <c r="AO57" i="36" s="1"/>
  <c r="AR56" i="36"/>
  <c r="AS56" i="36" s="1"/>
  <c r="Y55" i="36"/>
  <c r="V55" i="36"/>
  <c r="AV54" i="36"/>
  <c r="AW54" i="36" s="1"/>
  <c r="AR54" i="36"/>
  <c r="AS54" i="36" s="1"/>
  <c r="AF54" i="36"/>
  <c r="AG54" i="36" s="1"/>
  <c r="V54" i="36"/>
  <c r="J54" i="36"/>
  <c r="M53" i="36"/>
  <c r="AV51" i="36"/>
  <c r="AW51" i="36" s="1"/>
  <c r="AF51" i="36"/>
  <c r="AG51" i="36" s="1"/>
  <c r="P51" i="36"/>
  <c r="M51" i="36"/>
  <c r="J51" i="36"/>
  <c r="S50" i="36"/>
  <c r="P50" i="36"/>
  <c r="M50" i="36"/>
  <c r="J50" i="36"/>
  <c r="AV49" i="36"/>
  <c r="AW49" i="36" s="1"/>
  <c r="AF49" i="36"/>
  <c r="AG49" i="36" s="1"/>
  <c r="AV48" i="36"/>
  <c r="AW48" i="36" s="1"/>
  <c r="AJ48" i="36"/>
  <c r="AK48" i="36" s="1"/>
  <c r="AF48" i="36"/>
  <c r="AG48" i="36" s="1"/>
  <c r="Y48" i="36"/>
  <c r="V48" i="36"/>
  <c r="P48" i="36"/>
  <c r="M48" i="36"/>
  <c r="Y47" i="36"/>
  <c r="V47" i="36"/>
  <c r="S47" i="36"/>
  <c r="P47" i="36"/>
  <c r="M47" i="36"/>
  <c r="J47" i="36"/>
  <c r="G47" i="36"/>
  <c r="AV46" i="36"/>
  <c r="AW46" i="36" s="1"/>
  <c r="AB45" i="36"/>
  <c r="Y45" i="36"/>
  <c r="G45" i="36"/>
  <c r="AV44" i="36"/>
  <c r="AW44" i="36" s="1"/>
  <c r="AR44" i="36"/>
  <c r="AS44" i="36" s="1"/>
  <c r="AN44" i="36"/>
  <c r="AO44" i="36" s="1"/>
  <c r="AJ44" i="36"/>
  <c r="AK44" i="36" s="1"/>
  <c r="AF44" i="36"/>
  <c r="AG44" i="36" s="1"/>
  <c r="AN43" i="36"/>
  <c r="AO43" i="36" s="1"/>
  <c r="AJ43" i="36"/>
  <c r="AK43" i="36" s="1"/>
  <c r="AB43" i="36"/>
  <c r="V43" i="36"/>
  <c r="G43" i="36"/>
  <c r="AB42" i="36"/>
  <c r="Y42" i="36"/>
  <c r="V42" i="36"/>
  <c r="M42" i="36"/>
  <c r="AJ41" i="36"/>
  <c r="AK41" i="36" s="1"/>
  <c r="J39" i="36"/>
  <c r="AN38" i="36"/>
  <c r="AO38" i="36" s="1"/>
  <c r="AV37" i="36"/>
  <c r="AW37" i="36" s="1"/>
  <c r="AN37" i="36"/>
  <c r="AO37" i="36" s="1"/>
  <c r="V36" i="36"/>
  <c r="S36" i="36"/>
  <c r="M35" i="36"/>
  <c r="J35" i="36"/>
  <c r="P34" i="36"/>
  <c r="M34" i="36"/>
  <c r="J34" i="36"/>
  <c r="S33" i="36"/>
  <c r="P33" i="36"/>
  <c r="M33" i="36"/>
  <c r="J33" i="36"/>
  <c r="G33" i="36"/>
  <c r="AR32" i="36"/>
  <c r="AS32" i="36" s="1"/>
  <c r="Y31" i="36"/>
  <c r="V31" i="36"/>
  <c r="S31" i="36"/>
  <c r="P31" i="36"/>
  <c r="M31" i="36"/>
  <c r="J31" i="36"/>
  <c r="G31" i="36"/>
  <c r="AV30" i="36"/>
  <c r="AW30" i="36" s="1"/>
  <c r="AR30" i="36"/>
  <c r="AS30" i="36" s="1"/>
  <c r="AB30" i="36"/>
  <c r="Y30" i="36"/>
  <c r="V30" i="36"/>
  <c r="S30" i="36"/>
  <c r="P30" i="36"/>
  <c r="M30" i="36"/>
  <c r="J30" i="36"/>
  <c r="G30" i="36"/>
  <c r="AV29" i="36"/>
  <c r="AW29" i="36" s="1"/>
  <c r="AF29" i="36"/>
  <c r="AG29" i="36" s="1"/>
  <c r="AB28" i="36"/>
  <c r="Y28" i="36"/>
  <c r="V28" i="36"/>
  <c r="G28" i="36"/>
  <c r="AV27" i="36"/>
  <c r="AW27" i="36" s="1"/>
  <c r="AF27" i="36"/>
  <c r="AG27" i="36" s="1"/>
  <c r="AB27" i="36"/>
  <c r="Y27" i="36"/>
  <c r="V27" i="36"/>
  <c r="S27" i="36"/>
  <c r="P27" i="36"/>
  <c r="AJ25" i="36"/>
  <c r="AK25" i="36" s="1"/>
  <c r="AF25" i="36"/>
  <c r="AG25" i="36" s="1"/>
  <c r="AB25" i="36"/>
  <c r="Y25" i="36"/>
  <c r="V25" i="36"/>
  <c r="P24" i="36"/>
  <c r="AJ20" i="36"/>
  <c r="AK20" i="36" s="1"/>
  <c r="AF20" i="36"/>
  <c r="AG20" i="36" s="1"/>
  <c r="V20" i="36"/>
  <c r="P19" i="36"/>
  <c r="M19" i="36"/>
  <c r="J19" i="36"/>
  <c r="S18" i="36"/>
  <c r="P18" i="36"/>
  <c r="M18" i="36"/>
  <c r="J18" i="36"/>
  <c r="V17" i="36"/>
  <c r="S17" i="36"/>
  <c r="P17" i="36"/>
  <c r="M17" i="36"/>
  <c r="J17" i="36"/>
  <c r="G17" i="36"/>
  <c r="AN16" i="36"/>
  <c r="AO16" i="36" s="1"/>
  <c r="Y16" i="36"/>
  <c r="V16" i="36"/>
  <c r="S16" i="36"/>
  <c r="P16" i="36"/>
  <c r="M16" i="36"/>
  <c r="J16" i="36"/>
  <c r="G16" i="36"/>
  <c r="AB15" i="36"/>
  <c r="Y15" i="36"/>
  <c r="V15" i="36"/>
  <c r="S15" i="36"/>
  <c r="G15" i="36"/>
  <c r="AN14" i="36"/>
  <c r="AO14" i="36" s="1"/>
  <c r="AB14" i="36"/>
  <c r="Y14" i="36"/>
  <c r="V14" i="36"/>
  <c r="G14" i="36"/>
  <c r="AB13" i="36"/>
  <c r="AR12" i="36"/>
  <c r="AS12" i="36" s="1"/>
  <c r="AN12" i="36"/>
  <c r="AO12" i="36" s="1"/>
  <c r="AB12" i="36"/>
  <c r="S11" i="36"/>
  <c r="M8" i="36"/>
  <c r="J8" i="36"/>
  <c r="P7" i="36"/>
  <c r="M7" i="36"/>
  <c r="J7" i="36"/>
  <c r="V6" i="36"/>
  <c r="S6" i="36"/>
  <c r="P6" i="36"/>
  <c r="M6" i="36"/>
  <c r="J6" i="36"/>
  <c r="G6" i="36"/>
  <c r="AU61" i="35"/>
  <c r="AV61" i="35" s="1"/>
  <c r="AW61" i="35" s="1"/>
  <c r="AU57" i="35"/>
  <c r="AV57" i="35" s="1"/>
  <c r="AW57" i="35" s="1"/>
  <c r="AU56" i="35"/>
  <c r="AU54" i="35"/>
  <c r="AV54" i="35" s="1"/>
  <c r="AW54" i="35" s="1"/>
  <c r="AU51" i="35"/>
  <c r="AU49" i="35"/>
  <c r="AV49" i="35" s="1"/>
  <c r="AW49" i="35" s="1"/>
  <c r="AU48" i="35"/>
  <c r="AV48" i="35" s="1"/>
  <c r="AW48" i="35" s="1"/>
  <c r="AU46" i="35"/>
  <c r="AV46" i="35" s="1"/>
  <c r="AW46" i="35" s="1"/>
  <c r="AU44" i="35"/>
  <c r="AU43" i="35"/>
  <c r="AU41" i="35"/>
  <c r="AV41" i="35" s="1"/>
  <c r="AW41" i="35" s="1"/>
  <c r="AU38" i="35"/>
  <c r="AV38" i="35" s="1"/>
  <c r="AW38" i="35" s="1"/>
  <c r="AU37" i="35"/>
  <c r="AV37" i="35" s="1"/>
  <c r="AW37" i="35" s="1"/>
  <c r="AU34" i="35"/>
  <c r="AV34" i="35" s="1"/>
  <c r="AW34" i="35" s="1"/>
  <c r="AU32" i="35"/>
  <c r="AV32" i="35" s="1"/>
  <c r="AW32" i="35" s="1"/>
  <c r="AU30" i="35"/>
  <c r="AV30" i="35" s="1"/>
  <c r="AW30" i="35" s="1"/>
  <c r="AU29" i="35"/>
  <c r="AV29" i="35" s="1"/>
  <c r="AW29" i="35" s="1"/>
  <c r="AU27" i="35"/>
  <c r="AV27" i="35" s="1"/>
  <c r="AW27" i="35" s="1"/>
  <c r="AU25" i="35"/>
  <c r="AV25" i="35" s="1"/>
  <c r="AW25" i="35" s="1"/>
  <c r="AU23" i="35"/>
  <c r="AV23" i="35" s="1"/>
  <c r="AW23" i="35" s="1"/>
  <c r="AU20" i="35"/>
  <c r="AU18" i="35"/>
  <c r="AV18" i="35" s="1"/>
  <c r="AW18" i="35" s="1"/>
  <c r="AU16" i="35"/>
  <c r="AV16" i="35" s="1"/>
  <c r="AW16" i="35" s="1"/>
  <c r="AU12" i="35"/>
  <c r="AU7" i="35"/>
  <c r="AQ61" i="35"/>
  <c r="AR61" i="35" s="1"/>
  <c r="AS61" i="35" s="1"/>
  <c r="AQ57" i="35"/>
  <c r="AR57" i="35" s="1"/>
  <c r="AS57" i="35" s="1"/>
  <c r="AQ56" i="35"/>
  <c r="AQ54" i="35"/>
  <c r="AR54" i="35" s="1"/>
  <c r="AS54" i="35" s="1"/>
  <c r="AQ51" i="35"/>
  <c r="AR51" i="35" s="1"/>
  <c r="AS51" i="35" s="1"/>
  <c r="AQ49" i="35"/>
  <c r="AR49" i="35" s="1"/>
  <c r="AS49" i="35" s="1"/>
  <c r="AQ48" i="35"/>
  <c r="AQ46" i="35"/>
  <c r="AQ44" i="35"/>
  <c r="AQ43" i="35"/>
  <c r="AQ41" i="35"/>
  <c r="AR41" i="35" s="1"/>
  <c r="AS41" i="35" s="1"/>
  <c r="AQ38" i="35"/>
  <c r="AR38" i="35" s="1"/>
  <c r="AS38" i="35" s="1"/>
  <c r="AQ37" i="35"/>
  <c r="AR37" i="35" s="1"/>
  <c r="AS37" i="35" s="1"/>
  <c r="AQ34" i="35"/>
  <c r="AR34" i="35" s="1"/>
  <c r="AS34" i="35" s="1"/>
  <c r="AQ32" i="35"/>
  <c r="AR32" i="35" s="1"/>
  <c r="AS32" i="35" s="1"/>
  <c r="AQ30" i="35"/>
  <c r="AR30" i="35" s="1"/>
  <c r="AS30" i="35" s="1"/>
  <c r="AQ29" i="35"/>
  <c r="AR29" i="35" s="1"/>
  <c r="AS29" i="35" s="1"/>
  <c r="AQ27" i="35"/>
  <c r="AR27" i="35" s="1"/>
  <c r="AS27" i="35" s="1"/>
  <c r="AQ25" i="35"/>
  <c r="AQ23" i="35"/>
  <c r="AQ20" i="35"/>
  <c r="AQ18" i="35"/>
  <c r="AR18" i="35" s="1"/>
  <c r="AS18" i="35" s="1"/>
  <c r="AQ16" i="35"/>
  <c r="AR16" i="35" s="1"/>
  <c r="AS16" i="35" s="1"/>
  <c r="AQ12" i="35"/>
  <c r="AR12" i="35" s="1"/>
  <c r="AS12" i="35" s="1"/>
  <c r="AQ7" i="35"/>
  <c r="AM61" i="35"/>
  <c r="AN61" i="35" s="1"/>
  <c r="AO61" i="35" s="1"/>
  <c r="AM57" i="35"/>
  <c r="AN57" i="35" s="1"/>
  <c r="AO57" i="35" s="1"/>
  <c r="AM56" i="35"/>
  <c r="AM54" i="35"/>
  <c r="AN54" i="35" s="1"/>
  <c r="AO54" i="35" s="1"/>
  <c r="AM51" i="35"/>
  <c r="AN51" i="35" s="1"/>
  <c r="AO51" i="35" s="1"/>
  <c r="AM49" i="35"/>
  <c r="AN49" i="35" s="1"/>
  <c r="AO49" i="35" s="1"/>
  <c r="AM48" i="35"/>
  <c r="AM46" i="35"/>
  <c r="AM44" i="35"/>
  <c r="AN44" i="35" s="1"/>
  <c r="AO44" i="35" s="1"/>
  <c r="AM43" i="35"/>
  <c r="AN43" i="35" s="1"/>
  <c r="AO43" i="35" s="1"/>
  <c r="AM41" i="35"/>
  <c r="AN41" i="35" s="1"/>
  <c r="AO41" i="35" s="1"/>
  <c r="AM38" i="35"/>
  <c r="AN38" i="35" s="1"/>
  <c r="AO38" i="35" s="1"/>
  <c r="AM37" i="35"/>
  <c r="AN37" i="35" s="1"/>
  <c r="AO37" i="35" s="1"/>
  <c r="AM34" i="35"/>
  <c r="AN34" i="35" s="1"/>
  <c r="AO34" i="35" s="1"/>
  <c r="AM32" i="35"/>
  <c r="AN32" i="35" s="1"/>
  <c r="AO32" i="35" s="1"/>
  <c r="AM30" i="35"/>
  <c r="AM29" i="35"/>
  <c r="AN29" i="35" s="1"/>
  <c r="AO29" i="35" s="1"/>
  <c r="AM27" i="35"/>
  <c r="AN27" i="35" s="1"/>
  <c r="AO27" i="35" s="1"/>
  <c r="AM25" i="35"/>
  <c r="AM23" i="35"/>
  <c r="AN23" i="35" s="1"/>
  <c r="AO23" i="35" s="1"/>
  <c r="AM20" i="35"/>
  <c r="AM18" i="35"/>
  <c r="AN18" i="35" s="1"/>
  <c r="AO18" i="35" s="1"/>
  <c r="AM16" i="35"/>
  <c r="AN16" i="35" s="1"/>
  <c r="AO16" i="35" s="1"/>
  <c r="AM12" i="35"/>
  <c r="AN12" i="35" s="1"/>
  <c r="AO12" i="35" s="1"/>
  <c r="AM7" i="35"/>
  <c r="AI61" i="35"/>
  <c r="AJ61" i="35" s="1"/>
  <c r="AK61" i="35" s="1"/>
  <c r="AI57" i="35"/>
  <c r="AJ57" i="35" s="1"/>
  <c r="AK57" i="35" s="1"/>
  <c r="AI56" i="35"/>
  <c r="AI54" i="35"/>
  <c r="AJ54" i="35" s="1"/>
  <c r="AK54" i="35" s="1"/>
  <c r="AI51" i="35"/>
  <c r="AI49" i="35"/>
  <c r="AI48" i="35"/>
  <c r="AI46" i="35"/>
  <c r="AJ46" i="35" s="1"/>
  <c r="AK46" i="35" s="1"/>
  <c r="AI44" i="35"/>
  <c r="AJ44" i="35" s="1"/>
  <c r="AK44" i="35" s="1"/>
  <c r="AI43" i="35"/>
  <c r="AJ43" i="35" s="1"/>
  <c r="AK43" i="35" s="1"/>
  <c r="AI41" i="35"/>
  <c r="AJ41" i="35" s="1"/>
  <c r="AK41" i="35" s="1"/>
  <c r="AI38" i="35"/>
  <c r="AJ38" i="35" s="1"/>
  <c r="AK38" i="35" s="1"/>
  <c r="AI37" i="35"/>
  <c r="AJ37" i="35" s="1"/>
  <c r="AK37" i="35" s="1"/>
  <c r="AI34" i="35"/>
  <c r="AJ34" i="35" s="1"/>
  <c r="AK34" i="35" s="1"/>
  <c r="AI32" i="35"/>
  <c r="AJ32" i="35" s="1"/>
  <c r="AK32" i="35" s="1"/>
  <c r="AI30" i="35"/>
  <c r="AJ30" i="35" s="1"/>
  <c r="AK30" i="35" s="1"/>
  <c r="AI29" i="35"/>
  <c r="AI27" i="35"/>
  <c r="AJ27" i="35" s="1"/>
  <c r="AK27" i="35" s="1"/>
  <c r="AI25" i="35"/>
  <c r="AI23" i="35"/>
  <c r="AJ23" i="35" s="1"/>
  <c r="AK23" i="35" s="1"/>
  <c r="AI20" i="35"/>
  <c r="AJ20" i="35" s="1"/>
  <c r="AK20" i="35" s="1"/>
  <c r="AI18" i="35"/>
  <c r="AJ18" i="35" s="1"/>
  <c r="AK18" i="35" s="1"/>
  <c r="AI16" i="35"/>
  <c r="AJ16" i="35" s="1"/>
  <c r="AK16" i="35" s="1"/>
  <c r="AI12" i="35"/>
  <c r="AJ12" i="35" s="1"/>
  <c r="AK12" i="35" s="1"/>
  <c r="AI7" i="35"/>
  <c r="AE61" i="35"/>
  <c r="AF61" i="35" s="1"/>
  <c r="AG61" i="35" s="1"/>
  <c r="AE57" i="35"/>
  <c r="AF57" i="35" s="1"/>
  <c r="AG57" i="35" s="1"/>
  <c r="AE56" i="35"/>
  <c r="AF56" i="35" s="1"/>
  <c r="AG56" i="35" s="1"/>
  <c r="AE54" i="35"/>
  <c r="AF54" i="35" s="1"/>
  <c r="AG54" i="35" s="1"/>
  <c r="AE51" i="35"/>
  <c r="AE49" i="35"/>
  <c r="AF49" i="35" s="1"/>
  <c r="AG49" i="35" s="1"/>
  <c r="AE48" i="35"/>
  <c r="AE46" i="35"/>
  <c r="AF46" i="35" s="1"/>
  <c r="AG46" i="35" s="1"/>
  <c r="AE44" i="35"/>
  <c r="AF44" i="35" s="1"/>
  <c r="AG44" i="35" s="1"/>
  <c r="AE43" i="35"/>
  <c r="AF43" i="35" s="1"/>
  <c r="AG43" i="35" s="1"/>
  <c r="AE41" i="35"/>
  <c r="AF41" i="35" s="1"/>
  <c r="AG41" i="35" s="1"/>
  <c r="AE38" i="35"/>
  <c r="AF38" i="35" s="1"/>
  <c r="AG38" i="35" s="1"/>
  <c r="AE37" i="35"/>
  <c r="AF37" i="35" s="1"/>
  <c r="AG37" i="35" s="1"/>
  <c r="AE34" i="35"/>
  <c r="AF34" i="35" s="1"/>
  <c r="AG34" i="35" s="1"/>
  <c r="AE32" i="35"/>
  <c r="AF32" i="35" s="1"/>
  <c r="AG32" i="35" s="1"/>
  <c r="AE30" i="35"/>
  <c r="AE29" i="35"/>
  <c r="AE27" i="35"/>
  <c r="AE25" i="35"/>
  <c r="AE23" i="35"/>
  <c r="AF23" i="35" s="1"/>
  <c r="AG23" i="35" s="1"/>
  <c r="AE20" i="35"/>
  <c r="AF20" i="35" s="1"/>
  <c r="AG20" i="35" s="1"/>
  <c r="AE18" i="35"/>
  <c r="AF18" i="35" s="1"/>
  <c r="AG18" i="35" s="1"/>
  <c r="AE16" i="35"/>
  <c r="AF16" i="35" s="1"/>
  <c r="AG16" i="35" s="1"/>
  <c r="AE12" i="35"/>
  <c r="AF12" i="35" s="1"/>
  <c r="AG12" i="35" s="1"/>
  <c r="AE7" i="35"/>
  <c r="AA64" i="35"/>
  <c r="AB64" i="35" s="1"/>
  <c r="AA63" i="35"/>
  <c r="AB63" i="35" s="1"/>
  <c r="AA60" i="35"/>
  <c r="AB60" i="35" s="1"/>
  <c r="AA59" i="35"/>
  <c r="AB59" i="35" s="1"/>
  <c r="AA58" i="35"/>
  <c r="AB58" i="35" s="1"/>
  <c r="AA57" i="35"/>
  <c r="AB57" i="35" s="1"/>
  <c r="AA56" i="35"/>
  <c r="AB56" i="35" s="1"/>
  <c r="AA55" i="35"/>
  <c r="AB55" i="35" s="1"/>
  <c r="AA54" i="35"/>
  <c r="AB54" i="35" s="1"/>
  <c r="AA53" i="35"/>
  <c r="AB53" i="35" s="1"/>
  <c r="AA51" i="35"/>
  <c r="AB51" i="35" s="1"/>
  <c r="AA50" i="35"/>
  <c r="AB50" i="35" s="1"/>
  <c r="AA48" i="35"/>
  <c r="AB48" i="35" s="1"/>
  <c r="AA47" i="35"/>
  <c r="AB47" i="35" s="1"/>
  <c r="AA45" i="35"/>
  <c r="AA43" i="35"/>
  <c r="AA42" i="35"/>
  <c r="AA41" i="35"/>
  <c r="AA39" i="35"/>
  <c r="AB39" i="35" s="1"/>
  <c r="AA38" i="35"/>
  <c r="AB38" i="35" s="1"/>
  <c r="AA36" i="35"/>
  <c r="AA35" i="35"/>
  <c r="AB35" i="35" s="1"/>
  <c r="AA34" i="35"/>
  <c r="AB34" i="35" s="1"/>
  <c r="AA33" i="35"/>
  <c r="AB33" i="35" s="1"/>
  <c r="AA31" i="35"/>
  <c r="AB31" i="35" s="1"/>
  <c r="AA30" i="35"/>
  <c r="AB30" i="35" s="1"/>
  <c r="AA28" i="35"/>
  <c r="AA27" i="35"/>
  <c r="AA25" i="35"/>
  <c r="AA24" i="35"/>
  <c r="AA23" i="35"/>
  <c r="AA22" i="35"/>
  <c r="AB22" i="35" s="1"/>
  <c r="AA21" i="35"/>
  <c r="AB21" i="35" s="1"/>
  <c r="AA20" i="35"/>
  <c r="AB20" i="35" s="1"/>
  <c r="AA19" i="35"/>
  <c r="AB19" i="35" s="1"/>
  <c r="AA18" i="35"/>
  <c r="AB18" i="35" s="1"/>
  <c r="AA17" i="35"/>
  <c r="AB17" i="35" s="1"/>
  <c r="AA16" i="35"/>
  <c r="AB16" i="35" s="1"/>
  <c r="AA15" i="35"/>
  <c r="AB15" i="35" s="1"/>
  <c r="AA14" i="35"/>
  <c r="AA13" i="35"/>
  <c r="AA12" i="35"/>
  <c r="AA11" i="35"/>
  <c r="AA10" i="35"/>
  <c r="AB10" i="35" s="1"/>
  <c r="AA9" i="35"/>
  <c r="AB9" i="35" s="1"/>
  <c r="AA8" i="35"/>
  <c r="AA7" i="35"/>
  <c r="AB7" i="35" s="1"/>
  <c r="AA6" i="35"/>
  <c r="AB6" i="35" s="1"/>
  <c r="AA5" i="35"/>
  <c r="X64" i="35"/>
  <c r="Y64" i="35" s="1"/>
  <c r="X63" i="35"/>
  <c r="Y63" i="35" s="1"/>
  <c r="X60" i="35"/>
  <c r="X59" i="35"/>
  <c r="X58" i="35"/>
  <c r="Y58" i="35" s="1"/>
  <c r="X57" i="35"/>
  <c r="Y57" i="35" s="1"/>
  <c r="X56" i="35"/>
  <c r="Y56" i="35" s="1"/>
  <c r="X55" i="35"/>
  <c r="Y55" i="35" s="1"/>
  <c r="X54" i="35"/>
  <c r="Y54" i="35" s="1"/>
  <c r="X53" i="35"/>
  <c r="Y53" i="35" s="1"/>
  <c r="X51" i="35"/>
  <c r="Y51" i="35" s="1"/>
  <c r="X50" i="35"/>
  <c r="Y50" i="35" s="1"/>
  <c r="X48" i="35"/>
  <c r="Y48" i="35" s="1"/>
  <c r="X47" i="35"/>
  <c r="Y47" i="35" s="1"/>
  <c r="X45" i="35"/>
  <c r="X43" i="35"/>
  <c r="Y43" i="35" s="1"/>
  <c r="X42" i="35"/>
  <c r="X41" i="35"/>
  <c r="X39" i="35"/>
  <c r="Y39" i="35" s="1"/>
  <c r="X38" i="35"/>
  <c r="Y38" i="35" s="1"/>
  <c r="X36" i="35"/>
  <c r="X35" i="35"/>
  <c r="Y35" i="35" s="1"/>
  <c r="X34" i="35"/>
  <c r="Y34" i="35" s="1"/>
  <c r="X33" i="35"/>
  <c r="Y33" i="35" s="1"/>
  <c r="X31" i="35"/>
  <c r="Y31" i="35" s="1"/>
  <c r="X30" i="35"/>
  <c r="X28" i="35"/>
  <c r="X27" i="35"/>
  <c r="X25" i="35"/>
  <c r="Y25" i="35" s="1"/>
  <c r="X24" i="35"/>
  <c r="Y24" i="35" s="1"/>
  <c r="X23" i="35"/>
  <c r="X22" i="35"/>
  <c r="Y22" i="35" s="1"/>
  <c r="X21" i="35"/>
  <c r="Y21" i="35" s="1"/>
  <c r="X20" i="35"/>
  <c r="Y20" i="35" s="1"/>
  <c r="X19" i="35"/>
  <c r="Y19" i="35" s="1"/>
  <c r="X18" i="35"/>
  <c r="Y18" i="35" s="1"/>
  <c r="X17" i="35"/>
  <c r="Y17" i="35" s="1"/>
  <c r="X16" i="35"/>
  <c r="X15" i="35"/>
  <c r="X14" i="35"/>
  <c r="Y14" i="35" s="1"/>
  <c r="X13" i="35"/>
  <c r="X12" i="35"/>
  <c r="Y12" i="35" s="1"/>
  <c r="X11" i="35"/>
  <c r="Y11" i="35" s="1"/>
  <c r="X10" i="35"/>
  <c r="Y10" i="35" s="1"/>
  <c r="X9" i="35"/>
  <c r="Y9" i="35" s="1"/>
  <c r="X8" i="35"/>
  <c r="X7" i="35"/>
  <c r="Y7" i="35" s="1"/>
  <c r="X6" i="35"/>
  <c r="Y6" i="35" s="1"/>
  <c r="X5" i="35"/>
  <c r="U64" i="35"/>
  <c r="U63" i="35"/>
  <c r="U60" i="35"/>
  <c r="U59" i="35"/>
  <c r="U58" i="35"/>
  <c r="V58" i="35" s="1"/>
  <c r="U57" i="35"/>
  <c r="V57" i="35" s="1"/>
  <c r="U56" i="35"/>
  <c r="V56" i="35" s="1"/>
  <c r="U55" i="35"/>
  <c r="V55" i="35" s="1"/>
  <c r="U54" i="35"/>
  <c r="V54" i="35" s="1"/>
  <c r="U53" i="35"/>
  <c r="V53" i="35" s="1"/>
  <c r="U51" i="35"/>
  <c r="V51" i="35" s="1"/>
  <c r="U50" i="35"/>
  <c r="V50" i="35" s="1"/>
  <c r="U48" i="35"/>
  <c r="U47" i="35"/>
  <c r="U45" i="35"/>
  <c r="U43" i="35"/>
  <c r="V43" i="35" s="1"/>
  <c r="U42" i="35"/>
  <c r="V42" i="35" s="1"/>
  <c r="U41" i="35"/>
  <c r="V41" i="35" s="1"/>
  <c r="U39" i="35"/>
  <c r="U38" i="35"/>
  <c r="V38" i="35" s="1"/>
  <c r="U36" i="35"/>
  <c r="V36" i="35" s="1"/>
  <c r="U35" i="35"/>
  <c r="V35" i="35" s="1"/>
  <c r="U34" i="35"/>
  <c r="V34" i="35" s="1"/>
  <c r="U33" i="35"/>
  <c r="V33" i="35" s="1"/>
  <c r="U31" i="35"/>
  <c r="U30" i="35"/>
  <c r="U28" i="35"/>
  <c r="U27" i="35"/>
  <c r="V27" i="35" s="1"/>
  <c r="U25" i="35"/>
  <c r="V25" i="35" s="1"/>
  <c r="U24" i="35"/>
  <c r="V24" i="35" s="1"/>
  <c r="U23" i="35"/>
  <c r="U22" i="35"/>
  <c r="V22" i="35" s="1"/>
  <c r="U21" i="35"/>
  <c r="V21" i="35" s="1"/>
  <c r="U20" i="35"/>
  <c r="V20" i="35" s="1"/>
  <c r="U19" i="35"/>
  <c r="V19" i="35" s="1"/>
  <c r="U18" i="35"/>
  <c r="V18" i="35" s="1"/>
  <c r="U17" i="35"/>
  <c r="U16" i="35"/>
  <c r="U15" i="35"/>
  <c r="V15" i="35" s="1"/>
  <c r="U14" i="35"/>
  <c r="V14" i="35" s="1"/>
  <c r="U13" i="35"/>
  <c r="V13" i="35" s="1"/>
  <c r="U12" i="35"/>
  <c r="V12" i="35" s="1"/>
  <c r="U11" i="35"/>
  <c r="V11" i="35" s="1"/>
  <c r="U10" i="35"/>
  <c r="V10" i="35" s="1"/>
  <c r="U9" i="35"/>
  <c r="V9" i="35" s="1"/>
  <c r="U8" i="35"/>
  <c r="U7" i="35"/>
  <c r="V7" i="35" s="1"/>
  <c r="U6" i="35"/>
  <c r="V6" i="35" s="1"/>
  <c r="U5" i="35"/>
  <c r="R64" i="35"/>
  <c r="R63" i="35"/>
  <c r="R60" i="35"/>
  <c r="R59" i="35"/>
  <c r="R58" i="35"/>
  <c r="S58" i="35" s="1"/>
  <c r="R57" i="35"/>
  <c r="S57" i="35" s="1"/>
  <c r="R56" i="35"/>
  <c r="S56" i="35" s="1"/>
  <c r="R55" i="35"/>
  <c r="S55" i="35" s="1"/>
  <c r="R54" i="35"/>
  <c r="S54" i="35" s="1"/>
  <c r="R53" i="35"/>
  <c r="S53" i="35" s="1"/>
  <c r="R51" i="35"/>
  <c r="S51" i="35" s="1"/>
  <c r="R50" i="35"/>
  <c r="R48" i="35"/>
  <c r="R47" i="35"/>
  <c r="R45" i="35"/>
  <c r="R43" i="35"/>
  <c r="S43" i="35" s="1"/>
  <c r="R42" i="35"/>
  <c r="S42" i="35" s="1"/>
  <c r="R41" i="35"/>
  <c r="S41" i="35" s="1"/>
  <c r="R39" i="35"/>
  <c r="R38" i="35"/>
  <c r="S38" i="35" s="1"/>
  <c r="R36" i="35"/>
  <c r="S36" i="35" s="1"/>
  <c r="R35" i="35"/>
  <c r="S35" i="35" s="1"/>
  <c r="R34" i="35"/>
  <c r="S34" i="35" s="1"/>
  <c r="R33" i="35"/>
  <c r="S33" i="35" s="1"/>
  <c r="R31" i="35"/>
  <c r="R30" i="35"/>
  <c r="R28" i="35"/>
  <c r="S28" i="35" s="1"/>
  <c r="R27" i="35"/>
  <c r="S27" i="35" s="1"/>
  <c r="R25" i="35"/>
  <c r="S25" i="35" s="1"/>
  <c r="R24" i="35"/>
  <c r="S24" i="35" s="1"/>
  <c r="R23" i="35"/>
  <c r="S23" i="35" s="1"/>
  <c r="R22" i="35"/>
  <c r="S22" i="35" s="1"/>
  <c r="R21" i="35"/>
  <c r="S21" i="35" s="1"/>
  <c r="R20" i="35"/>
  <c r="S20" i="35" s="1"/>
  <c r="R19" i="35"/>
  <c r="S19" i="35" s="1"/>
  <c r="R18" i="35"/>
  <c r="R17" i="35"/>
  <c r="R16" i="35"/>
  <c r="R15" i="35"/>
  <c r="S15" i="35" s="1"/>
  <c r="R14" i="35"/>
  <c r="S14" i="35" s="1"/>
  <c r="R13" i="35"/>
  <c r="S13" i="35" s="1"/>
  <c r="R12" i="35"/>
  <c r="S12" i="35" s="1"/>
  <c r="R11" i="35"/>
  <c r="S11" i="35" s="1"/>
  <c r="R10" i="35"/>
  <c r="S10" i="35" s="1"/>
  <c r="R9" i="35"/>
  <c r="S9" i="35" s="1"/>
  <c r="R8" i="35"/>
  <c r="S8" i="35" s="1"/>
  <c r="R7" i="35"/>
  <c r="S7" i="35" s="1"/>
  <c r="R6" i="35"/>
  <c r="R5" i="35"/>
  <c r="O64" i="35"/>
  <c r="O63" i="35"/>
  <c r="O60" i="35"/>
  <c r="O59" i="35"/>
  <c r="P59" i="35" s="1"/>
  <c r="O58" i="35"/>
  <c r="P58" i="35" s="1"/>
  <c r="O57" i="35"/>
  <c r="P57" i="35" s="1"/>
  <c r="O56" i="35"/>
  <c r="P56" i="35" s="1"/>
  <c r="O55" i="35"/>
  <c r="P55" i="35" s="1"/>
  <c r="O54" i="35"/>
  <c r="P54" i="35" s="1"/>
  <c r="O53" i="35"/>
  <c r="P53" i="35" s="1"/>
  <c r="O51" i="35"/>
  <c r="O50" i="35"/>
  <c r="O48" i="35"/>
  <c r="P48" i="35" s="1"/>
  <c r="O47" i="35"/>
  <c r="O45" i="35"/>
  <c r="P45" i="35" s="1"/>
  <c r="O43" i="35"/>
  <c r="P43" i="35" s="1"/>
  <c r="O42" i="35"/>
  <c r="P42" i="35" s="1"/>
  <c r="O41" i="35"/>
  <c r="P41" i="35" s="1"/>
  <c r="O39" i="35"/>
  <c r="P39" i="35" s="1"/>
  <c r="O38" i="35"/>
  <c r="P38" i="35" s="1"/>
  <c r="O36" i="35"/>
  <c r="P36" i="35" s="1"/>
  <c r="O35" i="35"/>
  <c r="P35" i="35" s="1"/>
  <c r="O34" i="35"/>
  <c r="P34" i="35" s="1"/>
  <c r="O33" i="35"/>
  <c r="P33" i="35" s="1"/>
  <c r="O31" i="35"/>
  <c r="O30" i="35"/>
  <c r="P30" i="35" s="1"/>
  <c r="O28" i="35"/>
  <c r="P28" i="35" s="1"/>
  <c r="O27" i="35"/>
  <c r="P27" i="35" s="1"/>
  <c r="O25" i="35"/>
  <c r="P25" i="35" s="1"/>
  <c r="O24" i="35"/>
  <c r="P24" i="35" s="1"/>
  <c r="O23" i="35"/>
  <c r="P23" i="35" s="1"/>
  <c r="O22" i="35"/>
  <c r="P22" i="35" s="1"/>
  <c r="O21" i="35"/>
  <c r="P21" i="35" s="1"/>
  <c r="O20" i="35"/>
  <c r="P20" i="35" s="1"/>
  <c r="O19" i="35"/>
  <c r="O18" i="35"/>
  <c r="O17" i="35"/>
  <c r="O16" i="35"/>
  <c r="O15" i="35"/>
  <c r="P15" i="35" s="1"/>
  <c r="O14" i="35"/>
  <c r="P14" i="35" s="1"/>
  <c r="O13" i="35"/>
  <c r="P13" i="35" s="1"/>
  <c r="O12" i="35"/>
  <c r="P12" i="35" s="1"/>
  <c r="O11" i="35"/>
  <c r="P11" i="35" s="1"/>
  <c r="O10" i="35"/>
  <c r="P10" i="35" s="1"/>
  <c r="O9" i="35"/>
  <c r="P9" i="35" s="1"/>
  <c r="O8" i="35"/>
  <c r="P8" i="35" s="1"/>
  <c r="O7" i="35"/>
  <c r="O6" i="35"/>
  <c r="O5" i="35"/>
  <c r="L64" i="35"/>
  <c r="L63" i="35"/>
  <c r="M63" i="35" s="1"/>
  <c r="L60" i="35"/>
  <c r="M60" i="35" s="1"/>
  <c r="L59" i="35"/>
  <c r="M59" i="35" s="1"/>
  <c r="L58" i="35"/>
  <c r="M58" i="35" s="1"/>
  <c r="L57" i="35"/>
  <c r="M57" i="35" s="1"/>
  <c r="L56" i="35"/>
  <c r="M56" i="35" s="1"/>
  <c r="L55" i="35"/>
  <c r="M55" i="35" s="1"/>
  <c r="L54" i="35"/>
  <c r="M54" i="35" s="1"/>
  <c r="L53" i="35"/>
  <c r="M53" i="35" s="1"/>
  <c r="L51" i="35"/>
  <c r="L50" i="35"/>
  <c r="L48" i="35"/>
  <c r="M48" i="35" s="1"/>
  <c r="L47" i="35"/>
  <c r="L45" i="35"/>
  <c r="M45" i="35" s="1"/>
  <c r="L43" i="35"/>
  <c r="M43" i="35" s="1"/>
  <c r="L42" i="35"/>
  <c r="M42" i="35" s="1"/>
  <c r="L41" i="35"/>
  <c r="M41" i="35" s="1"/>
  <c r="L39" i="35"/>
  <c r="M39" i="35" s="1"/>
  <c r="L38" i="35"/>
  <c r="M38" i="35" s="1"/>
  <c r="L36" i="35"/>
  <c r="M36" i="35" s="1"/>
  <c r="L35" i="35"/>
  <c r="M35" i="35" s="1"/>
  <c r="L34" i="35"/>
  <c r="L33" i="35"/>
  <c r="L31" i="35"/>
  <c r="M31" i="35" s="1"/>
  <c r="L30" i="35"/>
  <c r="M30" i="35" s="1"/>
  <c r="L28" i="35"/>
  <c r="M28" i="35" s="1"/>
  <c r="L27" i="35"/>
  <c r="M27" i="35" s="1"/>
  <c r="L25" i="35"/>
  <c r="M25" i="35" s="1"/>
  <c r="L24" i="35"/>
  <c r="M24" i="35" s="1"/>
  <c r="L23" i="35"/>
  <c r="M23" i="35" s="1"/>
  <c r="L22" i="35"/>
  <c r="M22" i="35" s="1"/>
  <c r="L21" i="35"/>
  <c r="M21" i="35" s="1"/>
  <c r="L20" i="35"/>
  <c r="M20" i="35" s="1"/>
  <c r="L19" i="35"/>
  <c r="L18" i="35"/>
  <c r="M18" i="35" s="1"/>
  <c r="L17" i="35"/>
  <c r="L16" i="35"/>
  <c r="M16" i="35" s="1"/>
  <c r="L15" i="35"/>
  <c r="M15" i="35" s="1"/>
  <c r="L14" i="35"/>
  <c r="M14" i="35" s="1"/>
  <c r="L13" i="35"/>
  <c r="M13" i="35" s="1"/>
  <c r="L12" i="35"/>
  <c r="L11" i="35"/>
  <c r="M11" i="35" s="1"/>
  <c r="L10" i="35"/>
  <c r="M10" i="35" s="1"/>
  <c r="L9" i="35"/>
  <c r="M9" i="35" s="1"/>
  <c r="L8" i="35"/>
  <c r="M8" i="35" s="1"/>
  <c r="L7" i="35"/>
  <c r="L6" i="35"/>
  <c r="L5" i="35"/>
  <c r="I64" i="35"/>
  <c r="J64" i="35" s="1"/>
  <c r="I63" i="35"/>
  <c r="J63" i="35" s="1"/>
  <c r="I60" i="35"/>
  <c r="J60" i="35" s="1"/>
  <c r="I59" i="35"/>
  <c r="J59" i="35" s="1"/>
  <c r="I58" i="35"/>
  <c r="J58" i="35" s="1"/>
  <c r="I57" i="35"/>
  <c r="J57" i="35" s="1"/>
  <c r="I56" i="35"/>
  <c r="J56" i="35" s="1"/>
  <c r="I55" i="35"/>
  <c r="J55" i="35" s="1"/>
  <c r="I54" i="35"/>
  <c r="J54" i="35" s="1"/>
  <c r="I51" i="35"/>
  <c r="I50" i="35"/>
  <c r="I48" i="35"/>
  <c r="I47" i="35"/>
  <c r="J47" i="35" s="1"/>
  <c r="I45" i="35"/>
  <c r="J45" i="35" s="1"/>
  <c r="I43" i="35"/>
  <c r="J43" i="35" s="1"/>
  <c r="I42" i="35"/>
  <c r="J42" i="35" s="1"/>
  <c r="I41" i="35"/>
  <c r="I39" i="35"/>
  <c r="J39" i="35" s="1"/>
  <c r="I38" i="35"/>
  <c r="J38" i="35" s="1"/>
  <c r="I36" i="35"/>
  <c r="J36" i="35" s="1"/>
  <c r="I35" i="35"/>
  <c r="J35" i="35" s="1"/>
  <c r="I34" i="35"/>
  <c r="I33" i="35"/>
  <c r="I31" i="35"/>
  <c r="I30" i="35"/>
  <c r="J30" i="35" s="1"/>
  <c r="I27" i="35"/>
  <c r="J27" i="35" s="1"/>
  <c r="I25" i="35"/>
  <c r="J25" i="35" s="1"/>
  <c r="I24" i="35"/>
  <c r="J24" i="35" s="1"/>
  <c r="I23" i="35"/>
  <c r="J23" i="35" s="1"/>
  <c r="I22" i="35"/>
  <c r="I21" i="35"/>
  <c r="J21" i="35" s="1"/>
  <c r="I20" i="35"/>
  <c r="J20" i="35" s="1"/>
  <c r="I19" i="35"/>
  <c r="J19" i="35" s="1"/>
  <c r="I18" i="35"/>
  <c r="I17" i="35"/>
  <c r="I16" i="35"/>
  <c r="I15" i="35"/>
  <c r="I14" i="35"/>
  <c r="J14" i="35" s="1"/>
  <c r="I13" i="35"/>
  <c r="J13" i="35" s="1"/>
  <c r="I12" i="35"/>
  <c r="J12" i="35" s="1"/>
  <c r="I11" i="35"/>
  <c r="J11" i="35" s="1"/>
  <c r="I10" i="35"/>
  <c r="J10" i="35" s="1"/>
  <c r="I9" i="35"/>
  <c r="J9" i="35" s="1"/>
  <c r="I8" i="35"/>
  <c r="J8" i="35" s="1"/>
  <c r="I7" i="35"/>
  <c r="I6" i="35"/>
  <c r="J6" i="35" s="1"/>
  <c r="I5" i="35"/>
  <c r="F6" i="35"/>
  <c r="F7" i="35"/>
  <c r="G7" i="35" s="1"/>
  <c r="F8" i="35"/>
  <c r="G8" i="35" s="1"/>
  <c r="F9" i="35"/>
  <c r="F10" i="35"/>
  <c r="G10" i="35" s="1"/>
  <c r="F11" i="35"/>
  <c r="G11" i="35" s="1"/>
  <c r="F12" i="35"/>
  <c r="F13" i="35"/>
  <c r="G13" i="35" s="1"/>
  <c r="F14" i="35"/>
  <c r="G14" i="35" s="1"/>
  <c r="F15" i="35"/>
  <c r="F16" i="35"/>
  <c r="F17" i="35"/>
  <c r="F18" i="35"/>
  <c r="G18" i="35" s="1"/>
  <c r="F19" i="35"/>
  <c r="G19" i="35" s="1"/>
  <c r="F20" i="35"/>
  <c r="G20" i="35" s="1"/>
  <c r="F21" i="35"/>
  <c r="G21" i="35" s="1"/>
  <c r="F22" i="35"/>
  <c r="F23" i="35"/>
  <c r="G23" i="35" s="1"/>
  <c r="F24" i="35"/>
  <c r="G24" i="35" s="1"/>
  <c r="F25" i="35"/>
  <c r="G25" i="35" s="1"/>
  <c r="F27" i="35"/>
  <c r="G27" i="35" s="1"/>
  <c r="F28" i="35"/>
  <c r="F30" i="35"/>
  <c r="F31" i="35"/>
  <c r="G31" i="35" s="1"/>
  <c r="F33" i="35"/>
  <c r="F34" i="35"/>
  <c r="G34" i="35" s="1"/>
  <c r="F35" i="35"/>
  <c r="G35" i="35" s="1"/>
  <c r="F36" i="35"/>
  <c r="G36" i="35" s="1"/>
  <c r="F38" i="35"/>
  <c r="G38" i="35" s="1"/>
  <c r="F39" i="35"/>
  <c r="G39" i="35" s="1"/>
  <c r="F41" i="35"/>
  <c r="G41" i="35" s="1"/>
  <c r="F42" i="35"/>
  <c r="G42" i="35" s="1"/>
  <c r="F43" i="35"/>
  <c r="G43" i="35" s="1"/>
  <c r="F45" i="35"/>
  <c r="G45" i="35" s="1"/>
  <c r="F47" i="35"/>
  <c r="F48" i="35"/>
  <c r="G48" i="35" s="1"/>
  <c r="F50" i="35"/>
  <c r="G50" i="35" s="1"/>
  <c r="F51" i="35"/>
  <c r="G51" i="35" s="1"/>
  <c r="F53" i="35"/>
  <c r="G53" i="35" s="1"/>
  <c r="F54" i="35"/>
  <c r="G54" i="35" s="1"/>
  <c r="F55" i="35"/>
  <c r="G55" i="35" s="1"/>
  <c r="F56" i="35"/>
  <c r="G56" i="35" s="1"/>
  <c r="F57" i="35"/>
  <c r="G57" i="35" s="1"/>
  <c r="F58" i="35"/>
  <c r="G58" i="35" s="1"/>
  <c r="F59" i="35"/>
  <c r="G59" i="35" s="1"/>
  <c r="F60" i="35"/>
  <c r="G60" i="35" s="1"/>
  <c r="F63" i="35"/>
  <c r="G63" i="35" s="1"/>
  <c r="F64" i="35"/>
  <c r="G64" i="35" s="1"/>
  <c r="F5" i="35"/>
  <c r="AT65" i="35"/>
  <c r="AP65" i="35"/>
  <c r="AL65" i="35"/>
  <c r="AD65" i="35"/>
  <c r="Z65" i="35"/>
  <c r="W65" i="35"/>
  <c r="T65" i="35"/>
  <c r="Q65" i="35"/>
  <c r="N65" i="35"/>
  <c r="K65" i="35"/>
  <c r="E65" i="35"/>
  <c r="V64" i="35"/>
  <c r="S64" i="35"/>
  <c r="P64" i="35"/>
  <c r="M64" i="35"/>
  <c r="V63" i="35"/>
  <c r="S63" i="35"/>
  <c r="P63" i="35"/>
  <c r="Y60" i="35"/>
  <c r="V60" i="35"/>
  <c r="S60" i="35"/>
  <c r="P60" i="35"/>
  <c r="AV59" i="35"/>
  <c r="AW59" i="35" s="1"/>
  <c r="AR59" i="35"/>
  <c r="AS59" i="35" s="1"/>
  <c r="AN59" i="35"/>
  <c r="AO59" i="35" s="1"/>
  <c r="AJ59" i="35"/>
  <c r="AK59" i="35" s="1"/>
  <c r="AF59" i="35"/>
  <c r="AG59" i="35" s="1"/>
  <c r="Y59" i="35"/>
  <c r="V59" i="35"/>
  <c r="S59" i="35"/>
  <c r="AV56" i="35"/>
  <c r="AW56" i="35" s="1"/>
  <c r="AR56" i="35"/>
  <c r="AS56" i="35" s="1"/>
  <c r="AN56" i="35"/>
  <c r="AO56" i="35" s="1"/>
  <c r="AJ56" i="35"/>
  <c r="AK56" i="35" s="1"/>
  <c r="AV51" i="35"/>
  <c r="AW51" i="35" s="1"/>
  <c r="AJ51" i="35"/>
  <c r="AK51" i="35" s="1"/>
  <c r="AF51" i="35"/>
  <c r="AG51" i="35" s="1"/>
  <c r="P51" i="35"/>
  <c r="M51" i="35"/>
  <c r="J51" i="35"/>
  <c r="S50" i="35"/>
  <c r="P50" i="35"/>
  <c r="M50" i="35"/>
  <c r="J50" i="35"/>
  <c r="AJ49" i="35"/>
  <c r="AK49" i="35" s="1"/>
  <c r="AR48" i="35"/>
  <c r="AS48" i="35" s="1"/>
  <c r="AN48" i="35"/>
  <c r="AO48" i="35" s="1"/>
  <c r="AJ48" i="35"/>
  <c r="AK48" i="35" s="1"/>
  <c r="AF48" i="35"/>
  <c r="AG48" i="35" s="1"/>
  <c r="V48" i="35"/>
  <c r="J48" i="35"/>
  <c r="V47" i="35"/>
  <c r="S47" i="35"/>
  <c r="P47" i="35"/>
  <c r="M47" i="35"/>
  <c r="G47" i="35"/>
  <c r="AR46" i="35"/>
  <c r="AS46" i="35" s="1"/>
  <c r="AN46" i="35"/>
  <c r="AO46" i="35" s="1"/>
  <c r="AB45" i="35"/>
  <c r="Y45" i="35"/>
  <c r="V45" i="35"/>
  <c r="S45" i="35"/>
  <c r="AV44" i="35"/>
  <c r="AW44" i="35" s="1"/>
  <c r="AR44" i="35"/>
  <c r="AS44" i="35" s="1"/>
  <c r="AV43" i="35"/>
  <c r="AW43" i="35" s="1"/>
  <c r="AR43" i="35"/>
  <c r="AS43" i="35" s="1"/>
  <c r="AB43" i="35"/>
  <c r="AB42" i="35"/>
  <c r="Y42" i="35"/>
  <c r="AB41" i="35"/>
  <c r="Y41" i="35"/>
  <c r="J41" i="35"/>
  <c r="V39" i="35"/>
  <c r="S39" i="35"/>
  <c r="AB36" i="35"/>
  <c r="Y36" i="35"/>
  <c r="AV35" i="35"/>
  <c r="AW35" i="35" s="1"/>
  <c r="AR35" i="35"/>
  <c r="AS35" i="35" s="1"/>
  <c r="AN35" i="35"/>
  <c r="AO35" i="35" s="1"/>
  <c r="AJ35" i="35"/>
  <c r="AK35" i="35" s="1"/>
  <c r="AF35" i="35"/>
  <c r="AG35" i="35" s="1"/>
  <c r="M34" i="35"/>
  <c r="J34" i="35"/>
  <c r="M33" i="35"/>
  <c r="J33" i="35"/>
  <c r="G33" i="35"/>
  <c r="V31" i="35"/>
  <c r="S31" i="35"/>
  <c r="P31" i="35"/>
  <c r="J31" i="35"/>
  <c r="AN30" i="35"/>
  <c r="AO30" i="35" s="1"/>
  <c r="AF30" i="35"/>
  <c r="AG30" i="35" s="1"/>
  <c r="Y30" i="35"/>
  <c r="V30" i="35"/>
  <c r="S30" i="35"/>
  <c r="G30" i="35"/>
  <c r="AJ29" i="35"/>
  <c r="AK29" i="35" s="1"/>
  <c r="AF29" i="35"/>
  <c r="AG29" i="35" s="1"/>
  <c r="AB28" i="35"/>
  <c r="Y28" i="35"/>
  <c r="V28" i="35"/>
  <c r="J28" i="35"/>
  <c r="G28" i="35"/>
  <c r="AF27" i="35"/>
  <c r="AG27" i="35" s="1"/>
  <c r="AB27" i="35"/>
  <c r="Y27" i="35"/>
  <c r="AR25" i="35"/>
  <c r="AS25" i="35" s="1"/>
  <c r="AN25" i="35"/>
  <c r="AO25" i="35" s="1"/>
  <c r="AJ25" i="35"/>
  <c r="AK25" i="35" s="1"/>
  <c r="AF25" i="35"/>
  <c r="AG25" i="35" s="1"/>
  <c r="AB25" i="35"/>
  <c r="AB24" i="35"/>
  <c r="AR23" i="35"/>
  <c r="AS23" i="35" s="1"/>
  <c r="AB23" i="35"/>
  <c r="Y23" i="35"/>
  <c r="V23" i="35"/>
  <c r="J22" i="35"/>
  <c r="G22" i="35"/>
  <c r="AV20" i="35"/>
  <c r="AW20" i="35" s="1"/>
  <c r="AR20" i="35"/>
  <c r="AS20" i="35" s="1"/>
  <c r="AN20" i="35"/>
  <c r="AO20" i="35" s="1"/>
  <c r="P19" i="35"/>
  <c r="M19" i="35"/>
  <c r="S18" i="35"/>
  <c r="P18" i="35"/>
  <c r="J18" i="35"/>
  <c r="V17" i="35"/>
  <c r="S17" i="35"/>
  <c r="P17" i="35"/>
  <c r="M17" i="35"/>
  <c r="J17" i="35"/>
  <c r="G17" i="35"/>
  <c r="Y16" i="35"/>
  <c r="V16" i="35"/>
  <c r="S16" i="35"/>
  <c r="P16" i="35"/>
  <c r="J16" i="35"/>
  <c r="G16" i="35"/>
  <c r="Y15" i="35"/>
  <c r="J15" i="35"/>
  <c r="G15" i="35"/>
  <c r="AV14" i="35"/>
  <c r="AW14" i="35" s="1"/>
  <c r="AR14" i="35"/>
  <c r="AS14" i="35" s="1"/>
  <c r="AN14" i="35"/>
  <c r="AO14" i="35" s="1"/>
  <c r="AJ14" i="35"/>
  <c r="AK14" i="35" s="1"/>
  <c r="AF14" i="35"/>
  <c r="AG14" i="35" s="1"/>
  <c r="AB14" i="35"/>
  <c r="AB13" i="35"/>
  <c r="Y13" i="35"/>
  <c r="AV12" i="35"/>
  <c r="AW12" i="35" s="1"/>
  <c r="AB12" i="35"/>
  <c r="M12" i="35"/>
  <c r="G12" i="35"/>
  <c r="AB11" i="35"/>
  <c r="G9" i="35"/>
  <c r="AB8" i="35"/>
  <c r="Y8" i="35"/>
  <c r="V8" i="35"/>
  <c r="P7" i="35"/>
  <c r="M7" i="35"/>
  <c r="J7" i="35"/>
  <c r="S6" i="35"/>
  <c r="P6" i="35"/>
  <c r="M6" i="35"/>
  <c r="G6" i="35"/>
  <c r="AU61" i="34"/>
  <c r="AU59" i="34"/>
  <c r="AV59" i="34" s="1"/>
  <c r="AW59" i="34" s="1"/>
  <c r="AU57" i="34"/>
  <c r="AV57" i="34" s="1"/>
  <c r="AW57" i="34" s="1"/>
  <c r="AU56" i="34"/>
  <c r="AV56" i="34" s="1"/>
  <c r="AW56" i="34" s="1"/>
  <c r="AU54" i="34"/>
  <c r="AV54" i="34" s="1"/>
  <c r="AW54" i="34" s="1"/>
  <c r="AU51" i="34"/>
  <c r="AU49" i="34"/>
  <c r="AU48" i="34"/>
  <c r="AV48" i="34" s="1"/>
  <c r="AW48" i="34" s="1"/>
  <c r="AU46" i="34"/>
  <c r="AU44" i="34"/>
  <c r="AV44" i="34" s="1"/>
  <c r="AW44" i="34" s="1"/>
  <c r="AU43" i="34"/>
  <c r="AV43" i="34" s="1"/>
  <c r="AW43" i="34" s="1"/>
  <c r="AU41" i="34"/>
  <c r="AV41" i="34" s="1"/>
  <c r="AW41" i="34" s="1"/>
  <c r="AU38" i="34"/>
  <c r="AV38" i="34" s="1"/>
  <c r="AW38" i="34" s="1"/>
  <c r="AU37" i="34"/>
  <c r="AV37" i="34" s="1"/>
  <c r="AW37" i="34" s="1"/>
  <c r="AU35" i="34"/>
  <c r="AV35" i="34" s="1"/>
  <c r="AW35" i="34" s="1"/>
  <c r="AU34" i="34"/>
  <c r="AV34" i="34" s="1"/>
  <c r="AW34" i="34" s="1"/>
  <c r="AU32" i="34"/>
  <c r="AV32" i="34" s="1"/>
  <c r="AW32" i="34" s="1"/>
  <c r="AU30" i="34"/>
  <c r="AU29" i="34"/>
  <c r="AU27" i="34"/>
  <c r="AU25" i="34"/>
  <c r="AU23" i="34"/>
  <c r="AU20" i="34"/>
  <c r="AV20" i="34" s="1"/>
  <c r="AW20" i="34" s="1"/>
  <c r="AU18" i="34"/>
  <c r="AU16" i="34"/>
  <c r="AV16" i="34" s="1"/>
  <c r="AW16" i="34" s="1"/>
  <c r="AU14" i="34"/>
  <c r="AV14" i="34" s="1"/>
  <c r="AW14" i="34" s="1"/>
  <c r="AU12" i="34"/>
  <c r="AV12" i="34" s="1"/>
  <c r="AW12" i="34" s="1"/>
  <c r="AU7" i="34"/>
  <c r="AQ61" i="34"/>
  <c r="AQ59" i="34"/>
  <c r="AQ57" i="34"/>
  <c r="AQ56" i="34"/>
  <c r="AR56" i="34" s="1"/>
  <c r="AS56" i="34" s="1"/>
  <c r="AQ54" i="34"/>
  <c r="AR54" i="34" s="1"/>
  <c r="AS54" i="34" s="1"/>
  <c r="AQ51" i="34"/>
  <c r="AQ49" i="34"/>
  <c r="AR49" i="34" s="1"/>
  <c r="AS49" i="34" s="1"/>
  <c r="AQ48" i="34"/>
  <c r="AR48" i="34" s="1"/>
  <c r="AS48" i="34" s="1"/>
  <c r="AQ46" i="34"/>
  <c r="AR46" i="34" s="1"/>
  <c r="AS46" i="34" s="1"/>
  <c r="AQ44" i="34"/>
  <c r="AR44" i="34" s="1"/>
  <c r="AS44" i="34" s="1"/>
  <c r="AQ43" i="34"/>
  <c r="AR43" i="34" s="1"/>
  <c r="AS43" i="34" s="1"/>
  <c r="AQ41" i="34"/>
  <c r="AR41" i="34" s="1"/>
  <c r="AS41" i="34" s="1"/>
  <c r="AQ38" i="34"/>
  <c r="AR38" i="34" s="1"/>
  <c r="AS38" i="34" s="1"/>
  <c r="AQ37" i="34"/>
  <c r="AQ35" i="34"/>
  <c r="AQ34" i="34"/>
  <c r="AQ32" i="34"/>
  <c r="AQ30" i="34"/>
  <c r="AQ29" i="34"/>
  <c r="AQ27" i="34"/>
  <c r="AR27" i="34" s="1"/>
  <c r="AS27" i="34" s="1"/>
  <c r="AQ25" i="34"/>
  <c r="AR25" i="34" s="1"/>
  <c r="AS25" i="34" s="1"/>
  <c r="AQ23" i="34"/>
  <c r="AR23" i="34" s="1"/>
  <c r="AS23" i="34" s="1"/>
  <c r="AQ20" i="34"/>
  <c r="AR20" i="34" s="1"/>
  <c r="AS20" i="34" s="1"/>
  <c r="AQ18" i="34"/>
  <c r="AR18" i="34" s="1"/>
  <c r="AS18" i="34" s="1"/>
  <c r="AQ16" i="34"/>
  <c r="AR16" i="34" s="1"/>
  <c r="AS16" i="34" s="1"/>
  <c r="AQ14" i="34"/>
  <c r="AQ12" i="34"/>
  <c r="AQ7" i="34"/>
  <c r="AM61" i="34"/>
  <c r="AM59" i="34"/>
  <c r="AN59" i="34" s="1"/>
  <c r="AO59" i="34" s="1"/>
  <c r="AM57" i="34"/>
  <c r="AN57" i="34" s="1"/>
  <c r="AO57" i="34" s="1"/>
  <c r="AM56" i="34"/>
  <c r="AN56" i="34" s="1"/>
  <c r="AO56" i="34" s="1"/>
  <c r="AM54" i="34"/>
  <c r="AN54" i="34" s="1"/>
  <c r="AO54" i="34" s="1"/>
  <c r="AM51" i="34"/>
  <c r="AN51" i="34" s="1"/>
  <c r="AO51" i="34" s="1"/>
  <c r="AM49" i="34"/>
  <c r="AN49" i="34" s="1"/>
  <c r="AO49" i="34" s="1"/>
  <c r="AM48" i="34"/>
  <c r="AN48" i="34" s="1"/>
  <c r="AO48" i="34" s="1"/>
  <c r="AM46" i="34"/>
  <c r="AM44" i="34"/>
  <c r="AM43" i="34"/>
  <c r="AM41" i="34"/>
  <c r="AN41" i="34" s="1"/>
  <c r="AO41" i="34" s="1"/>
  <c r="AM38" i="34"/>
  <c r="AM37" i="34"/>
  <c r="AN37" i="34" s="1"/>
  <c r="AO37" i="34" s="1"/>
  <c r="AM35" i="34"/>
  <c r="AN35" i="34" s="1"/>
  <c r="AO35" i="34" s="1"/>
  <c r="AM34" i="34"/>
  <c r="AN34" i="34" s="1"/>
  <c r="AO34" i="34" s="1"/>
  <c r="AM32" i="34"/>
  <c r="AN32" i="34" s="1"/>
  <c r="AO32" i="34" s="1"/>
  <c r="AM30" i="34"/>
  <c r="AN30" i="34" s="1"/>
  <c r="AO30" i="34" s="1"/>
  <c r="AM29" i="34"/>
  <c r="AN29" i="34" s="1"/>
  <c r="AO29" i="34" s="1"/>
  <c r="AM27" i="34"/>
  <c r="AN27" i="34" s="1"/>
  <c r="AO27" i="34" s="1"/>
  <c r="AM25" i="34"/>
  <c r="AM23" i="34"/>
  <c r="AM20" i="34"/>
  <c r="AM18" i="34"/>
  <c r="AN18" i="34" s="1"/>
  <c r="AO18" i="34" s="1"/>
  <c r="AM16" i="34"/>
  <c r="AM14" i="34"/>
  <c r="AN14" i="34" s="1"/>
  <c r="AO14" i="34" s="1"/>
  <c r="AM12" i="34"/>
  <c r="AN12" i="34" s="1"/>
  <c r="AO12" i="34" s="1"/>
  <c r="AM7" i="34"/>
  <c r="AI61" i="34"/>
  <c r="AI59" i="34"/>
  <c r="AJ59" i="34" s="1"/>
  <c r="AK59" i="34" s="1"/>
  <c r="AI57" i="34"/>
  <c r="AJ57" i="34" s="1"/>
  <c r="AK57" i="34" s="1"/>
  <c r="AI56" i="34"/>
  <c r="AJ56" i="34" s="1"/>
  <c r="AK56" i="34" s="1"/>
  <c r="AI54" i="34"/>
  <c r="AJ54" i="34" s="1"/>
  <c r="AK54" i="34" s="1"/>
  <c r="AI51" i="34"/>
  <c r="AI49" i="34"/>
  <c r="AI48" i="34"/>
  <c r="AJ48" i="34" s="1"/>
  <c r="AK48" i="34" s="1"/>
  <c r="AI46" i="34"/>
  <c r="AI44" i="34"/>
  <c r="AI43" i="34"/>
  <c r="AJ43" i="34" s="1"/>
  <c r="AK43" i="34" s="1"/>
  <c r="AI41" i="34"/>
  <c r="AJ41" i="34" s="1"/>
  <c r="AK41" i="34" s="1"/>
  <c r="AI38" i="34"/>
  <c r="AJ38" i="34" s="1"/>
  <c r="AK38" i="34" s="1"/>
  <c r="AI37" i="34"/>
  <c r="AJ37" i="34" s="1"/>
  <c r="AK37" i="34" s="1"/>
  <c r="AI35" i="34"/>
  <c r="AJ35" i="34" s="1"/>
  <c r="AK35" i="34" s="1"/>
  <c r="AI34" i="34"/>
  <c r="AJ34" i="34" s="1"/>
  <c r="AK34" i="34" s="1"/>
  <c r="AI32" i="34"/>
  <c r="AJ32" i="34" s="1"/>
  <c r="AK32" i="34" s="1"/>
  <c r="AI30" i="34"/>
  <c r="AI29" i="34"/>
  <c r="AI27" i="34"/>
  <c r="AJ27" i="34" s="1"/>
  <c r="AK27" i="34" s="1"/>
  <c r="AI25" i="34"/>
  <c r="AJ25" i="34" s="1"/>
  <c r="AK25" i="34" s="1"/>
  <c r="AI23" i="34"/>
  <c r="AI20" i="34"/>
  <c r="AJ20" i="34" s="1"/>
  <c r="AK20" i="34" s="1"/>
  <c r="AI18" i="34"/>
  <c r="AJ18" i="34" s="1"/>
  <c r="AK18" i="34" s="1"/>
  <c r="AI16" i="34"/>
  <c r="AJ16" i="34" s="1"/>
  <c r="AK16" i="34" s="1"/>
  <c r="AI14" i="34"/>
  <c r="AJ14" i="34" s="1"/>
  <c r="AK14" i="34" s="1"/>
  <c r="AI12" i="34"/>
  <c r="AJ12" i="34" s="1"/>
  <c r="AK12" i="34" s="1"/>
  <c r="AI7" i="34"/>
  <c r="AE61" i="34"/>
  <c r="AE59" i="34"/>
  <c r="AE57" i="34"/>
  <c r="AE56" i="34"/>
  <c r="AF56" i="34" s="1"/>
  <c r="AG56" i="34" s="1"/>
  <c r="AE54" i="34"/>
  <c r="AE51" i="34"/>
  <c r="AF51" i="34" s="1"/>
  <c r="AG51" i="34" s="1"/>
  <c r="AE49" i="34"/>
  <c r="AE48" i="34"/>
  <c r="AF48" i="34" s="1"/>
  <c r="AG48" i="34" s="1"/>
  <c r="AE46" i="34"/>
  <c r="AF46" i="34" s="1"/>
  <c r="AG46" i="34" s="1"/>
  <c r="AE44" i="34"/>
  <c r="AF44" i="34" s="1"/>
  <c r="AG44" i="34" s="1"/>
  <c r="AE43" i="34"/>
  <c r="AF43" i="34" s="1"/>
  <c r="AG43" i="34" s="1"/>
  <c r="AE41" i="34"/>
  <c r="AF41" i="34" s="1"/>
  <c r="AG41" i="34" s="1"/>
  <c r="AE38" i="34"/>
  <c r="AE37" i="34"/>
  <c r="AE35" i="34"/>
  <c r="AE34" i="34"/>
  <c r="AF34" i="34" s="1"/>
  <c r="AG34" i="34" s="1"/>
  <c r="AE32" i="34"/>
  <c r="AE30" i="34"/>
  <c r="AF30" i="34" s="1"/>
  <c r="AG30" i="34" s="1"/>
  <c r="AE29" i="34"/>
  <c r="AF29" i="34" s="1"/>
  <c r="AG29" i="34" s="1"/>
  <c r="AE27" i="34"/>
  <c r="AF27" i="34" s="1"/>
  <c r="AG27" i="34" s="1"/>
  <c r="AE25" i="34"/>
  <c r="AF25" i="34" s="1"/>
  <c r="AG25" i="34" s="1"/>
  <c r="AE23" i="34"/>
  <c r="AF23" i="34" s="1"/>
  <c r="AG23" i="34" s="1"/>
  <c r="AE20" i="34"/>
  <c r="AF20" i="34" s="1"/>
  <c r="AG20" i="34" s="1"/>
  <c r="AE18" i="34"/>
  <c r="AF18" i="34" s="1"/>
  <c r="AG18" i="34" s="1"/>
  <c r="AE16" i="34"/>
  <c r="AE14" i="34"/>
  <c r="AE12" i="34"/>
  <c r="AE7" i="34"/>
  <c r="AA64" i="34"/>
  <c r="AB64" i="34" s="1"/>
  <c r="AA63" i="34"/>
  <c r="AA60" i="34"/>
  <c r="AA59" i="34"/>
  <c r="AB59" i="34" s="1"/>
  <c r="AA58" i="34"/>
  <c r="AB58" i="34" s="1"/>
  <c r="AA57" i="34"/>
  <c r="AB57" i="34" s="1"/>
  <c r="AA56" i="34"/>
  <c r="AB56" i="34" s="1"/>
  <c r="AA55" i="34"/>
  <c r="AB55" i="34" s="1"/>
  <c r="AA54" i="34"/>
  <c r="AA53" i="34"/>
  <c r="AA51" i="34"/>
  <c r="AA50" i="34"/>
  <c r="AA48" i="34"/>
  <c r="AA47" i="34"/>
  <c r="AA45" i="34"/>
  <c r="AB45" i="34" s="1"/>
  <c r="AA43" i="34"/>
  <c r="AB43" i="34" s="1"/>
  <c r="AA42" i="34"/>
  <c r="AB42" i="34" s="1"/>
  <c r="AA41" i="34"/>
  <c r="AB41" i="34" s="1"/>
  <c r="AA39" i="34"/>
  <c r="AB39" i="34" s="1"/>
  <c r="AA38" i="34"/>
  <c r="AB38" i="34" s="1"/>
  <c r="AA36" i="34"/>
  <c r="AA35" i="34"/>
  <c r="AA34" i="34"/>
  <c r="AA33" i="34"/>
  <c r="AA31" i="34"/>
  <c r="AB31" i="34" s="1"/>
  <c r="AA30" i="34"/>
  <c r="AB30" i="34" s="1"/>
  <c r="AA28" i="34"/>
  <c r="AB28" i="34" s="1"/>
  <c r="AA27" i="34"/>
  <c r="AB27" i="34" s="1"/>
  <c r="AA25" i="34"/>
  <c r="AB25" i="34" s="1"/>
  <c r="AA24" i="34"/>
  <c r="AB24" i="34" s="1"/>
  <c r="AA23" i="34"/>
  <c r="AB23" i="34" s="1"/>
  <c r="AA22" i="34"/>
  <c r="AB22" i="34" s="1"/>
  <c r="AA21" i="34"/>
  <c r="AA20" i="34"/>
  <c r="AA19" i="34"/>
  <c r="AA18" i="34"/>
  <c r="AA17" i="34"/>
  <c r="AA16" i="34"/>
  <c r="AB16" i="34" s="1"/>
  <c r="AA15" i="34"/>
  <c r="AA14" i="34"/>
  <c r="AB14" i="34" s="1"/>
  <c r="AA13" i="34"/>
  <c r="AB13" i="34" s="1"/>
  <c r="AA12" i="34"/>
  <c r="AB12" i="34" s="1"/>
  <c r="AA11" i="34"/>
  <c r="AB11" i="34" s="1"/>
  <c r="AA10" i="34"/>
  <c r="AB10" i="34" s="1"/>
  <c r="AA9" i="34"/>
  <c r="AB9" i="34" s="1"/>
  <c r="AA8" i="34"/>
  <c r="AA7" i="34"/>
  <c r="AA6" i="34"/>
  <c r="AA5" i="34"/>
  <c r="X64" i="34"/>
  <c r="Y64" i="34" s="1"/>
  <c r="X63" i="34"/>
  <c r="Y63" i="34" s="1"/>
  <c r="X60" i="34"/>
  <c r="X59" i="34"/>
  <c r="Y59" i="34" s="1"/>
  <c r="X58" i="34"/>
  <c r="Y58" i="34" s="1"/>
  <c r="X57" i="34"/>
  <c r="Y57" i="34" s="1"/>
  <c r="X56" i="34"/>
  <c r="Y56" i="34" s="1"/>
  <c r="X55" i="34"/>
  <c r="X54" i="34"/>
  <c r="X53" i="34"/>
  <c r="X51" i="34"/>
  <c r="X50" i="34"/>
  <c r="X48" i="34"/>
  <c r="X47" i="34"/>
  <c r="Y47" i="34" s="1"/>
  <c r="X45" i="34"/>
  <c r="Y45" i="34" s="1"/>
  <c r="X43" i="34"/>
  <c r="Y43" i="34" s="1"/>
  <c r="X42" i="34"/>
  <c r="Y42" i="34" s="1"/>
  <c r="X41" i="34"/>
  <c r="Y41" i="34" s="1"/>
  <c r="X39" i="34"/>
  <c r="Y39" i="34" s="1"/>
  <c r="X38" i="34"/>
  <c r="X36" i="34"/>
  <c r="X35" i="34"/>
  <c r="X34" i="34"/>
  <c r="Y34" i="34" s="1"/>
  <c r="X33" i="34"/>
  <c r="Y33" i="34" s="1"/>
  <c r="X31" i="34"/>
  <c r="Y31" i="34" s="1"/>
  <c r="X30" i="34"/>
  <c r="Y30" i="34" s="1"/>
  <c r="X28" i="34"/>
  <c r="Y28" i="34" s="1"/>
  <c r="X27" i="34"/>
  <c r="Y27" i="34" s="1"/>
  <c r="X25" i="34"/>
  <c r="Y25" i="34" s="1"/>
  <c r="X24" i="34"/>
  <c r="Y24" i="34" s="1"/>
  <c r="X23" i="34"/>
  <c r="Y23" i="34" s="1"/>
  <c r="X22" i="34"/>
  <c r="Y22" i="34" s="1"/>
  <c r="X21" i="34"/>
  <c r="X20" i="34"/>
  <c r="X19" i="34"/>
  <c r="Y19" i="34" s="1"/>
  <c r="X18" i="34"/>
  <c r="X17" i="34"/>
  <c r="Y17" i="34" s="1"/>
  <c r="X16" i="34"/>
  <c r="Y16" i="34" s="1"/>
  <c r="X15" i="34"/>
  <c r="Y15" i="34" s="1"/>
  <c r="X14" i="34"/>
  <c r="Y14" i="34" s="1"/>
  <c r="X13" i="34"/>
  <c r="Y13" i="34" s="1"/>
  <c r="X12" i="34"/>
  <c r="Y12" i="34" s="1"/>
  <c r="X11" i="34"/>
  <c r="Y11" i="34" s="1"/>
  <c r="X10" i="34"/>
  <c r="X9" i="34"/>
  <c r="X8" i="34"/>
  <c r="X7" i="34"/>
  <c r="X6" i="34"/>
  <c r="X5" i="34"/>
  <c r="U64" i="34"/>
  <c r="V64" i="34" s="1"/>
  <c r="U63" i="34"/>
  <c r="V63" i="34" s="1"/>
  <c r="U60" i="34"/>
  <c r="V60" i="34" s="1"/>
  <c r="U59" i="34"/>
  <c r="V59" i="34" s="1"/>
  <c r="U58" i="34"/>
  <c r="V58" i="34" s="1"/>
  <c r="U57" i="34"/>
  <c r="V57" i="34" s="1"/>
  <c r="U56" i="34"/>
  <c r="V56" i="34" s="1"/>
  <c r="U55" i="34"/>
  <c r="U54" i="34"/>
  <c r="U53" i="34"/>
  <c r="V53" i="34" s="1"/>
  <c r="U51" i="34"/>
  <c r="U50" i="34"/>
  <c r="V50" i="34" s="1"/>
  <c r="U48" i="34"/>
  <c r="U47" i="34"/>
  <c r="V47" i="34" s="1"/>
  <c r="U45" i="34"/>
  <c r="V45" i="34" s="1"/>
  <c r="U43" i="34"/>
  <c r="V43" i="34" s="1"/>
  <c r="U42" i="34"/>
  <c r="V42" i="34" s="1"/>
  <c r="U41" i="34"/>
  <c r="V41" i="34" s="1"/>
  <c r="U39" i="34"/>
  <c r="U38" i="34"/>
  <c r="U36" i="34"/>
  <c r="U35" i="34"/>
  <c r="U34" i="34"/>
  <c r="U33" i="34"/>
  <c r="V33" i="34" s="1"/>
  <c r="U31" i="34"/>
  <c r="V31" i="34" s="1"/>
  <c r="U30" i="34"/>
  <c r="V30" i="34" s="1"/>
  <c r="U28" i="34"/>
  <c r="V28" i="34" s="1"/>
  <c r="U27" i="34"/>
  <c r="V27" i="34" s="1"/>
  <c r="U25" i="34"/>
  <c r="V25" i="34" s="1"/>
  <c r="U24" i="34"/>
  <c r="V24" i="34" s="1"/>
  <c r="U23" i="34"/>
  <c r="U22" i="34"/>
  <c r="U21" i="34"/>
  <c r="U20" i="34"/>
  <c r="U19" i="34"/>
  <c r="U18" i="34"/>
  <c r="U17" i="34"/>
  <c r="V17" i="34" s="1"/>
  <c r="U16" i="34"/>
  <c r="V16" i="34" s="1"/>
  <c r="U15" i="34"/>
  <c r="V15" i="34" s="1"/>
  <c r="U14" i="34"/>
  <c r="V14" i="34" s="1"/>
  <c r="U13" i="34"/>
  <c r="V13" i="34" s="1"/>
  <c r="U12" i="34"/>
  <c r="V12" i="34" s="1"/>
  <c r="U11" i="34"/>
  <c r="V11" i="34" s="1"/>
  <c r="U10" i="34"/>
  <c r="U9" i="34"/>
  <c r="U8" i="34"/>
  <c r="V8" i="34" s="1"/>
  <c r="U7" i="34"/>
  <c r="V7" i="34" s="1"/>
  <c r="U6" i="34"/>
  <c r="U5" i="34"/>
  <c r="R64" i="34"/>
  <c r="S64" i="34" s="1"/>
  <c r="R63" i="34"/>
  <c r="S63" i="34" s="1"/>
  <c r="R60" i="34"/>
  <c r="S60" i="34" s="1"/>
  <c r="R59" i="34"/>
  <c r="S59" i="34" s="1"/>
  <c r="R58" i="34"/>
  <c r="S58" i="34" s="1"/>
  <c r="R57" i="34"/>
  <c r="S57" i="34" s="1"/>
  <c r="R56" i="34"/>
  <c r="R55" i="34"/>
  <c r="R54" i="34"/>
  <c r="R53" i="34"/>
  <c r="R51" i="34"/>
  <c r="R50" i="34"/>
  <c r="S50" i="34" s="1"/>
  <c r="R48" i="34"/>
  <c r="R47" i="34"/>
  <c r="S47" i="34" s="1"/>
  <c r="R45" i="34"/>
  <c r="S45" i="34" s="1"/>
  <c r="R43" i="34"/>
  <c r="S43" i="34" s="1"/>
  <c r="R42" i="34"/>
  <c r="S42" i="34" s="1"/>
  <c r="R41" i="34"/>
  <c r="S41" i="34" s="1"/>
  <c r="R39" i="34"/>
  <c r="R38" i="34"/>
  <c r="R36" i="34"/>
  <c r="R35" i="34"/>
  <c r="R34" i="34"/>
  <c r="R33" i="34"/>
  <c r="S33" i="34" s="1"/>
  <c r="R31" i="34"/>
  <c r="S31" i="34" s="1"/>
  <c r="R30" i="34"/>
  <c r="S30" i="34" s="1"/>
  <c r="R28" i="34"/>
  <c r="S28" i="34" s="1"/>
  <c r="R27" i="34"/>
  <c r="S27" i="34" s="1"/>
  <c r="R25" i="34"/>
  <c r="S25" i="34" s="1"/>
  <c r="R24" i="34"/>
  <c r="S24" i="34" s="1"/>
  <c r="R23" i="34"/>
  <c r="R22" i="34"/>
  <c r="R21" i="34"/>
  <c r="S21" i="34" s="1"/>
  <c r="R20" i="34"/>
  <c r="R19" i="34"/>
  <c r="R18" i="34"/>
  <c r="R17" i="34"/>
  <c r="S17" i="34" s="1"/>
  <c r="R16" i="34"/>
  <c r="S16" i="34" s="1"/>
  <c r="R15" i="34"/>
  <c r="S15" i="34" s="1"/>
  <c r="R14" i="34"/>
  <c r="S14" i="34" s="1"/>
  <c r="R13" i="34"/>
  <c r="S13" i="34" s="1"/>
  <c r="R12" i="34"/>
  <c r="S12" i="34" s="1"/>
  <c r="R11" i="34"/>
  <c r="R10" i="34"/>
  <c r="R9" i="34"/>
  <c r="S9" i="34" s="1"/>
  <c r="R8" i="34"/>
  <c r="R7" i="34"/>
  <c r="S7" i="34" s="1"/>
  <c r="R6" i="34"/>
  <c r="S6" i="34" s="1"/>
  <c r="R5" i="34"/>
  <c r="O64" i="34"/>
  <c r="P64" i="34" s="1"/>
  <c r="O63" i="34"/>
  <c r="P63" i="34" s="1"/>
  <c r="O60" i="34"/>
  <c r="P60" i="34" s="1"/>
  <c r="O59" i="34"/>
  <c r="P59" i="34" s="1"/>
  <c r="O58" i="34"/>
  <c r="O57" i="34"/>
  <c r="O56" i="34"/>
  <c r="O55" i="34"/>
  <c r="O54" i="34"/>
  <c r="O53" i="34"/>
  <c r="O51" i="34"/>
  <c r="O50" i="34"/>
  <c r="P50" i="34" s="1"/>
  <c r="O48" i="34"/>
  <c r="P48" i="34" s="1"/>
  <c r="O47" i="34"/>
  <c r="P47" i="34" s="1"/>
  <c r="O45" i="34"/>
  <c r="P45" i="34" s="1"/>
  <c r="O43" i="34"/>
  <c r="P43" i="34" s="1"/>
  <c r="O42" i="34"/>
  <c r="P42" i="34" s="1"/>
  <c r="O41" i="34"/>
  <c r="O39" i="34"/>
  <c r="O38" i="34"/>
  <c r="P38" i="34" s="1"/>
  <c r="O36" i="34"/>
  <c r="O35" i="34"/>
  <c r="O34" i="34"/>
  <c r="O33" i="34"/>
  <c r="P33" i="34" s="1"/>
  <c r="O31" i="34"/>
  <c r="P31" i="34" s="1"/>
  <c r="O30" i="34"/>
  <c r="P30" i="34" s="1"/>
  <c r="O28" i="34"/>
  <c r="P28" i="34" s="1"/>
  <c r="O27" i="34"/>
  <c r="P27" i="34" s="1"/>
  <c r="O25" i="34"/>
  <c r="O24" i="34"/>
  <c r="O23" i="34"/>
  <c r="O22" i="34"/>
  <c r="P22" i="34" s="1"/>
  <c r="O21" i="34"/>
  <c r="O20" i="34"/>
  <c r="O19" i="34"/>
  <c r="P19" i="34" s="1"/>
  <c r="O18" i="34"/>
  <c r="P18" i="34" s="1"/>
  <c r="O17" i="34"/>
  <c r="P17" i="34" s="1"/>
  <c r="O16" i="34"/>
  <c r="P16" i="34" s="1"/>
  <c r="O15" i="34"/>
  <c r="P15" i="34" s="1"/>
  <c r="O14" i="34"/>
  <c r="P14" i="34" s="1"/>
  <c r="O13" i="34"/>
  <c r="O12" i="34"/>
  <c r="O11" i="34"/>
  <c r="O10" i="34"/>
  <c r="P10" i="34" s="1"/>
  <c r="O9" i="34"/>
  <c r="O8" i="34"/>
  <c r="P8" i="34" s="1"/>
  <c r="O7" i="34"/>
  <c r="P7" i="34" s="1"/>
  <c r="O6" i="34"/>
  <c r="P6" i="34" s="1"/>
  <c r="O5" i="34"/>
  <c r="L64" i="34"/>
  <c r="M64" i="34" s="1"/>
  <c r="L63" i="34"/>
  <c r="M63" i="34" s="1"/>
  <c r="L60" i="34"/>
  <c r="M60" i="34" s="1"/>
  <c r="L59" i="34"/>
  <c r="M59" i="34" s="1"/>
  <c r="L58" i="34"/>
  <c r="L57" i="34"/>
  <c r="L56" i="34"/>
  <c r="M56" i="34" s="1"/>
  <c r="L55" i="34"/>
  <c r="L54" i="34"/>
  <c r="L53" i="34"/>
  <c r="L51" i="34"/>
  <c r="L50" i="34"/>
  <c r="M50" i="34" s="1"/>
  <c r="L48" i="34"/>
  <c r="M48" i="34" s="1"/>
  <c r="L47" i="34"/>
  <c r="M47" i="34" s="1"/>
  <c r="L45" i="34"/>
  <c r="M45" i="34" s="1"/>
  <c r="L43" i="34"/>
  <c r="L42" i="34"/>
  <c r="L41" i="34"/>
  <c r="L39" i="34"/>
  <c r="M39" i="34" s="1"/>
  <c r="L38" i="34"/>
  <c r="L36" i="34"/>
  <c r="L35" i="34"/>
  <c r="M35" i="34" s="1"/>
  <c r="L34" i="34"/>
  <c r="M34" i="34" s="1"/>
  <c r="L33" i="34"/>
  <c r="M33" i="34" s="1"/>
  <c r="L31" i="34"/>
  <c r="M31" i="34" s="1"/>
  <c r="L30" i="34"/>
  <c r="M30" i="34" s="1"/>
  <c r="L28" i="34"/>
  <c r="M28" i="34" s="1"/>
  <c r="L27" i="34"/>
  <c r="M27" i="34" s="1"/>
  <c r="L25" i="34"/>
  <c r="L24" i="34"/>
  <c r="L23" i="34"/>
  <c r="M23" i="34" s="1"/>
  <c r="L22" i="34"/>
  <c r="M22" i="34" s="1"/>
  <c r="L21" i="34"/>
  <c r="M21" i="34" s="1"/>
  <c r="L20" i="34"/>
  <c r="L19" i="34"/>
  <c r="M19" i="34" s="1"/>
  <c r="L18" i="34"/>
  <c r="M18" i="34" s="1"/>
  <c r="L17" i="34"/>
  <c r="M17" i="34" s="1"/>
  <c r="L16" i="34"/>
  <c r="M16" i="34" s="1"/>
  <c r="L15" i="34"/>
  <c r="M15" i="34" s="1"/>
  <c r="L14" i="34"/>
  <c r="M14" i="34" s="1"/>
  <c r="L13" i="34"/>
  <c r="L12" i="34"/>
  <c r="L11" i="34"/>
  <c r="L10" i="34"/>
  <c r="M10" i="34" s="1"/>
  <c r="L9" i="34"/>
  <c r="L8" i="34"/>
  <c r="M8" i="34" s="1"/>
  <c r="L7" i="34"/>
  <c r="M7" i="34" s="1"/>
  <c r="L6" i="34"/>
  <c r="M6" i="34" s="1"/>
  <c r="L5" i="34"/>
  <c r="I64" i="34"/>
  <c r="J64" i="34" s="1"/>
  <c r="I63" i="34"/>
  <c r="J63" i="34" s="1"/>
  <c r="I60" i="34"/>
  <c r="I59" i="34"/>
  <c r="I58" i="34"/>
  <c r="I57" i="34"/>
  <c r="J57" i="34" s="1"/>
  <c r="I56" i="34"/>
  <c r="J56" i="34" s="1"/>
  <c r="I55" i="34"/>
  <c r="J55" i="34" s="1"/>
  <c r="I54" i="34"/>
  <c r="J54" i="34" s="1"/>
  <c r="I53" i="34"/>
  <c r="J53" i="34" s="1"/>
  <c r="I51" i="34"/>
  <c r="I50" i="34"/>
  <c r="J50" i="34" s="1"/>
  <c r="I48" i="34"/>
  <c r="I47" i="34"/>
  <c r="J47" i="34" s="1"/>
  <c r="I45" i="34"/>
  <c r="J45" i="34" s="1"/>
  <c r="I43" i="34"/>
  <c r="I42" i="34"/>
  <c r="I41" i="34"/>
  <c r="I39" i="34"/>
  <c r="I38" i="34"/>
  <c r="J38" i="34" s="1"/>
  <c r="I36" i="34"/>
  <c r="I35" i="34"/>
  <c r="J35" i="34" s="1"/>
  <c r="I34" i="34"/>
  <c r="I33" i="34"/>
  <c r="J33" i="34" s="1"/>
  <c r="I31" i="34"/>
  <c r="J31" i="34" s="1"/>
  <c r="I30" i="34"/>
  <c r="J30" i="34" s="1"/>
  <c r="I28" i="34"/>
  <c r="J28" i="34" s="1"/>
  <c r="I27" i="34"/>
  <c r="I25" i="34"/>
  <c r="I24" i="34"/>
  <c r="J24" i="34" s="1"/>
  <c r="I23" i="34"/>
  <c r="I22" i="34"/>
  <c r="J22" i="34" s="1"/>
  <c r="I21" i="34"/>
  <c r="J21" i="34" s="1"/>
  <c r="I20" i="34"/>
  <c r="J20" i="34" s="1"/>
  <c r="I19" i="34"/>
  <c r="J19" i="34" s="1"/>
  <c r="I18" i="34"/>
  <c r="J18" i="34" s="1"/>
  <c r="I17" i="34"/>
  <c r="J17" i="34" s="1"/>
  <c r="I16" i="34"/>
  <c r="J16" i="34" s="1"/>
  <c r="I15" i="34"/>
  <c r="J15" i="34" s="1"/>
  <c r="I14" i="34"/>
  <c r="I13" i="34"/>
  <c r="I12" i="34"/>
  <c r="J12" i="34" s="1"/>
  <c r="I11" i="34"/>
  <c r="I10" i="34"/>
  <c r="J10" i="34" s="1"/>
  <c r="I9" i="34"/>
  <c r="J9" i="34" s="1"/>
  <c r="I8" i="34"/>
  <c r="J8" i="34" s="1"/>
  <c r="I7" i="34"/>
  <c r="J7" i="34" s="1"/>
  <c r="I6" i="34"/>
  <c r="J6" i="34" s="1"/>
  <c r="I5" i="34"/>
  <c r="F6" i="34"/>
  <c r="G6" i="34" s="1"/>
  <c r="F7" i="34"/>
  <c r="F8" i="34"/>
  <c r="F9" i="34"/>
  <c r="F10" i="34"/>
  <c r="G10" i="34" s="1"/>
  <c r="F11" i="34"/>
  <c r="F12" i="34"/>
  <c r="G12" i="34" s="1"/>
  <c r="F13" i="34"/>
  <c r="G13" i="34" s="1"/>
  <c r="F14" i="34"/>
  <c r="G14" i="34" s="1"/>
  <c r="F15" i="34"/>
  <c r="G15" i="34" s="1"/>
  <c r="F16" i="34"/>
  <c r="G16" i="34" s="1"/>
  <c r="F17" i="34"/>
  <c r="G17" i="34" s="1"/>
  <c r="F18" i="34"/>
  <c r="G18" i="34" s="1"/>
  <c r="F19" i="34"/>
  <c r="F20" i="34"/>
  <c r="F21" i="34"/>
  <c r="F22" i="34"/>
  <c r="F23" i="34"/>
  <c r="F24" i="34"/>
  <c r="F25" i="34"/>
  <c r="G25" i="34" s="1"/>
  <c r="F27" i="34"/>
  <c r="F28" i="34"/>
  <c r="G28" i="34" s="1"/>
  <c r="F30" i="34"/>
  <c r="G30" i="34" s="1"/>
  <c r="F31" i="34"/>
  <c r="G31" i="34" s="1"/>
  <c r="F33" i="34"/>
  <c r="G33" i="34" s="1"/>
  <c r="F34" i="34"/>
  <c r="G34" i="34" s="1"/>
  <c r="F35" i="34"/>
  <c r="F36" i="34"/>
  <c r="F38" i="34"/>
  <c r="G38" i="34" s="1"/>
  <c r="F39" i="34"/>
  <c r="F41" i="34"/>
  <c r="F42" i="34"/>
  <c r="G42" i="34" s="1"/>
  <c r="F43" i="34"/>
  <c r="G43" i="34" s="1"/>
  <c r="F45" i="34"/>
  <c r="G45" i="34" s="1"/>
  <c r="F47" i="34"/>
  <c r="G47" i="34" s="1"/>
  <c r="F48" i="34"/>
  <c r="G48" i="34" s="1"/>
  <c r="F50" i="34"/>
  <c r="G50" i="34" s="1"/>
  <c r="F51" i="34"/>
  <c r="F53" i="34"/>
  <c r="F54" i="34"/>
  <c r="F55" i="34"/>
  <c r="F56" i="34"/>
  <c r="G56" i="34" s="1"/>
  <c r="F57" i="34"/>
  <c r="G57" i="34" s="1"/>
  <c r="F58" i="34"/>
  <c r="G58" i="34" s="1"/>
  <c r="F59" i="34"/>
  <c r="G59" i="34" s="1"/>
  <c r="F60" i="34"/>
  <c r="G60" i="34" s="1"/>
  <c r="F63" i="34"/>
  <c r="G63" i="34" s="1"/>
  <c r="F64" i="34"/>
  <c r="G64" i="34" s="1"/>
  <c r="F5" i="34"/>
  <c r="AT65" i="34"/>
  <c r="AP65" i="34"/>
  <c r="AL65" i="34"/>
  <c r="AD65" i="34"/>
  <c r="Z65" i="34"/>
  <c r="W65" i="34"/>
  <c r="T65" i="34"/>
  <c r="Q65" i="34"/>
  <c r="N65" i="34"/>
  <c r="K65" i="34"/>
  <c r="H65" i="34"/>
  <c r="E65" i="34"/>
  <c r="AB63" i="34"/>
  <c r="AW61" i="34"/>
  <c r="AS61" i="34"/>
  <c r="AO61" i="34"/>
  <c r="AK61" i="34"/>
  <c r="AG61" i="34"/>
  <c r="AB60" i="34"/>
  <c r="Y60" i="34"/>
  <c r="J60" i="34"/>
  <c r="AR59" i="34"/>
  <c r="AS59" i="34" s="1"/>
  <c r="AF59" i="34"/>
  <c r="AG59" i="34" s="1"/>
  <c r="J59" i="34"/>
  <c r="P58" i="34"/>
  <c r="M58" i="34"/>
  <c r="J58" i="34"/>
  <c r="AR57" i="34"/>
  <c r="AS57" i="34" s="1"/>
  <c r="AF57" i="34"/>
  <c r="AG57" i="34" s="1"/>
  <c r="P57" i="34"/>
  <c r="M57" i="34"/>
  <c r="S56" i="34"/>
  <c r="P56" i="34"/>
  <c r="Y55" i="34"/>
  <c r="V55" i="34"/>
  <c r="S55" i="34"/>
  <c r="P55" i="34"/>
  <c r="M55" i="34"/>
  <c r="G55" i="34"/>
  <c r="AF54" i="34"/>
  <c r="AG54" i="34" s="1"/>
  <c r="AB54" i="34"/>
  <c r="Y54" i="34"/>
  <c r="V54" i="34"/>
  <c r="S54" i="34"/>
  <c r="P54" i="34"/>
  <c r="M54" i="34"/>
  <c r="G54" i="34"/>
  <c r="AB53" i="34"/>
  <c r="Y53" i="34"/>
  <c r="S53" i="34"/>
  <c r="P53" i="34"/>
  <c r="M53" i="34"/>
  <c r="G53" i="34"/>
  <c r="AV51" i="34"/>
  <c r="AW51" i="34" s="1"/>
  <c r="AR51" i="34"/>
  <c r="AS51" i="34" s="1"/>
  <c r="AJ51" i="34"/>
  <c r="AK51" i="34" s="1"/>
  <c r="AB51" i="34"/>
  <c r="Y51" i="34"/>
  <c r="V51" i="34"/>
  <c r="S51" i="34"/>
  <c r="P51" i="34"/>
  <c r="M51" i="34"/>
  <c r="J51" i="34"/>
  <c r="G51" i="34"/>
  <c r="AB50" i="34"/>
  <c r="Y50" i="34"/>
  <c r="AV49" i="34"/>
  <c r="AW49" i="34" s="1"/>
  <c r="AJ49" i="34"/>
  <c r="AK49" i="34" s="1"/>
  <c r="AF49" i="34"/>
  <c r="AG49" i="34" s="1"/>
  <c r="AB48" i="34"/>
  <c r="Y48" i="34"/>
  <c r="V48" i="34"/>
  <c r="J48" i="34"/>
  <c r="AB47" i="34"/>
  <c r="AV46" i="34"/>
  <c r="AW46" i="34" s="1"/>
  <c r="AN46" i="34"/>
  <c r="AO46" i="34" s="1"/>
  <c r="AJ46" i="34"/>
  <c r="AK46" i="34" s="1"/>
  <c r="AN44" i="34"/>
  <c r="AO44" i="34" s="1"/>
  <c r="AJ44" i="34"/>
  <c r="AK44" i="34" s="1"/>
  <c r="AN43" i="34"/>
  <c r="AO43" i="34" s="1"/>
  <c r="M43" i="34"/>
  <c r="J43" i="34"/>
  <c r="M42" i="34"/>
  <c r="J42" i="34"/>
  <c r="P41" i="34"/>
  <c r="M41" i="34"/>
  <c r="J41" i="34"/>
  <c r="G41" i="34"/>
  <c r="V39" i="34"/>
  <c r="S39" i="34"/>
  <c r="P39" i="34"/>
  <c r="J39" i="34"/>
  <c r="G39" i="34"/>
  <c r="AN38" i="34"/>
  <c r="AO38" i="34" s="1"/>
  <c r="AF38" i="34"/>
  <c r="AG38" i="34" s="1"/>
  <c r="Y38" i="34"/>
  <c r="V38" i="34"/>
  <c r="S38" i="34"/>
  <c r="M38" i="34"/>
  <c r="AR37" i="34"/>
  <c r="AS37" i="34" s="1"/>
  <c r="AF37" i="34"/>
  <c r="AG37" i="34" s="1"/>
  <c r="AB36" i="34"/>
  <c r="Y36" i="34"/>
  <c r="V36" i="34"/>
  <c r="S36" i="34"/>
  <c r="P36" i="34"/>
  <c r="M36" i="34"/>
  <c r="J36" i="34"/>
  <c r="G36" i="34"/>
  <c r="AR35" i="34"/>
  <c r="AS35" i="34" s="1"/>
  <c r="AF35" i="34"/>
  <c r="AG35" i="34" s="1"/>
  <c r="AB35" i="34"/>
  <c r="Y35" i="34"/>
  <c r="V35" i="34"/>
  <c r="S35" i="34"/>
  <c r="P35" i="34"/>
  <c r="G35" i="34"/>
  <c r="AR34" i="34"/>
  <c r="AS34" i="34" s="1"/>
  <c r="AB34" i="34"/>
  <c r="V34" i="34"/>
  <c r="S34" i="34"/>
  <c r="P34" i="34"/>
  <c r="J34" i="34"/>
  <c r="AB33" i="34"/>
  <c r="AR32" i="34"/>
  <c r="AS32" i="34" s="1"/>
  <c r="AF32" i="34"/>
  <c r="AG32" i="34" s="1"/>
  <c r="AV30" i="34"/>
  <c r="AW30" i="34" s="1"/>
  <c r="AR30" i="34"/>
  <c r="AS30" i="34" s="1"/>
  <c r="AJ30" i="34"/>
  <c r="AK30" i="34" s="1"/>
  <c r="AV29" i="34"/>
  <c r="AW29" i="34" s="1"/>
  <c r="AR29" i="34"/>
  <c r="AS29" i="34" s="1"/>
  <c r="AJ29" i="34"/>
  <c r="AK29" i="34" s="1"/>
  <c r="AV27" i="34"/>
  <c r="AW27" i="34" s="1"/>
  <c r="J27" i="34"/>
  <c r="G27" i="34"/>
  <c r="AV25" i="34"/>
  <c r="AW25" i="34" s="1"/>
  <c r="AN25" i="34"/>
  <c r="AO25" i="34" s="1"/>
  <c r="P25" i="34"/>
  <c r="M25" i="34"/>
  <c r="J25" i="34"/>
  <c r="P24" i="34"/>
  <c r="M24" i="34"/>
  <c r="G24" i="34"/>
  <c r="AV23" i="34"/>
  <c r="AW23" i="34" s="1"/>
  <c r="AN23" i="34"/>
  <c r="AO23" i="34" s="1"/>
  <c r="AJ23" i="34"/>
  <c r="AK23" i="34" s="1"/>
  <c r="V23" i="34"/>
  <c r="S23" i="34"/>
  <c r="P23" i="34"/>
  <c r="J23" i="34"/>
  <c r="G23" i="34"/>
  <c r="V22" i="34"/>
  <c r="S22" i="34"/>
  <c r="G22" i="34"/>
  <c r="AB21" i="34"/>
  <c r="Y21" i="34"/>
  <c r="V21" i="34"/>
  <c r="P21" i="34"/>
  <c r="G21" i="34"/>
  <c r="AN20" i="34"/>
  <c r="AO20" i="34" s="1"/>
  <c r="AB20" i="34"/>
  <c r="Y20" i="34"/>
  <c r="V20" i="34"/>
  <c r="S20" i="34"/>
  <c r="P20" i="34"/>
  <c r="M20" i="34"/>
  <c r="G20" i="34"/>
  <c r="AB19" i="34"/>
  <c r="V19" i="34"/>
  <c r="S19" i="34"/>
  <c r="G19" i="34"/>
  <c r="AV18" i="34"/>
  <c r="AW18" i="34" s="1"/>
  <c r="AB18" i="34"/>
  <c r="Y18" i="34"/>
  <c r="V18" i="34"/>
  <c r="S18" i="34"/>
  <c r="AB17" i="34"/>
  <c r="AN16" i="34"/>
  <c r="AO16" i="34" s="1"/>
  <c r="AF16" i="34"/>
  <c r="AG16" i="34" s="1"/>
  <c r="AB15" i="34"/>
  <c r="AR14" i="34"/>
  <c r="AS14" i="34" s="1"/>
  <c r="AF14" i="34"/>
  <c r="AG14" i="34" s="1"/>
  <c r="J14" i="34"/>
  <c r="P13" i="34"/>
  <c r="M13" i="34"/>
  <c r="J13" i="34"/>
  <c r="AR12" i="34"/>
  <c r="AS12" i="34" s="1"/>
  <c r="AF12" i="34"/>
  <c r="AG12" i="34" s="1"/>
  <c r="P12" i="34"/>
  <c r="M12" i="34"/>
  <c r="S11" i="34"/>
  <c r="P11" i="34"/>
  <c r="M11" i="34"/>
  <c r="J11" i="34"/>
  <c r="G11" i="34"/>
  <c r="Y10" i="34"/>
  <c r="V10" i="34"/>
  <c r="S10" i="34"/>
  <c r="Y9" i="34"/>
  <c r="V9" i="34"/>
  <c r="P9" i="34"/>
  <c r="M9" i="34"/>
  <c r="G9" i="34"/>
  <c r="AB8" i="34"/>
  <c r="Y8" i="34"/>
  <c r="S8" i="34"/>
  <c r="G8" i="34"/>
  <c r="AB7" i="34"/>
  <c r="Y7" i="34"/>
  <c r="G7" i="34"/>
  <c r="AB6" i="34"/>
  <c r="Y6" i="34"/>
  <c r="V6" i="34"/>
  <c r="F5" i="32"/>
  <c r="AU61" i="33"/>
  <c r="AV61" i="33" s="1"/>
  <c r="AW61" i="33" s="1"/>
  <c r="AU59" i="33"/>
  <c r="AV59" i="33" s="1"/>
  <c r="AW59" i="33" s="1"/>
  <c r="AU56" i="33"/>
  <c r="AV56" i="33" s="1"/>
  <c r="AW56" i="33" s="1"/>
  <c r="AU54" i="33"/>
  <c r="AV54" i="33" s="1"/>
  <c r="AW54" i="33" s="1"/>
  <c r="AU51" i="33"/>
  <c r="AV51" i="33" s="1"/>
  <c r="AW51" i="33" s="1"/>
  <c r="AU49" i="33"/>
  <c r="AV49" i="33" s="1"/>
  <c r="AW49" i="33" s="1"/>
  <c r="AU48" i="33"/>
  <c r="AV48" i="33" s="1"/>
  <c r="AW48" i="33" s="1"/>
  <c r="AU46" i="33"/>
  <c r="AV46" i="33" s="1"/>
  <c r="AW46" i="33" s="1"/>
  <c r="AU44" i="33"/>
  <c r="AU43" i="33"/>
  <c r="AU41" i="33"/>
  <c r="AU38" i="33"/>
  <c r="AV38" i="33" s="1"/>
  <c r="AW38" i="33" s="1"/>
  <c r="AU37" i="33"/>
  <c r="AV37" i="33" s="1"/>
  <c r="AW37" i="33" s="1"/>
  <c r="AU35" i="33"/>
  <c r="AV35" i="33" s="1"/>
  <c r="AW35" i="33" s="1"/>
  <c r="AU34" i="33"/>
  <c r="AU30" i="33"/>
  <c r="AV30" i="33" s="1"/>
  <c r="AW30" i="33" s="1"/>
  <c r="AU29" i="33"/>
  <c r="AV29" i="33" s="1"/>
  <c r="AW29" i="33" s="1"/>
  <c r="AU25" i="33"/>
  <c r="AV25" i="33" s="1"/>
  <c r="AW25" i="33" s="1"/>
  <c r="AU23" i="33"/>
  <c r="AV23" i="33" s="1"/>
  <c r="AW23" i="33" s="1"/>
  <c r="AU20" i="33"/>
  <c r="AV20" i="33" s="1"/>
  <c r="AW20" i="33" s="1"/>
  <c r="AU18" i="33"/>
  <c r="AV18" i="33" s="1"/>
  <c r="AW18" i="33" s="1"/>
  <c r="AU16" i="33"/>
  <c r="AU14" i="33"/>
  <c r="AU12" i="33"/>
  <c r="AU7" i="33"/>
  <c r="AQ61" i="33"/>
  <c r="AR61" i="33" s="1"/>
  <c r="AS61" i="33" s="1"/>
  <c r="AQ59" i="33"/>
  <c r="AR59" i="33" s="1"/>
  <c r="AS59" i="33" s="1"/>
  <c r="AQ56" i="33"/>
  <c r="AR56" i="33" s="1"/>
  <c r="AS56" i="33" s="1"/>
  <c r="AQ54" i="33"/>
  <c r="AR54" i="33" s="1"/>
  <c r="AS54" i="33" s="1"/>
  <c r="AQ51" i="33"/>
  <c r="AR51" i="33" s="1"/>
  <c r="AS51" i="33" s="1"/>
  <c r="AQ49" i="33"/>
  <c r="AR49" i="33" s="1"/>
  <c r="AS49" i="33" s="1"/>
  <c r="AQ48" i="33"/>
  <c r="AR48" i="33" s="1"/>
  <c r="AS48" i="33" s="1"/>
  <c r="AQ46" i="33"/>
  <c r="AR46" i="33" s="1"/>
  <c r="AS46" i="33" s="1"/>
  <c r="AQ44" i="33"/>
  <c r="AQ43" i="33"/>
  <c r="AQ41" i="33"/>
  <c r="AQ38" i="33"/>
  <c r="AR38" i="33" s="1"/>
  <c r="AS38" i="33" s="1"/>
  <c r="AQ37" i="33"/>
  <c r="AR37" i="33" s="1"/>
  <c r="AS37" i="33" s="1"/>
  <c r="AQ35" i="33"/>
  <c r="AR35" i="33" s="1"/>
  <c r="AS35" i="33" s="1"/>
  <c r="AQ34" i="33"/>
  <c r="AQ30" i="33"/>
  <c r="AR30" i="33" s="1"/>
  <c r="AS30" i="33" s="1"/>
  <c r="AQ29" i="33"/>
  <c r="AR29" i="33" s="1"/>
  <c r="AS29" i="33" s="1"/>
  <c r="AQ27" i="33"/>
  <c r="AR27" i="33" s="1"/>
  <c r="AS27" i="33" s="1"/>
  <c r="AQ25" i="33"/>
  <c r="AR25" i="33" s="1"/>
  <c r="AS25" i="33" s="1"/>
  <c r="AQ23" i="33"/>
  <c r="AR23" i="33" s="1"/>
  <c r="AS23" i="33" s="1"/>
  <c r="AQ20" i="33"/>
  <c r="AQ18" i="33"/>
  <c r="AQ16" i="33"/>
  <c r="AQ14" i="33"/>
  <c r="AR14" i="33" s="1"/>
  <c r="AS14" i="33" s="1"/>
  <c r="AQ12" i="33"/>
  <c r="AR12" i="33" s="1"/>
  <c r="AS12" i="33" s="1"/>
  <c r="AQ7" i="33"/>
  <c r="AM61" i="33"/>
  <c r="AN61" i="33" s="1"/>
  <c r="AO61" i="33" s="1"/>
  <c r="AM59" i="33"/>
  <c r="AN59" i="33" s="1"/>
  <c r="AO59" i="33" s="1"/>
  <c r="AM56" i="33"/>
  <c r="AN56" i="33" s="1"/>
  <c r="AO56" i="33" s="1"/>
  <c r="AM54" i="33"/>
  <c r="AN54" i="33" s="1"/>
  <c r="AO54" i="33" s="1"/>
  <c r="AM51" i="33"/>
  <c r="AN51" i="33" s="1"/>
  <c r="AO51" i="33" s="1"/>
  <c r="AM49" i="33"/>
  <c r="AN49" i="33" s="1"/>
  <c r="AO49" i="33" s="1"/>
  <c r="AM48" i="33"/>
  <c r="AM46" i="33"/>
  <c r="AM44" i="33"/>
  <c r="AM43" i="33"/>
  <c r="AM41" i="33"/>
  <c r="AN41" i="33" s="1"/>
  <c r="AO41" i="33" s="1"/>
  <c r="AM38" i="33"/>
  <c r="AN38" i="33" s="1"/>
  <c r="AO38" i="33" s="1"/>
  <c r="AM37" i="33"/>
  <c r="AN37" i="33" s="1"/>
  <c r="AO37" i="33" s="1"/>
  <c r="AM35" i="33"/>
  <c r="AN35" i="33" s="1"/>
  <c r="AO35" i="33" s="1"/>
  <c r="AM34" i="33"/>
  <c r="AM30" i="33"/>
  <c r="AN30" i="33" s="1"/>
  <c r="AO30" i="33" s="1"/>
  <c r="AM29" i="33"/>
  <c r="AN29" i="33" s="1"/>
  <c r="AO29" i="33" s="1"/>
  <c r="AM27" i="33"/>
  <c r="AN27" i="33" s="1"/>
  <c r="AO27" i="33" s="1"/>
  <c r="AM25" i="33"/>
  <c r="AM23" i="33"/>
  <c r="AM20" i="33"/>
  <c r="AM18" i="33"/>
  <c r="AN18" i="33" s="1"/>
  <c r="AO18" i="33" s="1"/>
  <c r="AM16" i="33"/>
  <c r="AN16" i="33" s="1"/>
  <c r="AO16" i="33" s="1"/>
  <c r="AM14" i="33"/>
  <c r="AN14" i="33" s="1"/>
  <c r="AO14" i="33" s="1"/>
  <c r="AM12" i="33"/>
  <c r="AN12" i="33" s="1"/>
  <c r="AO12" i="33" s="1"/>
  <c r="AM7" i="33"/>
  <c r="AI61" i="33"/>
  <c r="AJ61" i="33" s="1"/>
  <c r="AK61" i="33" s="1"/>
  <c r="AI59" i="33"/>
  <c r="AJ59" i="33" s="1"/>
  <c r="AK59" i="33" s="1"/>
  <c r="AI56" i="33"/>
  <c r="AJ56" i="33" s="1"/>
  <c r="AK56" i="33" s="1"/>
  <c r="AI54" i="33"/>
  <c r="AI51" i="33"/>
  <c r="AI49" i="33"/>
  <c r="AI48" i="33"/>
  <c r="AI46" i="33"/>
  <c r="AI44" i="33"/>
  <c r="AJ44" i="33" s="1"/>
  <c r="AK44" i="33" s="1"/>
  <c r="AI43" i="33"/>
  <c r="AJ43" i="33" s="1"/>
  <c r="AK43" i="33" s="1"/>
  <c r="AI41" i="33"/>
  <c r="AJ41" i="33" s="1"/>
  <c r="AK41" i="33" s="1"/>
  <c r="AI38" i="33"/>
  <c r="AJ38" i="33" s="1"/>
  <c r="AK38" i="33" s="1"/>
  <c r="AI37" i="33"/>
  <c r="AJ37" i="33" s="1"/>
  <c r="AK37" i="33" s="1"/>
  <c r="AI35" i="33"/>
  <c r="AJ35" i="33" s="1"/>
  <c r="AK35" i="33" s="1"/>
  <c r="AI34" i="33"/>
  <c r="AJ34" i="33" s="1"/>
  <c r="AK34" i="33" s="1"/>
  <c r="AI30" i="33"/>
  <c r="AJ30" i="33" s="1"/>
  <c r="AK30" i="33" s="1"/>
  <c r="AI29" i="33"/>
  <c r="AI27" i="33"/>
  <c r="AI25" i="33"/>
  <c r="AI23" i="33"/>
  <c r="AJ23" i="33" s="1"/>
  <c r="AK23" i="33" s="1"/>
  <c r="AI20" i="33"/>
  <c r="AJ20" i="33" s="1"/>
  <c r="AK20" i="33" s="1"/>
  <c r="AI18" i="33"/>
  <c r="AJ18" i="33" s="1"/>
  <c r="AK18" i="33" s="1"/>
  <c r="AI16" i="33"/>
  <c r="AJ16" i="33" s="1"/>
  <c r="AK16" i="33" s="1"/>
  <c r="AI14" i="33"/>
  <c r="AJ14" i="33" s="1"/>
  <c r="AK14" i="33" s="1"/>
  <c r="AI12" i="33"/>
  <c r="AJ12" i="33" s="1"/>
  <c r="AK12" i="33" s="1"/>
  <c r="AI7" i="33"/>
  <c r="AE61" i="33"/>
  <c r="AF61" i="33" s="1"/>
  <c r="AG61" i="33" s="1"/>
  <c r="AE59" i="33"/>
  <c r="AF59" i="33" s="1"/>
  <c r="AG59" i="33" s="1"/>
  <c r="AE56" i="33"/>
  <c r="AE54" i="33"/>
  <c r="AF54" i="33" s="1"/>
  <c r="AG54" i="33" s="1"/>
  <c r="AE51" i="33"/>
  <c r="AE49" i="33"/>
  <c r="AE48" i="33"/>
  <c r="AF48" i="33" s="1"/>
  <c r="AG48" i="33" s="1"/>
  <c r="AE46" i="33"/>
  <c r="AF46" i="33" s="1"/>
  <c r="AG46" i="33" s="1"/>
  <c r="AE44" i="33"/>
  <c r="AF44" i="33" s="1"/>
  <c r="AG44" i="33" s="1"/>
  <c r="AE43" i="33"/>
  <c r="AF43" i="33" s="1"/>
  <c r="AG43" i="33" s="1"/>
  <c r="AE41" i="33"/>
  <c r="AF41" i="33" s="1"/>
  <c r="AG41" i="33" s="1"/>
  <c r="AE38" i="33"/>
  <c r="AF38" i="33" s="1"/>
  <c r="AG38" i="33" s="1"/>
  <c r="AE37" i="33"/>
  <c r="AF37" i="33" s="1"/>
  <c r="AG37" i="33" s="1"/>
  <c r="AE35" i="33"/>
  <c r="AF35" i="33" s="1"/>
  <c r="AG35" i="33" s="1"/>
  <c r="AE34" i="33"/>
  <c r="AE30" i="33"/>
  <c r="AE29" i="33"/>
  <c r="AE27" i="33"/>
  <c r="AE25" i="33"/>
  <c r="AF25" i="33" s="1"/>
  <c r="AG25" i="33" s="1"/>
  <c r="AE23" i="33"/>
  <c r="AF23" i="33" s="1"/>
  <c r="AG23" i="33" s="1"/>
  <c r="AE20" i="33"/>
  <c r="AF20" i="33" s="1"/>
  <c r="AG20" i="33" s="1"/>
  <c r="AE18" i="33"/>
  <c r="AF18" i="33" s="1"/>
  <c r="AG18" i="33" s="1"/>
  <c r="AE16" i="33"/>
  <c r="AF16" i="33" s="1"/>
  <c r="AG16" i="33" s="1"/>
  <c r="AE14" i="33"/>
  <c r="AF14" i="33" s="1"/>
  <c r="AG14" i="33" s="1"/>
  <c r="AE12" i="33"/>
  <c r="AF12" i="33" s="1"/>
  <c r="AG12" i="33" s="1"/>
  <c r="AE7" i="33"/>
  <c r="AA64" i="33"/>
  <c r="AA63" i="33"/>
  <c r="AA60" i="33"/>
  <c r="AA59" i="33"/>
  <c r="AA58" i="33"/>
  <c r="AB58" i="33" s="1"/>
  <c r="AA57" i="33"/>
  <c r="AB57" i="33" s="1"/>
  <c r="AA56" i="33"/>
  <c r="AB56" i="33" s="1"/>
  <c r="AA55" i="33"/>
  <c r="AB55" i="33" s="1"/>
  <c r="AA54" i="33"/>
  <c r="AB54" i="33" s="1"/>
  <c r="AA53" i="33"/>
  <c r="AB53" i="33" s="1"/>
  <c r="AA51" i="33"/>
  <c r="AB51" i="33" s="1"/>
  <c r="AA50" i="33"/>
  <c r="AB50" i="33" s="1"/>
  <c r="AA48" i="33"/>
  <c r="AA47" i="33"/>
  <c r="AA45" i="33"/>
  <c r="AA43" i="33"/>
  <c r="AB43" i="33" s="1"/>
  <c r="AA42" i="33"/>
  <c r="AA41" i="33"/>
  <c r="AB41" i="33" s="1"/>
  <c r="AA39" i="33"/>
  <c r="AB39" i="33" s="1"/>
  <c r="AA38" i="33"/>
  <c r="AB38" i="33" s="1"/>
  <c r="AA36" i="33"/>
  <c r="AB36" i="33" s="1"/>
  <c r="AA35" i="33"/>
  <c r="AB35" i="33" s="1"/>
  <c r="AA34" i="33"/>
  <c r="AB34" i="33" s="1"/>
  <c r="AA33" i="33"/>
  <c r="AB33" i="33" s="1"/>
  <c r="AA31" i="33"/>
  <c r="AA30" i="33"/>
  <c r="AA28" i="33"/>
  <c r="AA27" i="33"/>
  <c r="AA25" i="33"/>
  <c r="AB25" i="33" s="1"/>
  <c r="AA24" i="33"/>
  <c r="AA23" i="33"/>
  <c r="AB23" i="33" s="1"/>
  <c r="AA22" i="33"/>
  <c r="AB22" i="33" s="1"/>
  <c r="AA21" i="33"/>
  <c r="AB21" i="33" s="1"/>
  <c r="AA20" i="33"/>
  <c r="AB20" i="33" s="1"/>
  <c r="AA19" i="33"/>
  <c r="AB19" i="33" s="1"/>
  <c r="AA18" i="33"/>
  <c r="AB18" i="33" s="1"/>
  <c r="AA17" i="33"/>
  <c r="AA16" i="33"/>
  <c r="AA15" i="33"/>
  <c r="AA14" i="33"/>
  <c r="AA13" i="33"/>
  <c r="AB13" i="33" s="1"/>
  <c r="AA12" i="33"/>
  <c r="AB12" i="33" s="1"/>
  <c r="AA11" i="33"/>
  <c r="AB11" i="33" s="1"/>
  <c r="AA10" i="33"/>
  <c r="AB10" i="33" s="1"/>
  <c r="AA9" i="33"/>
  <c r="AB9" i="33" s="1"/>
  <c r="AA8" i="33"/>
  <c r="AB8" i="33" s="1"/>
  <c r="AA7" i="33"/>
  <c r="AB7" i="33" s="1"/>
  <c r="AA6" i="33"/>
  <c r="AA5" i="33"/>
  <c r="X64" i="33"/>
  <c r="X63" i="33"/>
  <c r="X60" i="33"/>
  <c r="X59" i="33"/>
  <c r="X58" i="33"/>
  <c r="Y58" i="33" s="1"/>
  <c r="X57" i="33"/>
  <c r="Y57" i="33" s="1"/>
  <c r="X56" i="33"/>
  <c r="Y56" i="33" s="1"/>
  <c r="X55" i="33"/>
  <c r="Y55" i="33" s="1"/>
  <c r="X54" i="33"/>
  <c r="Y54" i="33" s="1"/>
  <c r="X53" i="33"/>
  <c r="Y53" i="33" s="1"/>
  <c r="X51" i="33"/>
  <c r="Y51" i="33" s="1"/>
  <c r="X50" i="33"/>
  <c r="X48" i="33"/>
  <c r="Y48" i="33" s="1"/>
  <c r="X47" i="33"/>
  <c r="X45" i="33"/>
  <c r="X43" i="33"/>
  <c r="Y43" i="33" s="1"/>
  <c r="X42" i="33"/>
  <c r="X41" i="33"/>
  <c r="Y41" i="33" s="1"/>
  <c r="X39" i="33"/>
  <c r="Y39" i="33" s="1"/>
  <c r="X38" i="33"/>
  <c r="Y38" i="33" s="1"/>
  <c r="X36" i="33"/>
  <c r="Y36" i="33" s="1"/>
  <c r="X35" i="33"/>
  <c r="Y35" i="33" s="1"/>
  <c r="X34" i="33"/>
  <c r="Y34" i="33" s="1"/>
  <c r="X33" i="33"/>
  <c r="X31" i="33"/>
  <c r="X30" i="33"/>
  <c r="X28" i="33"/>
  <c r="X27" i="33"/>
  <c r="X25" i="33"/>
  <c r="Y25" i="33" s="1"/>
  <c r="X24" i="33"/>
  <c r="X23" i="33"/>
  <c r="Y23" i="33" s="1"/>
  <c r="X22" i="33"/>
  <c r="Y22" i="33" s="1"/>
  <c r="X21" i="33"/>
  <c r="Y21" i="33" s="1"/>
  <c r="X20" i="33"/>
  <c r="Y20" i="33" s="1"/>
  <c r="X19" i="33"/>
  <c r="Y19" i="33" s="1"/>
  <c r="X18" i="33"/>
  <c r="X17" i="33"/>
  <c r="X16" i="33"/>
  <c r="X15" i="33"/>
  <c r="X14" i="33"/>
  <c r="Y14" i="33" s="1"/>
  <c r="X13" i="33"/>
  <c r="Y13" i="33" s="1"/>
  <c r="X12" i="33"/>
  <c r="Y12" i="33" s="1"/>
  <c r="X11" i="33"/>
  <c r="Y11" i="33" s="1"/>
  <c r="X10" i="33"/>
  <c r="Y10" i="33" s="1"/>
  <c r="X9" i="33"/>
  <c r="Y9" i="33" s="1"/>
  <c r="X8" i="33"/>
  <c r="Y8" i="33" s="1"/>
  <c r="X7" i="33"/>
  <c r="Y7" i="33" s="1"/>
  <c r="X6" i="33"/>
  <c r="X5" i="33"/>
  <c r="U64" i="33"/>
  <c r="U63" i="33"/>
  <c r="V63" i="33" s="1"/>
  <c r="U60" i="33"/>
  <c r="U59" i="33"/>
  <c r="U58" i="33"/>
  <c r="V58" i="33" s="1"/>
  <c r="U57" i="33"/>
  <c r="U56" i="33"/>
  <c r="V56" i="33" s="1"/>
  <c r="U55" i="33"/>
  <c r="V55" i="33" s="1"/>
  <c r="U54" i="33"/>
  <c r="V54" i="33" s="1"/>
  <c r="U53" i="33"/>
  <c r="V53" i="33" s="1"/>
  <c r="U51" i="33"/>
  <c r="U50" i="33"/>
  <c r="U48" i="33"/>
  <c r="V48" i="33" s="1"/>
  <c r="U47" i="33"/>
  <c r="V47" i="33" s="1"/>
  <c r="U45" i="33"/>
  <c r="V45" i="33" s="1"/>
  <c r="U43" i="33"/>
  <c r="V43" i="33" s="1"/>
  <c r="U42" i="33"/>
  <c r="U41" i="33"/>
  <c r="V41" i="33" s="1"/>
  <c r="U39" i="33"/>
  <c r="V39" i="33" s="1"/>
  <c r="U38" i="33"/>
  <c r="V38" i="33" s="1"/>
  <c r="U36" i="33"/>
  <c r="V36" i="33" s="1"/>
  <c r="U35" i="33"/>
  <c r="V35" i="33" s="1"/>
  <c r="U34" i="33"/>
  <c r="U33" i="33"/>
  <c r="U31" i="33"/>
  <c r="U30" i="33"/>
  <c r="U28" i="33"/>
  <c r="U27" i="33"/>
  <c r="V27" i="33" s="1"/>
  <c r="U25" i="33"/>
  <c r="V25" i="33" s="1"/>
  <c r="U24" i="33"/>
  <c r="U23" i="33"/>
  <c r="V23" i="33" s="1"/>
  <c r="U22" i="33"/>
  <c r="V22" i="33" s="1"/>
  <c r="U21" i="33"/>
  <c r="V21" i="33" s="1"/>
  <c r="U20" i="33"/>
  <c r="V20" i="33" s="1"/>
  <c r="U19" i="33"/>
  <c r="U18" i="33"/>
  <c r="V18" i="33" s="1"/>
  <c r="U17" i="33"/>
  <c r="U16" i="33"/>
  <c r="U15" i="33"/>
  <c r="U14" i="33"/>
  <c r="V14" i="33" s="1"/>
  <c r="U13" i="33"/>
  <c r="V13" i="33" s="1"/>
  <c r="U12" i="33"/>
  <c r="V12" i="33" s="1"/>
  <c r="U11" i="33"/>
  <c r="V11" i="33" s="1"/>
  <c r="U10" i="33"/>
  <c r="V10" i="33" s="1"/>
  <c r="U9" i="33"/>
  <c r="V9" i="33" s="1"/>
  <c r="U8" i="33"/>
  <c r="V8" i="33" s="1"/>
  <c r="U7" i="33"/>
  <c r="U6" i="33"/>
  <c r="U5" i="33"/>
  <c r="R64" i="33"/>
  <c r="R63" i="33"/>
  <c r="S63" i="33" s="1"/>
  <c r="R60" i="33"/>
  <c r="R59" i="33"/>
  <c r="R58" i="33"/>
  <c r="S58" i="33" s="1"/>
  <c r="R57" i="33"/>
  <c r="R56" i="33"/>
  <c r="S56" i="33" s="1"/>
  <c r="R55" i="33"/>
  <c r="S55" i="33" s="1"/>
  <c r="R54" i="33"/>
  <c r="R53" i="33"/>
  <c r="R51" i="33"/>
  <c r="S51" i="33" s="1"/>
  <c r="R50" i="33"/>
  <c r="R48" i="33"/>
  <c r="R47" i="33"/>
  <c r="S47" i="33" s="1"/>
  <c r="R45" i="33"/>
  <c r="S45" i="33" s="1"/>
  <c r="R43" i="33"/>
  <c r="S43" i="33" s="1"/>
  <c r="R42" i="33"/>
  <c r="S42" i="33" s="1"/>
  <c r="R41" i="33"/>
  <c r="S41" i="33" s="1"/>
  <c r="R39" i="33"/>
  <c r="S39" i="33" s="1"/>
  <c r="R38" i="33"/>
  <c r="S38" i="33" s="1"/>
  <c r="R36" i="33"/>
  <c r="R35" i="33"/>
  <c r="R34" i="33"/>
  <c r="S34" i="33" s="1"/>
  <c r="R33" i="33"/>
  <c r="R31" i="33"/>
  <c r="R30" i="33"/>
  <c r="S30" i="33" s="1"/>
  <c r="R28" i="33"/>
  <c r="S28" i="33" s="1"/>
  <c r="R27" i="33"/>
  <c r="S27" i="33" s="1"/>
  <c r="R25" i="33"/>
  <c r="S25" i="33" s="1"/>
  <c r="R24" i="33"/>
  <c r="R23" i="33"/>
  <c r="S23" i="33" s="1"/>
  <c r="R22" i="33"/>
  <c r="S22" i="33" s="1"/>
  <c r="R21" i="33"/>
  <c r="S21" i="33" s="1"/>
  <c r="R20" i="33"/>
  <c r="R19" i="33"/>
  <c r="S19" i="33" s="1"/>
  <c r="R18" i="33"/>
  <c r="S18" i="33" s="1"/>
  <c r="R17" i="33"/>
  <c r="R16" i="33"/>
  <c r="S16" i="33" s="1"/>
  <c r="R15" i="33"/>
  <c r="R14" i="33"/>
  <c r="S14" i="33" s="1"/>
  <c r="R13" i="33"/>
  <c r="S13" i="33" s="1"/>
  <c r="R12" i="33"/>
  <c r="S12" i="33" s="1"/>
  <c r="R11" i="33"/>
  <c r="S11" i="33" s="1"/>
  <c r="R10" i="33"/>
  <c r="S10" i="33" s="1"/>
  <c r="R9" i="33"/>
  <c r="R8" i="33"/>
  <c r="R7" i="33"/>
  <c r="R6" i="33"/>
  <c r="R5" i="33"/>
  <c r="O64" i="33"/>
  <c r="P64" i="33" s="1"/>
  <c r="O63" i="33"/>
  <c r="P63" i="33" s="1"/>
  <c r="O60" i="33"/>
  <c r="P60" i="33" s="1"/>
  <c r="O59" i="33"/>
  <c r="O58" i="33"/>
  <c r="P58" i="33" s="1"/>
  <c r="O57" i="33"/>
  <c r="O56" i="33"/>
  <c r="P56" i="33" s="1"/>
  <c r="O55" i="33"/>
  <c r="P55" i="33" s="1"/>
  <c r="O54" i="33"/>
  <c r="O53" i="33"/>
  <c r="P53" i="33" s="1"/>
  <c r="O51" i="33"/>
  <c r="P51" i="33" s="1"/>
  <c r="O50" i="33"/>
  <c r="P50" i="33" s="1"/>
  <c r="O48" i="33"/>
  <c r="P48" i="33" s="1"/>
  <c r="O47" i="33"/>
  <c r="P47" i="33" s="1"/>
  <c r="O45" i="33"/>
  <c r="P45" i="33" s="1"/>
  <c r="O43" i="33"/>
  <c r="P43" i="33" s="1"/>
  <c r="O42" i="33"/>
  <c r="P42" i="33" s="1"/>
  <c r="O41" i="33"/>
  <c r="P41" i="33" s="1"/>
  <c r="O39" i="33"/>
  <c r="P39" i="33" s="1"/>
  <c r="O38" i="33"/>
  <c r="O36" i="33"/>
  <c r="O35" i="33"/>
  <c r="P35" i="33" s="1"/>
  <c r="O34" i="33"/>
  <c r="P34" i="33" s="1"/>
  <c r="O33" i="33"/>
  <c r="O31" i="33"/>
  <c r="O30" i="33"/>
  <c r="P30" i="33" s="1"/>
  <c r="O28" i="33"/>
  <c r="P28" i="33" s="1"/>
  <c r="O27" i="33"/>
  <c r="P27" i="33" s="1"/>
  <c r="O25" i="33"/>
  <c r="P25" i="33" s="1"/>
  <c r="O24" i="33"/>
  <c r="O23" i="33"/>
  <c r="P23" i="33" s="1"/>
  <c r="O22" i="33"/>
  <c r="P22" i="33" s="1"/>
  <c r="O21" i="33"/>
  <c r="O20" i="33"/>
  <c r="O19" i="33"/>
  <c r="P19" i="33" s="1"/>
  <c r="O18" i="33"/>
  <c r="P18" i="33" s="1"/>
  <c r="O17" i="33"/>
  <c r="P17" i="33" s="1"/>
  <c r="O16" i="33"/>
  <c r="P16" i="33" s="1"/>
  <c r="O15" i="33"/>
  <c r="P15" i="33" s="1"/>
  <c r="O14" i="33"/>
  <c r="P14" i="33" s="1"/>
  <c r="O13" i="33"/>
  <c r="P13" i="33" s="1"/>
  <c r="O12" i="33"/>
  <c r="P12" i="33" s="1"/>
  <c r="O11" i="33"/>
  <c r="P11" i="33" s="1"/>
  <c r="O10" i="33"/>
  <c r="P10" i="33" s="1"/>
  <c r="O9" i="33"/>
  <c r="O8" i="33"/>
  <c r="P8" i="33" s="1"/>
  <c r="O7" i="33"/>
  <c r="O6" i="33"/>
  <c r="O5" i="33"/>
  <c r="L64" i="33"/>
  <c r="M64" i="33" s="1"/>
  <c r="L63" i="33"/>
  <c r="M63" i="33" s="1"/>
  <c r="L60" i="33"/>
  <c r="M60" i="33" s="1"/>
  <c r="L59" i="33"/>
  <c r="M59" i="33" s="1"/>
  <c r="L58" i="33"/>
  <c r="M58" i="33" s="1"/>
  <c r="L57" i="33"/>
  <c r="M57" i="33" s="1"/>
  <c r="L56" i="33"/>
  <c r="M56" i="33" s="1"/>
  <c r="L55" i="33"/>
  <c r="L54" i="33"/>
  <c r="L53" i="33"/>
  <c r="M53" i="33" s="1"/>
  <c r="L51" i="33"/>
  <c r="M51" i="33" s="1"/>
  <c r="L50" i="33"/>
  <c r="M50" i="33" s="1"/>
  <c r="L48" i="33"/>
  <c r="M48" i="33" s="1"/>
  <c r="L47" i="33"/>
  <c r="M47" i="33" s="1"/>
  <c r="L45" i="33"/>
  <c r="M45" i="33" s="1"/>
  <c r="L43" i="33"/>
  <c r="M43" i="33" s="1"/>
  <c r="L42" i="33"/>
  <c r="M42" i="33" s="1"/>
  <c r="L41" i="33"/>
  <c r="M41" i="33" s="1"/>
  <c r="L39" i="33"/>
  <c r="M39" i="33" s="1"/>
  <c r="L38" i="33"/>
  <c r="L36" i="33"/>
  <c r="M36" i="33" s="1"/>
  <c r="L35" i="33"/>
  <c r="M35" i="33" s="1"/>
  <c r="L34" i="33"/>
  <c r="M34" i="33" s="1"/>
  <c r="L33" i="33"/>
  <c r="L31" i="33"/>
  <c r="M31" i="33" s="1"/>
  <c r="L30" i="33"/>
  <c r="M30" i="33" s="1"/>
  <c r="L28" i="33"/>
  <c r="M28" i="33" s="1"/>
  <c r="L27" i="33"/>
  <c r="M27" i="33" s="1"/>
  <c r="L25" i="33"/>
  <c r="M25" i="33" s="1"/>
  <c r="L24" i="33"/>
  <c r="M24" i="33" s="1"/>
  <c r="L23" i="33"/>
  <c r="M23" i="33" s="1"/>
  <c r="L22" i="33"/>
  <c r="L21" i="33"/>
  <c r="L20" i="33"/>
  <c r="L19" i="33"/>
  <c r="M19" i="33" s="1"/>
  <c r="L18" i="33"/>
  <c r="M18" i="33" s="1"/>
  <c r="L17" i="33"/>
  <c r="M17" i="33" s="1"/>
  <c r="L16" i="33"/>
  <c r="M16" i="33" s="1"/>
  <c r="L15" i="33"/>
  <c r="M15" i="33" s="1"/>
  <c r="L14" i="33"/>
  <c r="M14" i="33" s="1"/>
  <c r="L13" i="33"/>
  <c r="L12" i="33"/>
  <c r="M12" i="33" s="1"/>
  <c r="L11" i="33"/>
  <c r="M11" i="33" s="1"/>
  <c r="L10" i="33"/>
  <c r="L9" i="33"/>
  <c r="L8" i="33"/>
  <c r="M8" i="33" s="1"/>
  <c r="L7" i="33"/>
  <c r="L6" i="33"/>
  <c r="L5" i="33"/>
  <c r="I64" i="33"/>
  <c r="J64" i="33" s="1"/>
  <c r="I63" i="33"/>
  <c r="J63" i="33" s="1"/>
  <c r="I60" i="33"/>
  <c r="J60" i="33" s="1"/>
  <c r="I59" i="33"/>
  <c r="J59" i="33" s="1"/>
  <c r="I58" i="33"/>
  <c r="J58" i="33" s="1"/>
  <c r="I57" i="33"/>
  <c r="J57" i="33" s="1"/>
  <c r="I56" i="33"/>
  <c r="I55" i="33"/>
  <c r="I54" i="33"/>
  <c r="I51" i="33"/>
  <c r="J51" i="33" s="1"/>
  <c r="I50" i="33"/>
  <c r="J50" i="33" s="1"/>
  <c r="I48" i="33"/>
  <c r="J48" i="33" s="1"/>
  <c r="I47" i="33"/>
  <c r="J47" i="33" s="1"/>
  <c r="I45" i="33"/>
  <c r="J45" i="33" s="1"/>
  <c r="I43" i="33"/>
  <c r="J43" i="33" s="1"/>
  <c r="I42" i="33"/>
  <c r="J42" i="33" s="1"/>
  <c r="I41" i="33"/>
  <c r="J41" i="33" s="1"/>
  <c r="I39" i="33"/>
  <c r="J39" i="33" s="1"/>
  <c r="I38" i="33"/>
  <c r="I36" i="33"/>
  <c r="I35" i="33"/>
  <c r="I34" i="33"/>
  <c r="J34" i="33" s="1"/>
  <c r="I33" i="33"/>
  <c r="J33" i="33" s="1"/>
  <c r="I31" i="33"/>
  <c r="J31" i="33" s="1"/>
  <c r="I30" i="33"/>
  <c r="J30" i="33" s="1"/>
  <c r="I28" i="33"/>
  <c r="J28" i="33" s="1"/>
  <c r="I27" i="33"/>
  <c r="J27" i="33" s="1"/>
  <c r="I25" i="33"/>
  <c r="J25" i="33" s="1"/>
  <c r="I24" i="33"/>
  <c r="J24" i="33" s="1"/>
  <c r="I23" i="33"/>
  <c r="J23" i="33" s="1"/>
  <c r="I22" i="33"/>
  <c r="I21" i="33"/>
  <c r="I20" i="33"/>
  <c r="I19" i="33"/>
  <c r="J19" i="33" s="1"/>
  <c r="I18" i="33"/>
  <c r="I17" i="33"/>
  <c r="J17" i="33" s="1"/>
  <c r="I16" i="33"/>
  <c r="J16" i="33" s="1"/>
  <c r="I15" i="33"/>
  <c r="J15" i="33" s="1"/>
  <c r="I14" i="33"/>
  <c r="J14" i="33" s="1"/>
  <c r="I13" i="33"/>
  <c r="I12" i="33"/>
  <c r="J12" i="33" s="1"/>
  <c r="I11" i="33"/>
  <c r="J11" i="33" s="1"/>
  <c r="I10" i="33"/>
  <c r="I9" i="33"/>
  <c r="I8" i="33"/>
  <c r="I7" i="33"/>
  <c r="I6" i="33"/>
  <c r="I5" i="33"/>
  <c r="F6" i="33"/>
  <c r="G6" i="33" s="1"/>
  <c r="F7" i="33"/>
  <c r="G7" i="33" s="1"/>
  <c r="F8" i="33"/>
  <c r="G8" i="33" s="1"/>
  <c r="F9" i="33"/>
  <c r="G9" i="33" s="1"/>
  <c r="F10" i="33"/>
  <c r="G10" i="33" s="1"/>
  <c r="F11" i="33"/>
  <c r="G11" i="33" s="1"/>
  <c r="F12" i="33"/>
  <c r="F13" i="33"/>
  <c r="F14" i="33"/>
  <c r="F15" i="33"/>
  <c r="F16" i="33"/>
  <c r="G16" i="33" s="1"/>
  <c r="F17" i="33"/>
  <c r="G17" i="33" s="1"/>
  <c r="F18" i="33"/>
  <c r="F19" i="33"/>
  <c r="G19" i="33" s="1"/>
  <c r="F20" i="33"/>
  <c r="F21" i="33"/>
  <c r="G21" i="33" s="1"/>
  <c r="F22" i="33"/>
  <c r="G22" i="33" s="1"/>
  <c r="F23" i="33"/>
  <c r="G23" i="33" s="1"/>
  <c r="F24" i="33"/>
  <c r="F25" i="33"/>
  <c r="F27" i="33"/>
  <c r="F28" i="33"/>
  <c r="F30" i="33"/>
  <c r="G30" i="33" s="1"/>
  <c r="F31" i="33"/>
  <c r="G31" i="33" s="1"/>
  <c r="F33" i="33"/>
  <c r="G33" i="33" s="1"/>
  <c r="F34" i="33"/>
  <c r="G34" i="33" s="1"/>
  <c r="F35" i="33"/>
  <c r="G35" i="33" s="1"/>
  <c r="F36" i="33"/>
  <c r="G36" i="33" s="1"/>
  <c r="F38" i="33"/>
  <c r="G38" i="33" s="1"/>
  <c r="F39" i="33"/>
  <c r="G39" i="33" s="1"/>
  <c r="F41" i="33"/>
  <c r="F42" i="33"/>
  <c r="F43" i="33"/>
  <c r="F45" i="33"/>
  <c r="G45" i="33" s="1"/>
  <c r="F47" i="33"/>
  <c r="G47" i="33" s="1"/>
  <c r="F48" i="33"/>
  <c r="G48" i="33" s="1"/>
  <c r="F50" i="33"/>
  <c r="G50" i="33" s="1"/>
  <c r="F51" i="33"/>
  <c r="G51" i="33" s="1"/>
  <c r="F53" i="33"/>
  <c r="G53" i="33" s="1"/>
  <c r="F54" i="33"/>
  <c r="G54" i="33" s="1"/>
  <c r="F55" i="33"/>
  <c r="G55" i="33" s="1"/>
  <c r="F56" i="33"/>
  <c r="G56" i="33" s="1"/>
  <c r="F57" i="33"/>
  <c r="F58" i="33"/>
  <c r="F59" i="33"/>
  <c r="G59" i="33" s="1"/>
  <c r="F60" i="33"/>
  <c r="G60" i="33" s="1"/>
  <c r="F63" i="33"/>
  <c r="G63" i="33" s="1"/>
  <c r="F64" i="33"/>
  <c r="G64" i="33" s="1"/>
  <c r="F5" i="33"/>
  <c r="AT65" i="33"/>
  <c r="AP65" i="33"/>
  <c r="AL65" i="33"/>
  <c r="AD65" i="33"/>
  <c r="Z65" i="33"/>
  <c r="W65" i="33"/>
  <c r="T65" i="33"/>
  <c r="Q65" i="33"/>
  <c r="N65" i="33"/>
  <c r="K65" i="33"/>
  <c r="E65" i="33"/>
  <c r="AB64" i="33"/>
  <c r="Y64" i="33"/>
  <c r="V64" i="33"/>
  <c r="S64" i="33"/>
  <c r="AB63" i="33"/>
  <c r="Y63" i="33"/>
  <c r="AB60" i="33"/>
  <c r="Y60" i="33"/>
  <c r="V60" i="33"/>
  <c r="S60" i="33"/>
  <c r="AB59" i="33"/>
  <c r="Y59" i="33"/>
  <c r="V59" i="33"/>
  <c r="S59" i="33"/>
  <c r="P59" i="33"/>
  <c r="G58" i="33"/>
  <c r="AV57" i="33"/>
  <c r="AW57" i="33" s="1"/>
  <c r="AR57" i="33"/>
  <c r="AS57" i="33" s="1"/>
  <c r="AN57" i="33"/>
  <c r="AO57" i="33" s="1"/>
  <c r="AJ57" i="33"/>
  <c r="AK57" i="33" s="1"/>
  <c r="AF57" i="33"/>
  <c r="AG57" i="33" s="1"/>
  <c r="V57" i="33"/>
  <c r="S57" i="33"/>
  <c r="P57" i="33"/>
  <c r="G57" i="33"/>
  <c r="AF56" i="33"/>
  <c r="AG56" i="33" s="1"/>
  <c r="J56" i="33"/>
  <c r="M55" i="33"/>
  <c r="J55" i="33"/>
  <c r="AJ54" i="33"/>
  <c r="AK54" i="33" s="1"/>
  <c r="S54" i="33"/>
  <c r="P54" i="33"/>
  <c r="M54" i="33"/>
  <c r="J54" i="33"/>
  <c r="S53" i="33"/>
  <c r="AJ51" i="33"/>
  <c r="AK51" i="33" s="1"/>
  <c r="AF51" i="33"/>
  <c r="AG51" i="33" s="1"/>
  <c r="V51" i="33"/>
  <c r="Y50" i="33"/>
  <c r="V50" i="33"/>
  <c r="S50" i="33"/>
  <c r="AJ49" i="33"/>
  <c r="AK49" i="33" s="1"/>
  <c r="AF49" i="33"/>
  <c r="AG49" i="33" s="1"/>
  <c r="AN48" i="33"/>
  <c r="AO48" i="33" s="1"/>
  <c r="AJ48" i="33"/>
  <c r="AK48" i="33" s="1"/>
  <c r="AB48" i="33"/>
  <c r="AB47" i="33"/>
  <c r="Y47" i="33"/>
  <c r="AN46" i="33"/>
  <c r="AO46" i="33" s="1"/>
  <c r="AJ46" i="33"/>
  <c r="AK46" i="33" s="1"/>
  <c r="AB45" i="33"/>
  <c r="Y45" i="33"/>
  <c r="AV44" i="33"/>
  <c r="AW44" i="33" s="1"/>
  <c r="AR44" i="33"/>
  <c r="AS44" i="33" s="1"/>
  <c r="AN44" i="33"/>
  <c r="AO44" i="33" s="1"/>
  <c r="AV43" i="33"/>
  <c r="AW43" i="33" s="1"/>
  <c r="AR43" i="33"/>
  <c r="AS43" i="33" s="1"/>
  <c r="AN43" i="33"/>
  <c r="AO43" i="33" s="1"/>
  <c r="G43" i="33"/>
  <c r="AB42" i="33"/>
  <c r="Y42" i="33"/>
  <c r="V42" i="33"/>
  <c r="G42" i="33"/>
  <c r="AV41" i="33"/>
  <c r="AW41" i="33" s="1"/>
  <c r="AR41" i="33"/>
  <c r="AS41" i="33" s="1"/>
  <c r="G41" i="33"/>
  <c r="P38" i="33"/>
  <c r="M38" i="33"/>
  <c r="J38" i="33"/>
  <c r="S36" i="33"/>
  <c r="P36" i="33"/>
  <c r="J36" i="33"/>
  <c r="S35" i="33"/>
  <c r="J35" i="33"/>
  <c r="AV34" i="33"/>
  <c r="AW34" i="33" s="1"/>
  <c r="AR34" i="33"/>
  <c r="AS34" i="33" s="1"/>
  <c r="AN34" i="33"/>
  <c r="AO34" i="33" s="1"/>
  <c r="AF34" i="33"/>
  <c r="AG34" i="33" s="1"/>
  <c r="V34" i="33"/>
  <c r="Y33" i="33"/>
  <c r="V33" i="33"/>
  <c r="S33" i="33"/>
  <c r="P33" i="33"/>
  <c r="M33" i="33"/>
  <c r="AV32" i="33"/>
  <c r="AW32" i="33" s="1"/>
  <c r="AR32" i="33"/>
  <c r="AS32" i="33" s="1"/>
  <c r="AN32" i="33"/>
  <c r="AO32" i="33" s="1"/>
  <c r="AJ32" i="33"/>
  <c r="AK32" i="33" s="1"/>
  <c r="AF32" i="33"/>
  <c r="AG32" i="33" s="1"/>
  <c r="AB31" i="33"/>
  <c r="Y31" i="33"/>
  <c r="V31" i="33"/>
  <c r="S31" i="33"/>
  <c r="P31" i="33"/>
  <c r="AF30" i="33"/>
  <c r="AG30" i="33" s="1"/>
  <c r="AB30" i="33"/>
  <c r="Y30" i="33"/>
  <c r="V30" i="33"/>
  <c r="AJ29" i="33"/>
  <c r="AK29" i="33" s="1"/>
  <c r="AF29" i="33"/>
  <c r="AG29" i="33" s="1"/>
  <c r="AB28" i="33"/>
  <c r="Y28" i="33"/>
  <c r="V28" i="33"/>
  <c r="G28" i="33"/>
  <c r="AV27" i="33"/>
  <c r="AW27" i="33" s="1"/>
  <c r="AJ27" i="33"/>
  <c r="AK27" i="33" s="1"/>
  <c r="AF27" i="33"/>
  <c r="AG27" i="33" s="1"/>
  <c r="AB27" i="33"/>
  <c r="Y27" i="33"/>
  <c r="G27" i="33"/>
  <c r="AN25" i="33"/>
  <c r="AO25" i="33" s="1"/>
  <c r="AJ25" i="33"/>
  <c r="AK25" i="33" s="1"/>
  <c r="G25" i="33"/>
  <c r="AB24" i="33"/>
  <c r="Y24" i="33"/>
  <c r="V24" i="33"/>
  <c r="S24" i="33"/>
  <c r="P24" i="33"/>
  <c r="G24" i="33"/>
  <c r="AN23" i="33"/>
  <c r="AO23" i="33" s="1"/>
  <c r="M22" i="33"/>
  <c r="J22" i="33"/>
  <c r="P21" i="33"/>
  <c r="M21" i="33"/>
  <c r="J21" i="33"/>
  <c r="AR20" i="33"/>
  <c r="AS20" i="33" s="1"/>
  <c r="AN20" i="33"/>
  <c r="AO20" i="33" s="1"/>
  <c r="S20" i="33"/>
  <c r="P20" i="33"/>
  <c r="M20" i="33"/>
  <c r="J20" i="33"/>
  <c r="G20" i="33"/>
  <c r="V19" i="33"/>
  <c r="AR18" i="33"/>
  <c r="AS18" i="33" s="1"/>
  <c r="Y18" i="33"/>
  <c r="J18" i="33"/>
  <c r="G18" i="33"/>
  <c r="AB17" i="33"/>
  <c r="Y17" i="33"/>
  <c r="V17" i="33"/>
  <c r="S17" i="33"/>
  <c r="AV16" i="33"/>
  <c r="AW16" i="33" s="1"/>
  <c r="AR16" i="33"/>
  <c r="AS16" i="33" s="1"/>
  <c r="AB16" i="33"/>
  <c r="Y16" i="33"/>
  <c r="V16" i="33"/>
  <c r="AB15" i="33"/>
  <c r="Y15" i="33"/>
  <c r="V15" i="33"/>
  <c r="S15" i="33"/>
  <c r="G15" i="33"/>
  <c r="AV14" i="33"/>
  <c r="AW14" i="33" s="1"/>
  <c r="AB14" i="33"/>
  <c r="G14" i="33"/>
  <c r="M13" i="33"/>
  <c r="J13" i="33"/>
  <c r="G13" i="33"/>
  <c r="AV12" i="33"/>
  <c r="AW12" i="33" s="1"/>
  <c r="G12" i="33"/>
  <c r="M10" i="33"/>
  <c r="J10" i="33"/>
  <c r="S9" i="33"/>
  <c r="P9" i="33"/>
  <c r="M9" i="33"/>
  <c r="J9" i="33"/>
  <c r="S8" i="33"/>
  <c r="J8" i="33"/>
  <c r="V7" i="33"/>
  <c r="S7" i="33"/>
  <c r="P7" i="33"/>
  <c r="M7" i="33"/>
  <c r="J7" i="33"/>
  <c r="AB6" i="33"/>
  <c r="Y6" i="33"/>
  <c r="V6" i="33"/>
  <c r="S6" i="33"/>
  <c r="P6" i="33"/>
  <c r="M6" i="33"/>
  <c r="J6" i="33"/>
  <c r="AU61" i="32"/>
  <c r="AV61" i="32" s="1"/>
  <c r="AW61" i="32" s="1"/>
  <c r="AU59" i="32"/>
  <c r="AV59" i="32" s="1"/>
  <c r="AW59" i="32" s="1"/>
  <c r="AU57" i="32"/>
  <c r="AU56" i="32"/>
  <c r="AU54" i="32"/>
  <c r="AV54" i="32" s="1"/>
  <c r="AW54" i="32" s="1"/>
  <c r="AU51" i="32"/>
  <c r="AU49" i="32"/>
  <c r="AV49" i="32" s="1"/>
  <c r="AW49" i="32" s="1"/>
  <c r="AU48" i="32"/>
  <c r="AV48" i="32" s="1"/>
  <c r="AW48" i="32" s="1"/>
  <c r="AU46" i="32"/>
  <c r="AV46" i="32" s="1"/>
  <c r="AW46" i="32" s="1"/>
  <c r="AU44" i="32"/>
  <c r="AV44" i="32" s="1"/>
  <c r="AW44" i="32" s="1"/>
  <c r="AU43" i="32"/>
  <c r="AV43" i="32" s="1"/>
  <c r="AW43" i="32" s="1"/>
  <c r="AU41" i="32"/>
  <c r="AV41" i="32" s="1"/>
  <c r="AW41" i="32" s="1"/>
  <c r="AU38" i="32"/>
  <c r="AU37" i="32"/>
  <c r="AV37" i="32" s="1"/>
  <c r="AW37" i="32" s="1"/>
  <c r="AU35" i="32"/>
  <c r="AU34" i="32"/>
  <c r="AU32" i="32"/>
  <c r="AU30" i="32"/>
  <c r="AU29" i="32"/>
  <c r="AU27" i="32"/>
  <c r="AV27" i="32" s="1"/>
  <c r="AW27" i="32" s="1"/>
  <c r="AU25" i="32"/>
  <c r="AV25" i="32" s="1"/>
  <c r="AW25" i="32" s="1"/>
  <c r="AU23" i="32"/>
  <c r="AV23" i="32" s="1"/>
  <c r="AW23" i="32" s="1"/>
  <c r="AU20" i="32"/>
  <c r="AV20" i="32" s="1"/>
  <c r="AW20" i="32" s="1"/>
  <c r="AU18" i="32"/>
  <c r="AV18" i="32" s="1"/>
  <c r="AW18" i="32" s="1"/>
  <c r="AU16" i="32"/>
  <c r="AU14" i="32"/>
  <c r="AV14" i="32" s="1"/>
  <c r="AW14" i="32" s="1"/>
  <c r="AU12" i="32"/>
  <c r="AU7" i="32"/>
  <c r="AQ61" i="32"/>
  <c r="AQ59" i="32"/>
  <c r="AQ57" i="32"/>
  <c r="AQ56" i="32"/>
  <c r="AR56" i="32" s="1"/>
  <c r="AS56" i="32" s="1"/>
  <c r="AQ54" i="32"/>
  <c r="AR54" i="32" s="1"/>
  <c r="AS54" i="32" s="1"/>
  <c r="AQ51" i="32"/>
  <c r="AR51" i="32" s="1"/>
  <c r="AS51" i="32" s="1"/>
  <c r="AQ49" i="32"/>
  <c r="AR49" i="32" s="1"/>
  <c r="AS49" i="32" s="1"/>
  <c r="AQ48" i="32"/>
  <c r="AR48" i="32" s="1"/>
  <c r="AS48" i="32" s="1"/>
  <c r="AQ46" i="32"/>
  <c r="AR46" i="32" s="1"/>
  <c r="AS46" i="32" s="1"/>
  <c r="AQ44" i="32"/>
  <c r="AQ43" i="32"/>
  <c r="AQ41" i="32"/>
  <c r="AQ38" i="32"/>
  <c r="AQ37" i="32"/>
  <c r="AQ35" i="32"/>
  <c r="AQ34" i="32"/>
  <c r="AR34" i="32" s="1"/>
  <c r="AS34" i="32" s="1"/>
  <c r="AQ32" i="32"/>
  <c r="AR32" i="32" s="1"/>
  <c r="AS32" i="32" s="1"/>
  <c r="AQ30" i="32"/>
  <c r="AR30" i="32" s="1"/>
  <c r="AS30" i="32" s="1"/>
  <c r="AQ29" i="32"/>
  <c r="AR29" i="32" s="1"/>
  <c r="AS29" i="32" s="1"/>
  <c r="AQ27" i="32"/>
  <c r="AR27" i="32" s="1"/>
  <c r="AS27" i="32" s="1"/>
  <c r="AQ25" i="32"/>
  <c r="AR25" i="32" s="1"/>
  <c r="AS25" i="32" s="1"/>
  <c r="AQ23" i="32"/>
  <c r="AR23" i="32" s="1"/>
  <c r="AS23" i="32" s="1"/>
  <c r="AQ20" i="32"/>
  <c r="AQ18" i="32"/>
  <c r="AQ16" i="32"/>
  <c r="AQ14" i="32"/>
  <c r="AQ12" i="32"/>
  <c r="AR12" i="32" s="1"/>
  <c r="AS12" i="32" s="1"/>
  <c r="AQ7" i="32"/>
  <c r="AM61" i="32"/>
  <c r="AN61" i="32" s="1"/>
  <c r="AO61" i="32" s="1"/>
  <c r="AM59" i="32"/>
  <c r="AN59" i="32" s="1"/>
  <c r="AO59" i="32" s="1"/>
  <c r="AM57" i="32"/>
  <c r="AN57" i="32" s="1"/>
  <c r="AO57" i="32" s="1"/>
  <c r="AM56" i="32"/>
  <c r="AN56" i="32" s="1"/>
  <c r="AO56" i="32" s="1"/>
  <c r="AM54" i="32"/>
  <c r="AN54" i="32" s="1"/>
  <c r="AO54" i="32" s="1"/>
  <c r="AM51" i="32"/>
  <c r="AM49" i="32"/>
  <c r="AN49" i="32" s="1"/>
  <c r="AO49" i="32" s="1"/>
  <c r="AM48" i="32"/>
  <c r="AM46" i="32"/>
  <c r="AM44" i="32"/>
  <c r="AM43" i="32"/>
  <c r="AN43" i="32" s="1"/>
  <c r="AO43" i="32" s="1"/>
  <c r="AM41" i="32"/>
  <c r="AN41" i="32" s="1"/>
  <c r="AO41" i="32" s="1"/>
  <c r="AM38" i="32"/>
  <c r="AN38" i="32" s="1"/>
  <c r="AO38" i="32" s="1"/>
  <c r="AM37" i="32"/>
  <c r="AN37" i="32" s="1"/>
  <c r="AO37" i="32" s="1"/>
  <c r="AM35" i="32"/>
  <c r="AN35" i="32" s="1"/>
  <c r="AO35" i="32" s="1"/>
  <c r="AM34" i="32"/>
  <c r="AN34" i="32" s="1"/>
  <c r="AO34" i="32" s="1"/>
  <c r="AM32" i="32"/>
  <c r="AM30" i="32"/>
  <c r="AN30" i="32" s="1"/>
  <c r="AO30" i="32" s="1"/>
  <c r="AM29" i="32"/>
  <c r="AM27" i="32"/>
  <c r="AM25" i="32"/>
  <c r="AN25" i="32" s="1"/>
  <c r="AO25" i="32" s="1"/>
  <c r="AM23" i="32"/>
  <c r="AN23" i="32" s="1"/>
  <c r="AO23" i="32" s="1"/>
  <c r="AM20" i="32"/>
  <c r="AN20" i="32" s="1"/>
  <c r="AO20" i="32" s="1"/>
  <c r="AM18" i="32"/>
  <c r="AN18" i="32" s="1"/>
  <c r="AO18" i="32" s="1"/>
  <c r="AM16" i="32"/>
  <c r="AN16" i="32" s="1"/>
  <c r="AO16" i="32" s="1"/>
  <c r="AM14" i="32"/>
  <c r="AN14" i="32" s="1"/>
  <c r="AO14" i="32" s="1"/>
  <c r="AM12" i="32"/>
  <c r="AN12" i="32" s="1"/>
  <c r="AO12" i="32" s="1"/>
  <c r="AM7" i="32"/>
  <c r="AI61" i="32"/>
  <c r="AI59" i="32"/>
  <c r="AI57" i="32"/>
  <c r="AI56" i="32"/>
  <c r="AI54" i="32"/>
  <c r="AI51" i="32"/>
  <c r="AJ51" i="32" s="1"/>
  <c r="AK51" i="32" s="1"/>
  <c r="AI49" i="32"/>
  <c r="AJ49" i="32" s="1"/>
  <c r="AK49" i="32" s="1"/>
  <c r="AI48" i="32"/>
  <c r="AJ48" i="32" s="1"/>
  <c r="AK48" i="32" s="1"/>
  <c r="AI46" i="32"/>
  <c r="AJ46" i="32" s="1"/>
  <c r="AK46" i="32" s="1"/>
  <c r="AI44" i="32"/>
  <c r="AJ44" i="32" s="1"/>
  <c r="AK44" i="32" s="1"/>
  <c r="AI43" i="32"/>
  <c r="AJ43" i="32" s="1"/>
  <c r="AK43" i="32" s="1"/>
  <c r="AI41" i="32"/>
  <c r="AJ41" i="32" s="1"/>
  <c r="AK41" i="32" s="1"/>
  <c r="AI38" i="32"/>
  <c r="AJ38" i="32" s="1"/>
  <c r="AK38" i="32" s="1"/>
  <c r="AI37" i="32"/>
  <c r="AI35" i="32"/>
  <c r="AI34" i="32"/>
  <c r="AI32" i="32"/>
  <c r="AI30" i="32"/>
  <c r="AJ30" i="32" s="1"/>
  <c r="AK30" i="32" s="1"/>
  <c r="AI29" i="32"/>
  <c r="AJ29" i="32" s="1"/>
  <c r="AK29" i="32" s="1"/>
  <c r="AI27" i="32"/>
  <c r="AJ27" i="32" s="1"/>
  <c r="AK27" i="32" s="1"/>
  <c r="AI25" i="32"/>
  <c r="AJ25" i="32" s="1"/>
  <c r="AK25" i="32" s="1"/>
  <c r="AI23" i="32"/>
  <c r="AJ23" i="32" s="1"/>
  <c r="AK23" i="32" s="1"/>
  <c r="AI20" i="32"/>
  <c r="AJ20" i="32" s="1"/>
  <c r="AK20" i="32" s="1"/>
  <c r="AI18" i="32"/>
  <c r="AJ18" i="32" s="1"/>
  <c r="AK18" i="32" s="1"/>
  <c r="AI16" i="32"/>
  <c r="AJ16" i="32" s="1"/>
  <c r="AK16" i="32" s="1"/>
  <c r="AI14" i="32"/>
  <c r="AJ14" i="32" s="1"/>
  <c r="AK14" i="32" s="1"/>
  <c r="AI12" i="32"/>
  <c r="AI7" i="32"/>
  <c r="AE61" i="32"/>
  <c r="AE59" i="32"/>
  <c r="AE57" i="32"/>
  <c r="AE56" i="32"/>
  <c r="AF56" i="32" s="1"/>
  <c r="AG56" i="32" s="1"/>
  <c r="AE54" i="32"/>
  <c r="AF54" i="32" s="1"/>
  <c r="AG54" i="32" s="1"/>
  <c r="AE51" i="32"/>
  <c r="AF51" i="32" s="1"/>
  <c r="AG51" i="32" s="1"/>
  <c r="AE49" i="32"/>
  <c r="AF49" i="32" s="1"/>
  <c r="AG49" i="32" s="1"/>
  <c r="AE48" i="32"/>
  <c r="AF48" i="32" s="1"/>
  <c r="AG48" i="32" s="1"/>
  <c r="AE46" i="32"/>
  <c r="AF46" i="32" s="1"/>
  <c r="AG46" i="32" s="1"/>
  <c r="AE44" i="32"/>
  <c r="AE43" i="32"/>
  <c r="AE41" i="32"/>
  <c r="AE38" i="32"/>
  <c r="AF38" i="32" s="1"/>
  <c r="AG38" i="32" s="1"/>
  <c r="AE37" i="32"/>
  <c r="AF37" i="32" s="1"/>
  <c r="AG37" i="32" s="1"/>
  <c r="AE35" i="32"/>
  <c r="AF35" i="32" s="1"/>
  <c r="AG35" i="32" s="1"/>
  <c r="AE34" i="32"/>
  <c r="AF34" i="32" s="1"/>
  <c r="AG34" i="32" s="1"/>
  <c r="AE32" i="32"/>
  <c r="AF32" i="32" s="1"/>
  <c r="AG32" i="32" s="1"/>
  <c r="AE30" i="32"/>
  <c r="AF30" i="32" s="1"/>
  <c r="AG30" i="32" s="1"/>
  <c r="AE29" i="32"/>
  <c r="AF29" i="32" s="1"/>
  <c r="AG29" i="32" s="1"/>
  <c r="AE27" i="32"/>
  <c r="AF27" i="32" s="1"/>
  <c r="AG27" i="32" s="1"/>
  <c r="AE25" i="32"/>
  <c r="AF25" i="32" s="1"/>
  <c r="AG25" i="32" s="1"/>
  <c r="AE23" i="32"/>
  <c r="AF23" i="32" s="1"/>
  <c r="AG23" i="32" s="1"/>
  <c r="AE20" i="32"/>
  <c r="AE18" i="32"/>
  <c r="AE16" i="32"/>
  <c r="AF16" i="32" s="1"/>
  <c r="AG16" i="32" s="1"/>
  <c r="AE14" i="32"/>
  <c r="AE12" i="32"/>
  <c r="AE7" i="32"/>
  <c r="AA64" i="32"/>
  <c r="AB64" i="32" s="1"/>
  <c r="AA63" i="32"/>
  <c r="AB63" i="32" s="1"/>
  <c r="AA60" i="32"/>
  <c r="AB60" i="32" s="1"/>
  <c r="AA59" i="32"/>
  <c r="AB59" i="32" s="1"/>
  <c r="AA58" i="32"/>
  <c r="AB58" i="32" s="1"/>
  <c r="AA57" i="32"/>
  <c r="AA56" i="32"/>
  <c r="AB56" i="32" s="1"/>
  <c r="AA55" i="32"/>
  <c r="AA54" i="32"/>
  <c r="AA53" i="32"/>
  <c r="AB53" i="32" s="1"/>
  <c r="AA51" i="32"/>
  <c r="AB51" i="32" s="1"/>
  <c r="AA50" i="32"/>
  <c r="AA48" i="32"/>
  <c r="AB48" i="32" s="1"/>
  <c r="AA47" i="32"/>
  <c r="AB47" i="32" s="1"/>
  <c r="AA45" i="32"/>
  <c r="AB45" i="32" s="1"/>
  <c r="AA43" i="32"/>
  <c r="AB43" i="32" s="1"/>
  <c r="AA42" i="32"/>
  <c r="AB42" i="32" s="1"/>
  <c r="AA41" i="32"/>
  <c r="AA39" i="32"/>
  <c r="AA38" i="32"/>
  <c r="AA36" i="32"/>
  <c r="AB36" i="32" s="1"/>
  <c r="AA35" i="32"/>
  <c r="AB35" i="32" s="1"/>
  <c r="AA34" i="32"/>
  <c r="AB34" i="32" s="1"/>
  <c r="AA33" i="32"/>
  <c r="AB33" i="32" s="1"/>
  <c r="AA31" i="32"/>
  <c r="AB31" i="32" s="1"/>
  <c r="AA30" i="32"/>
  <c r="AB30" i="32" s="1"/>
  <c r="AA28" i="32"/>
  <c r="AB28" i="32" s="1"/>
  <c r="AA27" i="32"/>
  <c r="AB27" i="32" s="1"/>
  <c r="AA25" i="32"/>
  <c r="AB25" i="32" s="1"/>
  <c r="AA24" i="32"/>
  <c r="AA23" i="32"/>
  <c r="AB23" i="32" s="1"/>
  <c r="AA22" i="32"/>
  <c r="AA21" i="32"/>
  <c r="AA20" i="32"/>
  <c r="AA19" i="32"/>
  <c r="AB19" i="32" s="1"/>
  <c r="AA18" i="32"/>
  <c r="AB18" i="32" s="1"/>
  <c r="AA17" i="32"/>
  <c r="AB17" i="32" s="1"/>
  <c r="AA16" i="32"/>
  <c r="AB16" i="32" s="1"/>
  <c r="AA15" i="32"/>
  <c r="AA14" i="32"/>
  <c r="AA13" i="32"/>
  <c r="AB13" i="32" s="1"/>
  <c r="AA12" i="32"/>
  <c r="AA11" i="32"/>
  <c r="AB11" i="32" s="1"/>
  <c r="AA10" i="32"/>
  <c r="AA9" i="32"/>
  <c r="AA8" i="32"/>
  <c r="AB8" i="32" s="1"/>
  <c r="AA7" i="32"/>
  <c r="AA6" i="32"/>
  <c r="AB6" i="32" s="1"/>
  <c r="AA5" i="32"/>
  <c r="X64" i="32"/>
  <c r="Y64" i="32" s="1"/>
  <c r="X63" i="32"/>
  <c r="Y63" i="32" s="1"/>
  <c r="X60" i="32"/>
  <c r="Y60" i="32" s="1"/>
  <c r="X59" i="32"/>
  <c r="Y59" i="32" s="1"/>
  <c r="X58" i="32"/>
  <c r="Y58" i="32" s="1"/>
  <c r="X57" i="32"/>
  <c r="X56" i="32"/>
  <c r="X55" i="32"/>
  <c r="X54" i="32"/>
  <c r="Y54" i="32" s="1"/>
  <c r="X53" i="32"/>
  <c r="Y53" i="32" s="1"/>
  <c r="X51" i="32"/>
  <c r="Y51" i="32" s="1"/>
  <c r="X50" i="32"/>
  <c r="Y50" i="32" s="1"/>
  <c r="X48" i="32"/>
  <c r="Y48" i="32" s="1"/>
  <c r="X47" i="32"/>
  <c r="Y47" i="32" s="1"/>
  <c r="X45" i="32"/>
  <c r="Y45" i="32" s="1"/>
  <c r="X43" i="32"/>
  <c r="Y43" i="32" s="1"/>
  <c r="X42" i="32"/>
  <c r="Y42" i="32" s="1"/>
  <c r="X41" i="32"/>
  <c r="X39" i="32"/>
  <c r="X38" i="32"/>
  <c r="Y38" i="32" s="1"/>
  <c r="X36" i="32"/>
  <c r="Y36" i="32" s="1"/>
  <c r="X35" i="32"/>
  <c r="Y35" i="32" s="1"/>
  <c r="X34" i="32"/>
  <c r="Y34" i="32" s="1"/>
  <c r="X33" i="32"/>
  <c r="Y33" i="32" s="1"/>
  <c r="X31" i="32"/>
  <c r="Y31" i="32" s="1"/>
  <c r="X30" i="32"/>
  <c r="Y30" i="32" s="1"/>
  <c r="X28" i="32"/>
  <c r="Y28" i="32" s="1"/>
  <c r="X27" i="32"/>
  <c r="Y27" i="32" s="1"/>
  <c r="X25" i="32"/>
  <c r="X24" i="32"/>
  <c r="X23" i="32"/>
  <c r="X22" i="32"/>
  <c r="X21" i="32"/>
  <c r="Y21" i="32" s="1"/>
  <c r="X20" i="32"/>
  <c r="X19" i="32"/>
  <c r="Y19" i="32" s="1"/>
  <c r="X18" i="32"/>
  <c r="Y18" i="32" s="1"/>
  <c r="X17" i="32"/>
  <c r="Y17" i="32" s="1"/>
  <c r="X16" i="32"/>
  <c r="Y16" i="32" s="1"/>
  <c r="X15" i="32"/>
  <c r="X14" i="32"/>
  <c r="X13" i="32"/>
  <c r="Y13" i="32" s="1"/>
  <c r="X12" i="32"/>
  <c r="X11" i="32"/>
  <c r="X10" i="32"/>
  <c r="Y10" i="32" s="1"/>
  <c r="X9" i="32"/>
  <c r="X8" i="32"/>
  <c r="Y8" i="32" s="1"/>
  <c r="X7" i="32"/>
  <c r="Y7" i="32" s="1"/>
  <c r="X6" i="32"/>
  <c r="Y6" i="32" s="1"/>
  <c r="X5" i="32"/>
  <c r="U64" i="32"/>
  <c r="V64" i="32" s="1"/>
  <c r="U63" i="32"/>
  <c r="V63" i="32" s="1"/>
  <c r="U60" i="32"/>
  <c r="V60" i="32" s="1"/>
  <c r="U59" i="32"/>
  <c r="U58" i="32"/>
  <c r="V58" i="32" s="1"/>
  <c r="U57" i="32"/>
  <c r="U56" i="32"/>
  <c r="V56" i="32" s="1"/>
  <c r="U55" i="32"/>
  <c r="U54" i="32"/>
  <c r="V54" i="32" s="1"/>
  <c r="U53" i="32"/>
  <c r="V53" i="32" s="1"/>
  <c r="U51" i="32"/>
  <c r="V51" i="32" s="1"/>
  <c r="U50" i="32"/>
  <c r="V50" i="32" s="1"/>
  <c r="U48" i="32"/>
  <c r="V48" i="32" s="1"/>
  <c r="U47" i="32"/>
  <c r="V47" i="32" s="1"/>
  <c r="U45" i="32"/>
  <c r="V45" i="32" s="1"/>
  <c r="U43" i="32"/>
  <c r="U42" i="32"/>
  <c r="V42" i="32" s="1"/>
  <c r="U41" i="32"/>
  <c r="U39" i="32"/>
  <c r="V39" i="32" s="1"/>
  <c r="U38" i="32"/>
  <c r="V38" i="32" s="1"/>
  <c r="U36" i="32"/>
  <c r="V36" i="32" s="1"/>
  <c r="U35" i="32"/>
  <c r="V35" i="32" s="1"/>
  <c r="U34" i="32"/>
  <c r="V34" i="32" s="1"/>
  <c r="U33" i="32"/>
  <c r="V33" i="32" s="1"/>
  <c r="U31" i="32"/>
  <c r="V31" i="32" s="1"/>
  <c r="U30" i="32"/>
  <c r="V30" i="32" s="1"/>
  <c r="U28" i="32"/>
  <c r="V28" i="32" s="1"/>
  <c r="U27" i="32"/>
  <c r="U25" i="32"/>
  <c r="V25" i="32" s="1"/>
  <c r="U24" i="32"/>
  <c r="U23" i="32"/>
  <c r="U22" i="32"/>
  <c r="V22" i="32" s="1"/>
  <c r="U21" i="32"/>
  <c r="V21" i="32" s="1"/>
  <c r="U20" i="32"/>
  <c r="U19" i="32"/>
  <c r="V19" i="32" s="1"/>
  <c r="U18" i="32"/>
  <c r="V18" i="32" s="1"/>
  <c r="U17" i="32"/>
  <c r="V17" i="32" s="1"/>
  <c r="U16" i="32"/>
  <c r="V16" i="32" s="1"/>
  <c r="U15" i="32"/>
  <c r="U14" i="32"/>
  <c r="U13" i="32"/>
  <c r="V13" i="32" s="1"/>
  <c r="U12" i="32"/>
  <c r="U11" i="32"/>
  <c r="U10" i="32"/>
  <c r="V10" i="32" s="1"/>
  <c r="U9" i="32"/>
  <c r="U8" i="32"/>
  <c r="V8" i="32" s="1"/>
  <c r="U7" i="32"/>
  <c r="V7" i="32" s="1"/>
  <c r="U6" i="32"/>
  <c r="V6" i="32" s="1"/>
  <c r="U5" i="32"/>
  <c r="R64" i="32"/>
  <c r="S64" i="32" s="1"/>
  <c r="R63" i="32"/>
  <c r="S63" i="32" s="1"/>
  <c r="R60" i="32"/>
  <c r="R59" i="32"/>
  <c r="R58" i="32"/>
  <c r="R57" i="32"/>
  <c r="S57" i="32" s="1"/>
  <c r="R56" i="32"/>
  <c r="S56" i="32" s="1"/>
  <c r="R55" i="32"/>
  <c r="R54" i="32"/>
  <c r="S54" i="32" s="1"/>
  <c r="R53" i="32"/>
  <c r="S53" i="32" s="1"/>
  <c r="R51" i="32"/>
  <c r="S51" i="32" s="1"/>
  <c r="R50" i="32"/>
  <c r="S50" i="32" s="1"/>
  <c r="R48" i="32"/>
  <c r="R47" i="32"/>
  <c r="S47" i="32" s="1"/>
  <c r="R45" i="32"/>
  <c r="S45" i="32" s="1"/>
  <c r="R43" i="32"/>
  <c r="S43" i="32" s="1"/>
  <c r="R42" i="32"/>
  <c r="R41" i="32"/>
  <c r="R39" i="32"/>
  <c r="S39" i="32" s="1"/>
  <c r="R38" i="32"/>
  <c r="S38" i="32" s="1"/>
  <c r="R36" i="32"/>
  <c r="S36" i="32" s="1"/>
  <c r="R35" i="32"/>
  <c r="S35" i="32" s="1"/>
  <c r="R34" i="32"/>
  <c r="S34" i="32" s="1"/>
  <c r="R33" i="32"/>
  <c r="S33" i="32" s="1"/>
  <c r="R31" i="32"/>
  <c r="S31" i="32" s="1"/>
  <c r="R30" i="32"/>
  <c r="S30" i="32" s="1"/>
  <c r="R28" i="32"/>
  <c r="R27" i="32"/>
  <c r="R25" i="32"/>
  <c r="R24" i="32"/>
  <c r="R23" i="32"/>
  <c r="R22" i="32"/>
  <c r="S22" i="32" s="1"/>
  <c r="R21" i="32"/>
  <c r="S21" i="32" s="1"/>
  <c r="R20" i="32"/>
  <c r="S20" i="32" s="1"/>
  <c r="R19" i="32"/>
  <c r="S19" i="32" s="1"/>
  <c r="R18" i="32"/>
  <c r="S18" i="32" s="1"/>
  <c r="R17" i="32"/>
  <c r="S17" i="32" s="1"/>
  <c r="R16" i="32"/>
  <c r="S16" i="32" s="1"/>
  <c r="R15" i="32"/>
  <c r="R14" i="32"/>
  <c r="R13" i="32"/>
  <c r="R12" i="32"/>
  <c r="R11" i="32"/>
  <c r="R10" i="32"/>
  <c r="S10" i="32" s="1"/>
  <c r="R9" i="32"/>
  <c r="S9" i="32" s="1"/>
  <c r="R8" i="32"/>
  <c r="S8" i="32" s="1"/>
  <c r="R7" i="32"/>
  <c r="S7" i="32" s="1"/>
  <c r="R6" i="32"/>
  <c r="S6" i="32" s="1"/>
  <c r="R5" i="32"/>
  <c r="O64" i="32"/>
  <c r="P64" i="32" s="1"/>
  <c r="O63" i="32"/>
  <c r="P63" i="32" s="1"/>
  <c r="O60" i="32"/>
  <c r="O59" i="32"/>
  <c r="O58" i="32"/>
  <c r="P58" i="32" s="1"/>
  <c r="O57" i="32"/>
  <c r="P57" i="32" s="1"/>
  <c r="O56" i="32"/>
  <c r="P56" i="32" s="1"/>
  <c r="O55" i="32"/>
  <c r="P55" i="32" s="1"/>
  <c r="O54" i="32"/>
  <c r="P54" i="32" s="1"/>
  <c r="O53" i="32"/>
  <c r="P53" i="32" s="1"/>
  <c r="O51" i="32"/>
  <c r="P51" i="32" s="1"/>
  <c r="O50" i="32"/>
  <c r="P50" i="32" s="1"/>
  <c r="O48" i="32"/>
  <c r="P48" i="32" s="1"/>
  <c r="O47" i="32"/>
  <c r="O45" i="32"/>
  <c r="P45" i="32" s="1"/>
  <c r="O43" i="32"/>
  <c r="O42" i="32"/>
  <c r="O41" i="32"/>
  <c r="O39" i="32"/>
  <c r="P39" i="32" s="1"/>
  <c r="O38" i="32"/>
  <c r="P38" i="32" s="1"/>
  <c r="O36" i="32"/>
  <c r="P36" i="32" s="1"/>
  <c r="O35" i="32"/>
  <c r="P35" i="32" s="1"/>
  <c r="O34" i="32"/>
  <c r="P34" i="32" s="1"/>
  <c r="O33" i="32"/>
  <c r="P33" i="32" s="1"/>
  <c r="O31" i="32"/>
  <c r="P31" i="32" s="1"/>
  <c r="O30" i="32"/>
  <c r="O28" i="32"/>
  <c r="P28" i="32" s="1"/>
  <c r="O27" i="32"/>
  <c r="O25" i="32"/>
  <c r="O24" i="32"/>
  <c r="O23" i="32"/>
  <c r="O22" i="32"/>
  <c r="P22" i="32" s="1"/>
  <c r="O21" i="32"/>
  <c r="P21" i="32" s="1"/>
  <c r="O20" i="32"/>
  <c r="P20" i="32" s="1"/>
  <c r="O19" i="32"/>
  <c r="P19" i="32" s="1"/>
  <c r="O18" i="32"/>
  <c r="P18" i="32" s="1"/>
  <c r="O17" i="32"/>
  <c r="P17" i="32" s="1"/>
  <c r="O16" i="32"/>
  <c r="P16" i="32" s="1"/>
  <c r="O15" i="32"/>
  <c r="O14" i="32"/>
  <c r="O13" i="32"/>
  <c r="O12" i="32"/>
  <c r="P12" i="32" s="1"/>
  <c r="O11" i="32"/>
  <c r="O10" i="32"/>
  <c r="P10" i="32" s="1"/>
  <c r="O9" i="32"/>
  <c r="P9" i="32" s="1"/>
  <c r="O8" i="32"/>
  <c r="P8" i="32" s="1"/>
  <c r="O7" i="32"/>
  <c r="P7" i="32" s="1"/>
  <c r="O6" i="32"/>
  <c r="P6" i="32" s="1"/>
  <c r="O5" i="32"/>
  <c r="L64" i="32"/>
  <c r="L63" i="32"/>
  <c r="M63" i="32" s="1"/>
  <c r="L60" i="32"/>
  <c r="L59" i="32"/>
  <c r="L58" i="32"/>
  <c r="M58" i="32" s="1"/>
  <c r="L57" i="32"/>
  <c r="M57" i="32" s="1"/>
  <c r="L56" i="32"/>
  <c r="M56" i="32" s="1"/>
  <c r="L55" i="32"/>
  <c r="M55" i="32" s="1"/>
  <c r="L54" i="32"/>
  <c r="M54" i="32" s="1"/>
  <c r="L53" i="32"/>
  <c r="M53" i="32" s="1"/>
  <c r="L51" i="32"/>
  <c r="M51" i="32" s="1"/>
  <c r="L50" i="32"/>
  <c r="M50" i="32" s="1"/>
  <c r="L48" i="32"/>
  <c r="L47" i="32"/>
  <c r="L45" i="32"/>
  <c r="L43" i="32"/>
  <c r="M43" i="32" s="1"/>
  <c r="L42" i="32"/>
  <c r="L41" i="32"/>
  <c r="L39" i="32"/>
  <c r="M39" i="32" s="1"/>
  <c r="L38" i="32"/>
  <c r="M38" i="32" s="1"/>
  <c r="L36" i="32"/>
  <c r="M36" i="32" s="1"/>
  <c r="L35" i="32"/>
  <c r="M35" i="32" s="1"/>
  <c r="L34" i="32"/>
  <c r="M34" i="32" s="1"/>
  <c r="L33" i="32"/>
  <c r="M33" i="32" s="1"/>
  <c r="L31" i="32"/>
  <c r="L30" i="32"/>
  <c r="L28" i="32"/>
  <c r="L27" i="32"/>
  <c r="L25" i="32"/>
  <c r="L24" i="32"/>
  <c r="L23" i="32"/>
  <c r="L22" i="32"/>
  <c r="M22" i="32" s="1"/>
  <c r="L21" i="32"/>
  <c r="M21" i="32" s="1"/>
  <c r="L20" i="32"/>
  <c r="M20" i="32" s="1"/>
  <c r="L19" i="32"/>
  <c r="M19" i="32" s="1"/>
  <c r="L18" i="32"/>
  <c r="M18" i="32" s="1"/>
  <c r="L17" i="32"/>
  <c r="L16" i="32"/>
  <c r="M16" i="32" s="1"/>
  <c r="L15" i="32"/>
  <c r="L14" i="32"/>
  <c r="L13" i="32"/>
  <c r="L12" i="32"/>
  <c r="M12" i="32" s="1"/>
  <c r="L11" i="32"/>
  <c r="M11" i="32" s="1"/>
  <c r="L10" i="32"/>
  <c r="M10" i="32" s="1"/>
  <c r="L9" i="32"/>
  <c r="M9" i="32" s="1"/>
  <c r="L8" i="32"/>
  <c r="L7" i="32"/>
  <c r="M7" i="32" s="1"/>
  <c r="L6" i="32"/>
  <c r="M6" i="32" s="1"/>
  <c r="L5" i="32"/>
  <c r="I64" i="32"/>
  <c r="J64" i="32" s="1"/>
  <c r="I63" i="32"/>
  <c r="I60" i="32"/>
  <c r="I59" i="32"/>
  <c r="J59" i="32" s="1"/>
  <c r="I58" i="32"/>
  <c r="J58" i="32" s="1"/>
  <c r="I57" i="32"/>
  <c r="J57" i="32" s="1"/>
  <c r="I56" i="32"/>
  <c r="J56" i="32" s="1"/>
  <c r="I55" i="32"/>
  <c r="J55" i="32" s="1"/>
  <c r="I54" i="32"/>
  <c r="J54" i="32" s="1"/>
  <c r="I53" i="32"/>
  <c r="I51" i="32"/>
  <c r="J51" i="32" s="1"/>
  <c r="I50" i="32"/>
  <c r="I48" i="32"/>
  <c r="I47" i="32"/>
  <c r="I45" i="32"/>
  <c r="I43" i="32"/>
  <c r="J43" i="32" s="1"/>
  <c r="I42" i="32"/>
  <c r="I41" i="32"/>
  <c r="I39" i="32"/>
  <c r="I38" i="32"/>
  <c r="J38" i="32" s="1"/>
  <c r="I36" i="32"/>
  <c r="J36" i="32" s="1"/>
  <c r="I35" i="32"/>
  <c r="J35" i="32" s="1"/>
  <c r="I34" i="32"/>
  <c r="J34" i="32" s="1"/>
  <c r="I33" i="32"/>
  <c r="I31" i="32"/>
  <c r="J31" i="32" s="1"/>
  <c r="I30" i="32"/>
  <c r="I28" i="32"/>
  <c r="I27" i="32"/>
  <c r="I25" i="32"/>
  <c r="I24" i="32"/>
  <c r="J24" i="32" s="1"/>
  <c r="I23" i="32"/>
  <c r="J23" i="32" s="1"/>
  <c r="I22" i="32"/>
  <c r="J22" i="32" s="1"/>
  <c r="I21" i="32"/>
  <c r="J21" i="32" s="1"/>
  <c r="I20" i="32"/>
  <c r="J20" i="32" s="1"/>
  <c r="I19" i="32"/>
  <c r="J19" i="32" s="1"/>
  <c r="I18" i="32"/>
  <c r="I17" i="32"/>
  <c r="I16" i="32"/>
  <c r="I15" i="32"/>
  <c r="I14" i="32"/>
  <c r="I13" i="32"/>
  <c r="J13" i="32" s="1"/>
  <c r="I12" i="32"/>
  <c r="J12" i="32" s="1"/>
  <c r="I11" i="32"/>
  <c r="J11" i="32" s="1"/>
  <c r="I10" i="32"/>
  <c r="J10" i="32" s="1"/>
  <c r="I9" i="32"/>
  <c r="J9" i="32" s="1"/>
  <c r="I8" i="32"/>
  <c r="I7" i="32"/>
  <c r="J7" i="32" s="1"/>
  <c r="I6" i="32"/>
  <c r="I5" i="32"/>
  <c r="F64" i="32"/>
  <c r="F6" i="32"/>
  <c r="G6" i="32" s="1"/>
  <c r="F7" i="32"/>
  <c r="F8" i="32"/>
  <c r="F9" i="32"/>
  <c r="G9" i="32" s="1"/>
  <c r="F10" i="32"/>
  <c r="G10" i="32" s="1"/>
  <c r="F11" i="32"/>
  <c r="G11" i="32" s="1"/>
  <c r="F12" i="32"/>
  <c r="G12" i="32" s="1"/>
  <c r="F13" i="32"/>
  <c r="G13" i="32" s="1"/>
  <c r="F14" i="32"/>
  <c r="G14" i="32" s="1"/>
  <c r="F15" i="32"/>
  <c r="G15" i="32" s="1"/>
  <c r="F16" i="32"/>
  <c r="F17" i="32"/>
  <c r="F18" i="32"/>
  <c r="F19" i="32"/>
  <c r="F20" i="32"/>
  <c r="G20" i="32" s="1"/>
  <c r="F21" i="32"/>
  <c r="G21" i="32" s="1"/>
  <c r="F22" i="32"/>
  <c r="G22" i="32" s="1"/>
  <c r="F23" i="32"/>
  <c r="G23" i="32" s="1"/>
  <c r="F24" i="32"/>
  <c r="G24" i="32" s="1"/>
  <c r="F25" i="32"/>
  <c r="G25" i="32" s="1"/>
  <c r="F27" i="32"/>
  <c r="G27" i="32" s="1"/>
  <c r="F28" i="32"/>
  <c r="G28" i="32" s="1"/>
  <c r="F30" i="32"/>
  <c r="F31" i="32"/>
  <c r="F33" i="32"/>
  <c r="F34" i="32"/>
  <c r="F35" i="32"/>
  <c r="G35" i="32" s="1"/>
  <c r="F36" i="32"/>
  <c r="F38" i="32"/>
  <c r="G38" i="32" s="1"/>
  <c r="F39" i="32"/>
  <c r="G39" i="32" s="1"/>
  <c r="F41" i="32"/>
  <c r="G41" i="32" s="1"/>
  <c r="F42" i="32"/>
  <c r="G42" i="32" s="1"/>
  <c r="F43" i="32"/>
  <c r="G43" i="32" s="1"/>
  <c r="F45" i="32"/>
  <c r="F47" i="32"/>
  <c r="F48" i="32"/>
  <c r="F50" i="32"/>
  <c r="F51" i="32"/>
  <c r="F53" i="32"/>
  <c r="F54" i="32"/>
  <c r="G54" i="32" s="1"/>
  <c r="F55" i="32"/>
  <c r="G55" i="32" s="1"/>
  <c r="F56" i="32"/>
  <c r="G56" i="32" s="1"/>
  <c r="F57" i="32"/>
  <c r="G57" i="32" s="1"/>
  <c r="F58" i="32"/>
  <c r="G58" i="32" s="1"/>
  <c r="F59" i="32"/>
  <c r="G59" i="32" s="1"/>
  <c r="F60" i="32"/>
  <c r="G60" i="32" s="1"/>
  <c r="F63" i="32"/>
  <c r="AT65" i="32"/>
  <c r="AP65" i="32"/>
  <c r="AL65" i="32"/>
  <c r="AD65" i="32"/>
  <c r="Z65" i="32"/>
  <c r="W65" i="32"/>
  <c r="T65" i="32"/>
  <c r="Q65" i="32"/>
  <c r="N65" i="32"/>
  <c r="K65" i="32"/>
  <c r="E65" i="32"/>
  <c r="M64" i="32"/>
  <c r="G64" i="32"/>
  <c r="J63" i="32"/>
  <c r="G63" i="32"/>
  <c r="AR61" i="32"/>
  <c r="AS61" i="32" s="1"/>
  <c r="AJ61" i="32"/>
  <c r="AK61" i="32" s="1"/>
  <c r="AF61" i="32"/>
  <c r="AG61" i="32" s="1"/>
  <c r="S60" i="32"/>
  <c r="P60" i="32"/>
  <c r="M60" i="32"/>
  <c r="J60" i="32"/>
  <c r="AR59" i="32"/>
  <c r="AS59" i="32" s="1"/>
  <c r="AJ59" i="32"/>
  <c r="AK59" i="32" s="1"/>
  <c r="AF59" i="32"/>
  <c r="AG59" i="32" s="1"/>
  <c r="V59" i="32"/>
  <c r="S59" i="32"/>
  <c r="P59" i="32"/>
  <c r="M59" i="32"/>
  <c r="S58" i="32"/>
  <c r="AV57" i="32"/>
  <c r="AW57" i="32" s="1"/>
  <c r="AR57" i="32"/>
  <c r="AS57" i="32" s="1"/>
  <c r="AJ57" i="32"/>
  <c r="AK57" i="32" s="1"/>
  <c r="AF57" i="32"/>
  <c r="AG57" i="32" s="1"/>
  <c r="AB57" i="32"/>
  <c r="Y57" i="32"/>
  <c r="V57" i="32"/>
  <c r="AV56" i="32"/>
  <c r="AW56" i="32" s="1"/>
  <c r="AJ56" i="32"/>
  <c r="AK56" i="32" s="1"/>
  <c r="Y56" i="32"/>
  <c r="AB55" i="32"/>
  <c r="Y55" i="32"/>
  <c r="V55" i="32"/>
  <c r="S55" i="32"/>
  <c r="AJ54" i="32"/>
  <c r="AK54" i="32" s="1"/>
  <c r="AB54" i="32"/>
  <c r="G53" i="32"/>
  <c r="AV51" i="32"/>
  <c r="AW51" i="32" s="1"/>
  <c r="AN51" i="32"/>
  <c r="AO51" i="32" s="1"/>
  <c r="G51" i="32"/>
  <c r="AB50" i="32"/>
  <c r="J50" i="32"/>
  <c r="G50" i="32"/>
  <c r="AN48" i="32"/>
  <c r="AO48" i="32" s="1"/>
  <c r="M48" i="32"/>
  <c r="J48" i="32"/>
  <c r="G48" i="32"/>
  <c r="P47" i="32"/>
  <c r="M47" i="32"/>
  <c r="J47" i="32"/>
  <c r="G47" i="32"/>
  <c r="AN46" i="32"/>
  <c r="AO46" i="32" s="1"/>
  <c r="M45" i="32"/>
  <c r="J45" i="32"/>
  <c r="G45" i="32"/>
  <c r="AR44" i="32"/>
  <c r="AS44" i="32" s="1"/>
  <c r="AN44" i="32"/>
  <c r="AO44" i="32" s="1"/>
  <c r="AF44" i="32"/>
  <c r="AG44" i="32" s="1"/>
  <c r="AR43" i="32"/>
  <c r="AS43" i="32" s="1"/>
  <c r="AF43" i="32"/>
  <c r="AG43" i="32" s="1"/>
  <c r="V43" i="32"/>
  <c r="P43" i="32"/>
  <c r="S42" i="32"/>
  <c r="P42" i="32"/>
  <c r="M42" i="32"/>
  <c r="J42" i="32"/>
  <c r="AR41" i="32"/>
  <c r="AS41" i="32" s="1"/>
  <c r="AF41" i="32"/>
  <c r="AG41" i="32" s="1"/>
  <c r="AB41" i="32"/>
  <c r="Y41" i="32"/>
  <c r="V41" i="32"/>
  <c r="S41" i="32"/>
  <c r="P41" i="32"/>
  <c r="M41" i="32"/>
  <c r="J41" i="32"/>
  <c r="AB39" i="32"/>
  <c r="Y39" i="32"/>
  <c r="J39" i="32"/>
  <c r="AV38" i="32"/>
  <c r="AW38" i="32" s="1"/>
  <c r="AR38" i="32"/>
  <c r="AS38" i="32" s="1"/>
  <c r="AB38" i="32"/>
  <c r="AR37" i="32"/>
  <c r="AS37" i="32" s="1"/>
  <c r="AJ37" i="32"/>
  <c r="AK37" i="32" s="1"/>
  <c r="G36" i="32"/>
  <c r="AV35" i="32"/>
  <c r="AW35" i="32" s="1"/>
  <c r="AR35" i="32"/>
  <c r="AS35" i="32" s="1"/>
  <c r="AJ35" i="32"/>
  <c r="AK35" i="32" s="1"/>
  <c r="AV34" i="32"/>
  <c r="AW34" i="32" s="1"/>
  <c r="AJ34" i="32"/>
  <c r="AK34" i="32" s="1"/>
  <c r="G34" i="32"/>
  <c r="J33" i="32"/>
  <c r="G33" i="32"/>
  <c r="AV32" i="32"/>
  <c r="AW32" i="32" s="1"/>
  <c r="AN32" i="32"/>
  <c r="AO32" i="32" s="1"/>
  <c r="AJ32" i="32"/>
  <c r="AK32" i="32" s="1"/>
  <c r="M31" i="32"/>
  <c r="G31" i="32"/>
  <c r="AV30" i="32"/>
  <c r="AW30" i="32" s="1"/>
  <c r="P30" i="32"/>
  <c r="M30" i="32"/>
  <c r="J30" i="32"/>
  <c r="G30" i="32"/>
  <c r="AV29" i="32"/>
  <c r="AW29" i="32" s="1"/>
  <c r="AN29" i="32"/>
  <c r="AO29" i="32" s="1"/>
  <c r="S28" i="32"/>
  <c r="M28" i="32"/>
  <c r="J28" i="32"/>
  <c r="AN27" i="32"/>
  <c r="AO27" i="32" s="1"/>
  <c r="V27" i="32"/>
  <c r="S27" i="32"/>
  <c r="P27" i="32"/>
  <c r="M27" i="32"/>
  <c r="J27" i="32"/>
  <c r="Y25" i="32"/>
  <c r="S25" i="32"/>
  <c r="P25" i="32"/>
  <c r="M25" i="32"/>
  <c r="J25" i="32"/>
  <c r="AB24" i="32"/>
  <c r="Y24" i="32"/>
  <c r="V24" i="32"/>
  <c r="S24" i="32"/>
  <c r="P24" i="32"/>
  <c r="M24" i="32"/>
  <c r="Y23" i="32"/>
  <c r="V23" i="32"/>
  <c r="S23" i="32"/>
  <c r="P23" i="32"/>
  <c r="M23" i="32"/>
  <c r="AB22" i="32"/>
  <c r="Y22" i="32"/>
  <c r="AB21" i="32"/>
  <c r="AR20" i="32"/>
  <c r="AS20" i="32" s="1"/>
  <c r="AF20" i="32"/>
  <c r="AG20" i="32" s="1"/>
  <c r="AB20" i="32"/>
  <c r="Y20" i="32"/>
  <c r="V20" i="32"/>
  <c r="G19" i="32"/>
  <c r="AR18" i="32"/>
  <c r="AS18" i="32" s="1"/>
  <c r="AF18" i="32"/>
  <c r="AG18" i="32" s="1"/>
  <c r="J18" i="32"/>
  <c r="G18" i="32"/>
  <c r="M17" i="32"/>
  <c r="J17" i="32"/>
  <c r="G17" i="32"/>
  <c r="AV16" i="32"/>
  <c r="AW16" i="32" s="1"/>
  <c r="AR16" i="32"/>
  <c r="AS16" i="32" s="1"/>
  <c r="J16" i="32"/>
  <c r="G16" i="32"/>
  <c r="AB15" i="32"/>
  <c r="Y15" i="32"/>
  <c r="V15" i="32"/>
  <c r="S15" i="32"/>
  <c r="P15" i="32"/>
  <c r="M15" i="32"/>
  <c r="J15" i="32"/>
  <c r="AR14" i="32"/>
  <c r="AS14" i="32" s="1"/>
  <c r="AF14" i="32"/>
  <c r="AG14" i="32" s="1"/>
  <c r="AB14" i="32"/>
  <c r="Y14" i="32"/>
  <c r="V14" i="32"/>
  <c r="S14" i="32"/>
  <c r="P14" i="32"/>
  <c r="M14" i="32"/>
  <c r="J14" i="32"/>
  <c r="S13" i="32"/>
  <c r="P13" i="32"/>
  <c r="M13" i="32"/>
  <c r="AV12" i="32"/>
  <c r="AW12" i="32" s="1"/>
  <c r="AJ12" i="32"/>
  <c r="AK12" i="32" s="1"/>
  <c r="AF12" i="32"/>
  <c r="AG12" i="32" s="1"/>
  <c r="AB12" i="32"/>
  <c r="Y12" i="32"/>
  <c r="V12" i="32"/>
  <c r="S12" i="32"/>
  <c r="Y11" i="32"/>
  <c r="V11" i="32"/>
  <c r="S11" i="32"/>
  <c r="P11" i="32"/>
  <c r="AB10" i="32"/>
  <c r="AB9" i="32"/>
  <c r="Y9" i="32"/>
  <c r="V9" i="32"/>
  <c r="M8" i="32"/>
  <c r="J8" i="32"/>
  <c r="G8" i="32"/>
  <c r="AB7" i="32"/>
  <c r="G7" i="32"/>
  <c r="J6" i="32"/>
  <c r="AU61" i="31"/>
  <c r="AV61" i="31" s="1"/>
  <c r="AW61" i="31" s="1"/>
  <c r="AU59" i="31"/>
  <c r="AV59" i="31" s="1"/>
  <c r="AW59" i="31" s="1"/>
  <c r="AU57" i="31"/>
  <c r="AV57" i="31" s="1"/>
  <c r="AW57" i="31" s="1"/>
  <c r="AU56" i="31"/>
  <c r="AU54" i="31"/>
  <c r="AV54" i="31" s="1"/>
  <c r="AW54" i="31" s="1"/>
  <c r="AU51" i="31"/>
  <c r="AV51" i="31" s="1"/>
  <c r="AW51" i="31" s="1"/>
  <c r="AU49" i="31"/>
  <c r="AV49" i="31" s="1"/>
  <c r="AW49" i="31" s="1"/>
  <c r="AU48" i="31"/>
  <c r="AV48" i="31" s="1"/>
  <c r="AW48" i="31" s="1"/>
  <c r="AU46" i="31"/>
  <c r="AU44" i="31"/>
  <c r="AU43" i="31"/>
  <c r="AU41" i="31"/>
  <c r="AU37" i="31"/>
  <c r="AV37" i="31" s="1"/>
  <c r="AW37" i="31" s="1"/>
  <c r="AU35" i="31"/>
  <c r="AV35" i="31" s="1"/>
  <c r="AW35" i="31" s="1"/>
  <c r="AU34" i="31"/>
  <c r="AV34" i="31" s="1"/>
  <c r="AW34" i="31" s="1"/>
  <c r="AU30" i="31"/>
  <c r="AV30" i="31" s="1"/>
  <c r="AW30" i="31" s="1"/>
  <c r="AU29" i="31"/>
  <c r="AV29" i="31" s="1"/>
  <c r="AW29" i="31" s="1"/>
  <c r="AU25" i="31"/>
  <c r="AU23" i="31"/>
  <c r="AV23" i="31" s="1"/>
  <c r="AW23" i="31" s="1"/>
  <c r="AU20" i="31"/>
  <c r="AV20" i="31" s="1"/>
  <c r="AW20" i="31" s="1"/>
  <c r="AU18" i="31"/>
  <c r="AU16" i="31"/>
  <c r="AU12" i="31"/>
  <c r="AU7" i="31"/>
  <c r="AQ61" i="31"/>
  <c r="AR61" i="31" s="1"/>
  <c r="AS61" i="31" s="1"/>
  <c r="AQ59" i="31"/>
  <c r="AR59" i="31" s="1"/>
  <c r="AS59" i="31" s="1"/>
  <c r="AQ57" i="31"/>
  <c r="AR57" i="31" s="1"/>
  <c r="AS57" i="31" s="1"/>
  <c r="AQ56" i="31"/>
  <c r="AR56" i="31" s="1"/>
  <c r="AS56" i="31" s="1"/>
  <c r="AQ54" i="31"/>
  <c r="AR54" i="31" s="1"/>
  <c r="AS54" i="31" s="1"/>
  <c r="AQ51" i="31"/>
  <c r="AR51" i="31" s="1"/>
  <c r="AS51" i="31" s="1"/>
  <c r="AQ49" i="31"/>
  <c r="AR49" i="31" s="1"/>
  <c r="AS49" i="31" s="1"/>
  <c r="AQ48" i="31"/>
  <c r="AR48" i="31" s="1"/>
  <c r="AS48" i="31" s="1"/>
  <c r="AQ46" i="31"/>
  <c r="AQ44" i="31"/>
  <c r="AQ43" i="31"/>
  <c r="AQ41" i="31"/>
  <c r="AQ37" i="31"/>
  <c r="AR37" i="31" s="1"/>
  <c r="AS37" i="31" s="1"/>
  <c r="AQ35" i="31"/>
  <c r="AR35" i="31" s="1"/>
  <c r="AS35" i="31" s="1"/>
  <c r="AQ34" i="31"/>
  <c r="AR34" i="31" s="1"/>
  <c r="AS34" i="31" s="1"/>
  <c r="AQ30" i="31"/>
  <c r="AQ29" i="31"/>
  <c r="AR29" i="31" s="1"/>
  <c r="AS29" i="31" s="1"/>
  <c r="AQ25" i="31"/>
  <c r="AQ23" i="31"/>
  <c r="AR23" i="31" s="1"/>
  <c r="AS23" i="31" s="1"/>
  <c r="AQ20" i="31"/>
  <c r="AR20" i="31" s="1"/>
  <c r="AS20" i="31" s="1"/>
  <c r="AQ18" i="31"/>
  <c r="AQ16" i="31"/>
  <c r="AQ12" i="31"/>
  <c r="AQ7" i="31"/>
  <c r="AM61" i="31"/>
  <c r="AN61" i="31" s="1"/>
  <c r="AO61" i="31" s="1"/>
  <c r="AM59" i="31"/>
  <c r="AN59" i="31" s="1"/>
  <c r="AO59" i="31" s="1"/>
  <c r="AM57" i="31"/>
  <c r="AN57" i="31" s="1"/>
  <c r="AO57" i="31" s="1"/>
  <c r="AM56" i="31"/>
  <c r="AN56" i="31" s="1"/>
  <c r="AO56" i="31" s="1"/>
  <c r="AM54" i="31"/>
  <c r="AN54" i="31" s="1"/>
  <c r="AO54" i="31" s="1"/>
  <c r="AM51" i="31"/>
  <c r="AM49" i="31"/>
  <c r="AN49" i="31" s="1"/>
  <c r="AO49" i="31" s="1"/>
  <c r="AM48" i="31"/>
  <c r="AN48" i="31" s="1"/>
  <c r="AO48" i="31" s="1"/>
  <c r="AM46" i="31"/>
  <c r="AM44" i="31"/>
  <c r="AM43" i="31"/>
  <c r="AM41" i="31"/>
  <c r="AM37" i="31"/>
  <c r="AN37" i="31" s="1"/>
  <c r="AO37" i="31" s="1"/>
  <c r="AM35" i="31"/>
  <c r="AN35" i="31" s="1"/>
  <c r="AO35" i="31" s="1"/>
  <c r="AM34" i="31"/>
  <c r="AN34" i="31" s="1"/>
  <c r="AO34" i="31" s="1"/>
  <c r="AM30" i="31"/>
  <c r="AN30" i="31" s="1"/>
  <c r="AO30" i="31" s="1"/>
  <c r="AM29" i="31"/>
  <c r="AM25" i="31"/>
  <c r="AN25" i="31" s="1"/>
  <c r="AO25" i="31" s="1"/>
  <c r="AM23" i="31"/>
  <c r="AN23" i="31" s="1"/>
  <c r="AO23" i="31" s="1"/>
  <c r="AM20" i="31"/>
  <c r="AN20" i="31" s="1"/>
  <c r="AO20" i="31" s="1"/>
  <c r="AM18" i="31"/>
  <c r="AN18" i="31" s="1"/>
  <c r="AO18" i="31" s="1"/>
  <c r="AM16" i="31"/>
  <c r="AM12" i="31"/>
  <c r="AM7" i="31"/>
  <c r="AI61" i="31"/>
  <c r="AJ61" i="31" s="1"/>
  <c r="AK61" i="31" s="1"/>
  <c r="AI59" i="31"/>
  <c r="AJ59" i="31" s="1"/>
  <c r="AK59" i="31" s="1"/>
  <c r="AI57" i="31"/>
  <c r="AJ57" i="31" s="1"/>
  <c r="AK57" i="31" s="1"/>
  <c r="AI56" i="31"/>
  <c r="AJ56" i="31" s="1"/>
  <c r="AK56" i="31" s="1"/>
  <c r="AI54" i="31"/>
  <c r="AJ54" i="31" s="1"/>
  <c r="AK54" i="31" s="1"/>
  <c r="AI51" i="31"/>
  <c r="AI49" i="31"/>
  <c r="AI48" i="31"/>
  <c r="AJ48" i="31" s="1"/>
  <c r="AK48" i="31" s="1"/>
  <c r="AI46" i="31"/>
  <c r="AI44" i="31"/>
  <c r="AI43" i="31"/>
  <c r="AJ43" i="31" s="1"/>
  <c r="AK43" i="31" s="1"/>
  <c r="AI41" i="31"/>
  <c r="AI37" i="31"/>
  <c r="AI35" i="31"/>
  <c r="AI34" i="31"/>
  <c r="AJ34" i="31" s="1"/>
  <c r="AK34" i="31" s="1"/>
  <c r="AI30" i="31"/>
  <c r="AJ30" i="31" s="1"/>
  <c r="AK30" i="31" s="1"/>
  <c r="AI29" i="31"/>
  <c r="AI25" i="31"/>
  <c r="AJ25" i="31" s="1"/>
  <c r="AK25" i="31" s="1"/>
  <c r="AI23" i="31"/>
  <c r="AJ23" i="31" s="1"/>
  <c r="AK23" i="31" s="1"/>
  <c r="AI20" i="31"/>
  <c r="AJ20" i="31" s="1"/>
  <c r="AK20" i="31" s="1"/>
  <c r="AI18" i="31"/>
  <c r="AJ18" i="31" s="1"/>
  <c r="AK18" i="31" s="1"/>
  <c r="AI16" i="31"/>
  <c r="AI12" i="31"/>
  <c r="AI7" i="31"/>
  <c r="AE61" i="31"/>
  <c r="AF61" i="31" s="1"/>
  <c r="AG61" i="31" s="1"/>
  <c r="AE59" i="31"/>
  <c r="AF59" i="31" s="1"/>
  <c r="AG59" i="31" s="1"/>
  <c r="AE57" i="31"/>
  <c r="AF57" i="31" s="1"/>
  <c r="AG57" i="31" s="1"/>
  <c r="AE56" i="31"/>
  <c r="AF56" i="31" s="1"/>
  <c r="AG56" i="31" s="1"/>
  <c r="AE54" i="31"/>
  <c r="AF54" i="31" s="1"/>
  <c r="AG54" i="31" s="1"/>
  <c r="AE51" i="31"/>
  <c r="AF51" i="31" s="1"/>
  <c r="AG51" i="31" s="1"/>
  <c r="AE49" i="31"/>
  <c r="AF49" i="31" s="1"/>
  <c r="AG49" i="31" s="1"/>
  <c r="AE48" i="31"/>
  <c r="AF48" i="31" s="1"/>
  <c r="AG48" i="31" s="1"/>
  <c r="AE46" i="31"/>
  <c r="AE44" i="31"/>
  <c r="AE43" i="31"/>
  <c r="AF43" i="31" s="1"/>
  <c r="AG43" i="31" s="1"/>
  <c r="AE41" i="31"/>
  <c r="AE37" i="31"/>
  <c r="AE35" i="31"/>
  <c r="AE34" i="31"/>
  <c r="AF34" i="31" s="1"/>
  <c r="AG34" i="31" s="1"/>
  <c r="AE30" i="31"/>
  <c r="AF30" i="31" s="1"/>
  <c r="AG30" i="31" s="1"/>
  <c r="AE29" i="31"/>
  <c r="AF29" i="31" s="1"/>
  <c r="AG29" i="31" s="1"/>
  <c r="AE25" i="31"/>
  <c r="AF25" i="31" s="1"/>
  <c r="AG25" i="31" s="1"/>
  <c r="AE23" i="31"/>
  <c r="AF23" i="31" s="1"/>
  <c r="AG23" i="31" s="1"/>
  <c r="AE20" i="31"/>
  <c r="AF20" i="31" s="1"/>
  <c r="AG20" i="31" s="1"/>
  <c r="AE18" i="31"/>
  <c r="AF18" i="31" s="1"/>
  <c r="AG18" i="31" s="1"/>
  <c r="AE16" i="31"/>
  <c r="AE12" i="31"/>
  <c r="AF12" i="31" s="1"/>
  <c r="AG12" i="31" s="1"/>
  <c r="AE7" i="31"/>
  <c r="AA64" i="31"/>
  <c r="AA63" i="31"/>
  <c r="AB63" i="31" s="1"/>
  <c r="AA60" i="31"/>
  <c r="AB60" i="31" s="1"/>
  <c r="AA59" i="31"/>
  <c r="AB59" i="31" s="1"/>
  <c r="AA58" i="31"/>
  <c r="AB58" i="31" s="1"/>
  <c r="AA57" i="31"/>
  <c r="AB57" i="31" s="1"/>
  <c r="AA56" i="31"/>
  <c r="AB56" i="31" s="1"/>
  <c r="AA55" i="31"/>
  <c r="AB55" i="31" s="1"/>
  <c r="AA54" i="31"/>
  <c r="AA53" i="31"/>
  <c r="AA51" i="31"/>
  <c r="AA50" i="31"/>
  <c r="AA48" i="31"/>
  <c r="AB48" i="31" s="1"/>
  <c r="AA47" i="31"/>
  <c r="AB47" i="31" s="1"/>
  <c r="AA45" i="31"/>
  <c r="AA43" i="31"/>
  <c r="AB43" i="31" s="1"/>
  <c r="AA42" i="31"/>
  <c r="AB42" i="31" s="1"/>
  <c r="AA41" i="31"/>
  <c r="AB41" i="31" s="1"/>
  <c r="AA39" i="31"/>
  <c r="AA38" i="31"/>
  <c r="AB38" i="31" s="1"/>
  <c r="AA36" i="31"/>
  <c r="AB36" i="31" s="1"/>
  <c r="AA35" i="31"/>
  <c r="AA34" i="31"/>
  <c r="AA33" i="31"/>
  <c r="AA31" i="31"/>
  <c r="AA30" i="31"/>
  <c r="AB30" i="31" s="1"/>
  <c r="AA28" i="31"/>
  <c r="AB28" i="31" s="1"/>
  <c r="AA27" i="31"/>
  <c r="AA25" i="31"/>
  <c r="AB25" i="31" s="1"/>
  <c r="AA24" i="31"/>
  <c r="AB24" i="31" s="1"/>
  <c r="AA23" i="31"/>
  <c r="AB23" i="31" s="1"/>
  <c r="AA22" i="31"/>
  <c r="AB22" i="31" s="1"/>
  <c r="AA21" i="31"/>
  <c r="AB21" i="31" s="1"/>
  <c r="AA20" i="31"/>
  <c r="AA19" i="31"/>
  <c r="AA18" i="31"/>
  <c r="AA17" i="31"/>
  <c r="AA16" i="31"/>
  <c r="AA15" i="31"/>
  <c r="AB15" i="31" s="1"/>
  <c r="AA14" i="31"/>
  <c r="AB14" i="31" s="1"/>
  <c r="AA13" i="31"/>
  <c r="AB13" i="31" s="1"/>
  <c r="AA12" i="31"/>
  <c r="AB12" i="31" s="1"/>
  <c r="AA11" i="31"/>
  <c r="AB11" i="31" s="1"/>
  <c r="AA10" i="31"/>
  <c r="AB10" i="31" s="1"/>
  <c r="AA9" i="31"/>
  <c r="AB9" i="31" s="1"/>
  <c r="AA8" i="31"/>
  <c r="AA7" i="31"/>
  <c r="AA6" i="31"/>
  <c r="AB6" i="31" s="1"/>
  <c r="AA5" i="31"/>
  <c r="X64" i="31"/>
  <c r="X63" i="31"/>
  <c r="Y63" i="31" s="1"/>
  <c r="X60" i="31"/>
  <c r="Y60" i="31" s="1"/>
  <c r="X59" i="31"/>
  <c r="Y59" i="31" s="1"/>
  <c r="X58" i="31"/>
  <c r="Y58" i="31" s="1"/>
  <c r="X57" i="31"/>
  <c r="Y57" i="31" s="1"/>
  <c r="X56" i="31"/>
  <c r="Y56" i="31" s="1"/>
  <c r="X55" i="31"/>
  <c r="Y55" i="31" s="1"/>
  <c r="X54" i="31"/>
  <c r="X53" i="31"/>
  <c r="X51" i="31"/>
  <c r="X50" i="31"/>
  <c r="X48" i="31"/>
  <c r="Y48" i="31" s="1"/>
  <c r="X47" i="31"/>
  <c r="Y47" i="31" s="1"/>
  <c r="X45" i="31"/>
  <c r="Y45" i="31" s="1"/>
  <c r="X43" i="31"/>
  <c r="Y43" i="31" s="1"/>
  <c r="X42" i="31"/>
  <c r="Y42" i="31" s="1"/>
  <c r="X41" i="31"/>
  <c r="Y41" i="31" s="1"/>
  <c r="X39" i="31"/>
  <c r="Y39" i="31" s="1"/>
  <c r="X38" i="31"/>
  <c r="X36" i="31"/>
  <c r="X35" i="31"/>
  <c r="X34" i="31"/>
  <c r="Y34" i="31" s="1"/>
  <c r="X33" i="31"/>
  <c r="X31" i="31"/>
  <c r="X30" i="31"/>
  <c r="Y30" i="31" s="1"/>
  <c r="X28" i="31"/>
  <c r="Y28" i="31" s="1"/>
  <c r="X27" i="31"/>
  <c r="Y27" i="31" s="1"/>
  <c r="X25" i="31"/>
  <c r="Y25" i="31" s="1"/>
  <c r="X24" i="31"/>
  <c r="Y24" i="31" s="1"/>
  <c r="X23" i="31"/>
  <c r="Y23" i="31" s="1"/>
  <c r="X22" i="31"/>
  <c r="Y22" i="31" s="1"/>
  <c r="X21" i="31"/>
  <c r="X20" i="31"/>
  <c r="X19" i="31"/>
  <c r="X18" i="31"/>
  <c r="X17" i="31"/>
  <c r="Y17" i="31" s="1"/>
  <c r="X16" i="31"/>
  <c r="Y16" i="31" s="1"/>
  <c r="X15" i="31"/>
  <c r="Y15" i="31" s="1"/>
  <c r="X14" i="31"/>
  <c r="Y14" i="31" s="1"/>
  <c r="X13" i="31"/>
  <c r="Y13" i="31" s="1"/>
  <c r="X12" i="31"/>
  <c r="Y12" i="31" s="1"/>
  <c r="X11" i="31"/>
  <c r="Y11" i="31" s="1"/>
  <c r="X10" i="31"/>
  <c r="X9" i="31"/>
  <c r="X8" i="31"/>
  <c r="X7" i="31"/>
  <c r="X6" i="31"/>
  <c r="Y6" i="31" s="1"/>
  <c r="X5" i="31"/>
  <c r="U64" i="31"/>
  <c r="U63" i="31"/>
  <c r="V63" i="31" s="1"/>
  <c r="U60" i="31"/>
  <c r="V60" i="31" s="1"/>
  <c r="U59" i="31"/>
  <c r="V59" i="31" s="1"/>
  <c r="U58" i="31"/>
  <c r="V58" i="31" s="1"/>
  <c r="U57" i="31"/>
  <c r="V57" i="31" s="1"/>
  <c r="U56" i="31"/>
  <c r="U55" i="31"/>
  <c r="U54" i="31"/>
  <c r="U53" i="31"/>
  <c r="U51" i="31"/>
  <c r="V51" i="31" s="1"/>
  <c r="U50" i="31"/>
  <c r="U48" i="31"/>
  <c r="V48" i="31" s="1"/>
  <c r="U47" i="31"/>
  <c r="V47" i="31" s="1"/>
  <c r="U45" i="31"/>
  <c r="V45" i="31" s="1"/>
  <c r="U43" i="31"/>
  <c r="V43" i="31" s="1"/>
  <c r="U42" i="31"/>
  <c r="V42" i="31" s="1"/>
  <c r="U41" i="31"/>
  <c r="V41" i="31" s="1"/>
  <c r="U39" i="31"/>
  <c r="V39" i="31" s="1"/>
  <c r="U38" i="31"/>
  <c r="U36" i="31"/>
  <c r="U35" i="31"/>
  <c r="V35" i="31" s="1"/>
  <c r="U34" i="31"/>
  <c r="V34" i="31" s="1"/>
  <c r="U33" i="31"/>
  <c r="U31" i="31"/>
  <c r="U30" i="31"/>
  <c r="V30" i="31" s="1"/>
  <c r="U28" i="31"/>
  <c r="V28" i="31" s="1"/>
  <c r="U27" i="31"/>
  <c r="V27" i="31" s="1"/>
  <c r="U25" i="31"/>
  <c r="V25" i="31" s="1"/>
  <c r="U24" i="31"/>
  <c r="V24" i="31" s="1"/>
  <c r="U23" i="31"/>
  <c r="V23" i="31" s="1"/>
  <c r="U22" i="31"/>
  <c r="U21" i="31"/>
  <c r="U20" i="31"/>
  <c r="U19" i="31"/>
  <c r="U18" i="31"/>
  <c r="V18" i="31" s="1"/>
  <c r="U17" i="31"/>
  <c r="V17" i="31" s="1"/>
  <c r="U16" i="31"/>
  <c r="V16" i="31" s="1"/>
  <c r="U15" i="31"/>
  <c r="V15" i="31" s="1"/>
  <c r="U14" i="31"/>
  <c r="V14" i="31" s="1"/>
  <c r="U13" i="31"/>
  <c r="V13" i="31" s="1"/>
  <c r="U12" i="31"/>
  <c r="V12" i="31" s="1"/>
  <c r="U11" i="31"/>
  <c r="V11" i="31" s="1"/>
  <c r="U10" i="31"/>
  <c r="U9" i="31"/>
  <c r="U8" i="31"/>
  <c r="U7" i="31"/>
  <c r="U6" i="31"/>
  <c r="V6" i="31" s="1"/>
  <c r="U5" i="31"/>
  <c r="R64" i="31"/>
  <c r="R63" i="31"/>
  <c r="S63" i="31" s="1"/>
  <c r="R60" i="31"/>
  <c r="S60" i="31" s="1"/>
  <c r="R59" i="31"/>
  <c r="S59" i="31" s="1"/>
  <c r="R58" i="31"/>
  <c r="S58" i="31" s="1"/>
  <c r="R57" i="31"/>
  <c r="R56" i="31"/>
  <c r="R55" i="31"/>
  <c r="R54" i="31"/>
  <c r="R53" i="31"/>
  <c r="S53" i="31" s="1"/>
  <c r="R51" i="31"/>
  <c r="S51" i="31" s="1"/>
  <c r="R50" i="31"/>
  <c r="R48" i="31"/>
  <c r="R47" i="31"/>
  <c r="S47" i="31" s="1"/>
  <c r="R45" i="31"/>
  <c r="S45" i="31" s="1"/>
  <c r="R43" i="31"/>
  <c r="S43" i="31" s="1"/>
  <c r="R42" i="31"/>
  <c r="S42" i="31" s="1"/>
  <c r="R41" i="31"/>
  <c r="R39" i="31"/>
  <c r="R38" i="31"/>
  <c r="R36" i="31"/>
  <c r="S36" i="31" s="1"/>
  <c r="R35" i="31"/>
  <c r="S35" i="31" s="1"/>
  <c r="R34" i="31"/>
  <c r="S34" i="31" s="1"/>
  <c r="R33" i="31"/>
  <c r="S33" i="31" s="1"/>
  <c r="R31" i="31"/>
  <c r="R30" i="31"/>
  <c r="S30" i="31" s="1"/>
  <c r="R28" i="31"/>
  <c r="S28" i="31" s="1"/>
  <c r="R27" i="31"/>
  <c r="S27" i="31" s="1"/>
  <c r="R25" i="31"/>
  <c r="S25" i="31" s="1"/>
  <c r="R24" i="31"/>
  <c r="S24" i="31" s="1"/>
  <c r="R22" i="31"/>
  <c r="R21" i="31"/>
  <c r="S21" i="31" s="1"/>
  <c r="R20" i="31"/>
  <c r="R19" i="31"/>
  <c r="S19" i="31" s="1"/>
  <c r="R18" i="31"/>
  <c r="S18" i="31" s="1"/>
  <c r="R17" i="31"/>
  <c r="S17" i="31" s="1"/>
  <c r="R16" i="31"/>
  <c r="S16" i="31" s="1"/>
  <c r="R15" i="31"/>
  <c r="S15" i="31" s="1"/>
  <c r="R13" i="31"/>
  <c r="S13" i="31" s="1"/>
  <c r="R12" i="31"/>
  <c r="S12" i="31" s="1"/>
  <c r="R11" i="31"/>
  <c r="S11" i="31" s="1"/>
  <c r="R10" i="31"/>
  <c r="R9" i="31"/>
  <c r="R8" i="31"/>
  <c r="S8" i="31" s="1"/>
  <c r="R7" i="31"/>
  <c r="R6" i="31"/>
  <c r="R5" i="31"/>
  <c r="O64" i="31"/>
  <c r="P64" i="31" s="1"/>
  <c r="O63" i="31"/>
  <c r="P63" i="31" s="1"/>
  <c r="O60" i="31"/>
  <c r="P60" i="31" s="1"/>
  <c r="O59" i="31"/>
  <c r="P59" i="31" s="1"/>
  <c r="O58" i="31"/>
  <c r="O57" i="31"/>
  <c r="P57" i="31" s="1"/>
  <c r="O56" i="31"/>
  <c r="P56" i="31" s="1"/>
  <c r="O55" i="31"/>
  <c r="O54" i="31"/>
  <c r="O53" i="31"/>
  <c r="P53" i="31" s="1"/>
  <c r="O51" i="31"/>
  <c r="P51" i="31" s="1"/>
  <c r="O50" i="31"/>
  <c r="O48" i="31"/>
  <c r="P48" i="31" s="1"/>
  <c r="O47" i="31"/>
  <c r="P47" i="31" s="1"/>
  <c r="O45" i="31"/>
  <c r="P45" i="31" s="1"/>
  <c r="O43" i="31"/>
  <c r="P43" i="31" s="1"/>
  <c r="O42" i="31"/>
  <c r="P42" i="31" s="1"/>
  <c r="O41" i="31"/>
  <c r="P41" i="31" s="1"/>
  <c r="O39" i="31"/>
  <c r="P39" i="31" s="1"/>
  <c r="O38" i="31"/>
  <c r="O36" i="31"/>
  <c r="P36" i="31" s="1"/>
  <c r="O35" i="31"/>
  <c r="P35" i="31" s="1"/>
  <c r="O34" i="31"/>
  <c r="P34" i="31" s="1"/>
  <c r="O33" i="31"/>
  <c r="P33" i="31" s="1"/>
  <c r="O31" i="31"/>
  <c r="P31" i="31" s="1"/>
  <c r="O30" i="31"/>
  <c r="P30" i="31" s="1"/>
  <c r="O28" i="31"/>
  <c r="P28" i="31" s="1"/>
  <c r="O27" i="31"/>
  <c r="P27" i="31" s="1"/>
  <c r="O25" i="31"/>
  <c r="P25" i="31" s="1"/>
  <c r="O24" i="31"/>
  <c r="P24" i="31" s="1"/>
  <c r="O22" i="31"/>
  <c r="P22" i="31" s="1"/>
  <c r="O21" i="31"/>
  <c r="O20" i="31"/>
  <c r="O19" i="31"/>
  <c r="P19" i="31" s="1"/>
  <c r="O18" i="31"/>
  <c r="P18" i="31" s="1"/>
  <c r="O17" i="31"/>
  <c r="P17" i="31" s="1"/>
  <c r="O16" i="31"/>
  <c r="P16" i="31" s="1"/>
  <c r="O15" i="31"/>
  <c r="P15" i="31" s="1"/>
  <c r="O13" i="31"/>
  <c r="P13" i="31" s="1"/>
  <c r="O12" i="31"/>
  <c r="P12" i="31" s="1"/>
  <c r="O11" i="31"/>
  <c r="P11" i="31" s="1"/>
  <c r="O10" i="31"/>
  <c r="P10" i="31" s="1"/>
  <c r="O9" i="31"/>
  <c r="P9" i="31" s="1"/>
  <c r="O8" i="31"/>
  <c r="O7" i="31"/>
  <c r="O6" i="31"/>
  <c r="O5" i="31"/>
  <c r="L64" i="31"/>
  <c r="M64" i="31" s="1"/>
  <c r="L63" i="31"/>
  <c r="M63" i="31" s="1"/>
  <c r="L60" i="31"/>
  <c r="M60" i="31" s="1"/>
  <c r="L59" i="31"/>
  <c r="M59" i="31" s="1"/>
  <c r="L58" i="31"/>
  <c r="M58" i="31" s="1"/>
  <c r="L57" i="31"/>
  <c r="M57" i="31" s="1"/>
  <c r="L56" i="31"/>
  <c r="M56" i="31" s="1"/>
  <c r="L55" i="31"/>
  <c r="M55" i="31" s="1"/>
  <c r="L54" i="31"/>
  <c r="L53" i="31"/>
  <c r="L51" i="31"/>
  <c r="L50" i="31"/>
  <c r="L48" i="31"/>
  <c r="M48" i="31" s="1"/>
  <c r="L47" i="31"/>
  <c r="M47" i="31" s="1"/>
  <c r="L45" i="31"/>
  <c r="M45" i="31" s="1"/>
  <c r="L43" i="31"/>
  <c r="L42" i="31"/>
  <c r="M42" i="31" s="1"/>
  <c r="L41" i="31"/>
  <c r="M41" i="31" s="1"/>
  <c r="L39" i="31"/>
  <c r="M39" i="31" s="1"/>
  <c r="L38" i="31"/>
  <c r="M38" i="31" s="1"/>
  <c r="L36" i="31"/>
  <c r="L35" i="31"/>
  <c r="L34" i="31"/>
  <c r="L33" i="31"/>
  <c r="M33" i="31" s="1"/>
  <c r="L31" i="31"/>
  <c r="M31" i="31" s="1"/>
  <c r="L30" i="31"/>
  <c r="M30" i="31" s="1"/>
  <c r="L28" i="31"/>
  <c r="M28" i="31" s="1"/>
  <c r="L27" i="31"/>
  <c r="M27" i="31" s="1"/>
  <c r="L25" i="31"/>
  <c r="M25" i="31" s="1"/>
  <c r="L24" i="31"/>
  <c r="M24" i="31" s="1"/>
  <c r="L23" i="31"/>
  <c r="M23" i="31" s="1"/>
  <c r="L22" i="31"/>
  <c r="M22" i="31" s="1"/>
  <c r="L21" i="31"/>
  <c r="L20" i="31"/>
  <c r="L19" i="31"/>
  <c r="M19" i="31" s="1"/>
  <c r="L18" i="31"/>
  <c r="M18" i="31" s="1"/>
  <c r="L17" i="31"/>
  <c r="M17" i="31" s="1"/>
  <c r="L16" i="31"/>
  <c r="M16" i="31" s="1"/>
  <c r="L15" i="31"/>
  <c r="M15" i="31" s="1"/>
  <c r="L14" i="31"/>
  <c r="M14" i="31" s="1"/>
  <c r="L13" i="31"/>
  <c r="L12" i="31"/>
  <c r="M12" i="31" s="1"/>
  <c r="L11" i="31"/>
  <c r="M11" i="31" s="1"/>
  <c r="L10" i="31"/>
  <c r="M10" i="31" s="1"/>
  <c r="L9" i="31"/>
  <c r="L8" i="31"/>
  <c r="L7" i="31"/>
  <c r="L6" i="31"/>
  <c r="M6" i="31" s="1"/>
  <c r="L5" i="31"/>
  <c r="I64" i="31"/>
  <c r="J64" i="31" s="1"/>
  <c r="I63" i="31"/>
  <c r="J63" i="31" s="1"/>
  <c r="I60" i="31"/>
  <c r="J60" i="31" s="1"/>
  <c r="I59" i="31"/>
  <c r="J59" i="31" s="1"/>
  <c r="I58" i="31"/>
  <c r="J58" i="31" s="1"/>
  <c r="I57" i="31"/>
  <c r="J57" i="31" s="1"/>
  <c r="I56" i="31"/>
  <c r="J56" i="31" s="1"/>
  <c r="I55" i="31"/>
  <c r="I54" i="31"/>
  <c r="I53" i="31"/>
  <c r="I51" i="31"/>
  <c r="I50" i="31"/>
  <c r="J50" i="31" s="1"/>
  <c r="I48" i="31"/>
  <c r="J48" i="31" s="1"/>
  <c r="I47" i="31"/>
  <c r="J47" i="31" s="1"/>
  <c r="I45" i="31"/>
  <c r="J45" i="31" s="1"/>
  <c r="I43" i="31"/>
  <c r="J43" i="31" s="1"/>
  <c r="I42" i="31"/>
  <c r="J42" i="31" s="1"/>
  <c r="I41" i="31"/>
  <c r="J41" i="31" s="1"/>
  <c r="I39" i="31"/>
  <c r="J39" i="31" s="1"/>
  <c r="I38" i="31"/>
  <c r="I36" i="31"/>
  <c r="I35" i="31"/>
  <c r="I34" i="31"/>
  <c r="I33" i="31"/>
  <c r="J33" i="31" s="1"/>
  <c r="I31" i="31"/>
  <c r="J31" i="31" s="1"/>
  <c r="I30" i="31"/>
  <c r="J30" i="31" s="1"/>
  <c r="I28" i="31"/>
  <c r="J28" i="31" s="1"/>
  <c r="I27" i="31"/>
  <c r="J27" i="31" s="1"/>
  <c r="I25" i="31"/>
  <c r="J25" i="31" s="1"/>
  <c r="I24" i="31"/>
  <c r="J24" i="31" s="1"/>
  <c r="I23" i="31"/>
  <c r="J23" i="31" s="1"/>
  <c r="I22" i="31"/>
  <c r="I21" i="31"/>
  <c r="I20" i="31"/>
  <c r="I19" i="31"/>
  <c r="J19" i="31" s="1"/>
  <c r="I18" i="31"/>
  <c r="J18" i="31" s="1"/>
  <c r="I17" i="31"/>
  <c r="J17" i="31" s="1"/>
  <c r="I16" i="31"/>
  <c r="J16" i="31" s="1"/>
  <c r="I15" i="31"/>
  <c r="J15" i="31" s="1"/>
  <c r="I14" i="31"/>
  <c r="J14" i="31" s="1"/>
  <c r="I13" i="31"/>
  <c r="I12" i="31"/>
  <c r="J12" i="31" s="1"/>
  <c r="I11" i="31"/>
  <c r="J11" i="31" s="1"/>
  <c r="I10" i="31"/>
  <c r="I9" i="31"/>
  <c r="I8" i="31"/>
  <c r="I7" i="31"/>
  <c r="I6" i="31"/>
  <c r="J6" i="31" s="1"/>
  <c r="I5" i="31"/>
  <c r="F6" i="31"/>
  <c r="G6" i="31" s="1"/>
  <c r="F7" i="31"/>
  <c r="G7" i="31" s="1"/>
  <c r="F8" i="31"/>
  <c r="G8" i="31" s="1"/>
  <c r="F9" i="31"/>
  <c r="G9" i="31" s="1"/>
  <c r="F10" i="31"/>
  <c r="G10" i="31" s="1"/>
  <c r="F11" i="31"/>
  <c r="G11" i="31" s="1"/>
  <c r="F12" i="31"/>
  <c r="F13" i="31"/>
  <c r="F14" i="31"/>
  <c r="F15" i="31"/>
  <c r="G15" i="31" s="1"/>
  <c r="F16" i="31"/>
  <c r="G16" i="31" s="1"/>
  <c r="F17" i="31"/>
  <c r="G17" i="31" s="1"/>
  <c r="F18" i="31"/>
  <c r="G18" i="31" s="1"/>
  <c r="F19" i="31"/>
  <c r="G19" i="31" s="1"/>
  <c r="F20" i="31"/>
  <c r="G20" i="31" s="1"/>
  <c r="F21" i="31"/>
  <c r="F22" i="31"/>
  <c r="G22" i="31" s="1"/>
  <c r="F23" i="31"/>
  <c r="G23" i="31" s="1"/>
  <c r="F24" i="31"/>
  <c r="F25" i="31"/>
  <c r="F27" i="31"/>
  <c r="F28" i="31"/>
  <c r="G28" i="31" s="1"/>
  <c r="F30" i="31"/>
  <c r="G30" i="31" s="1"/>
  <c r="F31" i="31"/>
  <c r="G31" i="31" s="1"/>
  <c r="F33" i="31"/>
  <c r="G33" i="31" s="1"/>
  <c r="F34" i="31"/>
  <c r="F35" i="31"/>
  <c r="G35" i="31" s="1"/>
  <c r="F36" i="31"/>
  <c r="G36" i="31" s="1"/>
  <c r="F38" i="31"/>
  <c r="G38" i="31" s="1"/>
  <c r="F39" i="31"/>
  <c r="G39" i="31" s="1"/>
  <c r="F41" i="31"/>
  <c r="F42" i="31"/>
  <c r="F43" i="31"/>
  <c r="F45" i="31"/>
  <c r="G45" i="31" s="1"/>
  <c r="F47" i="31"/>
  <c r="G47" i="31" s="1"/>
  <c r="F48" i="31"/>
  <c r="G48" i="31" s="1"/>
  <c r="F50" i="31"/>
  <c r="G50" i="31" s="1"/>
  <c r="F51" i="31"/>
  <c r="G51" i="31" s="1"/>
  <c r="F53" i="31"/>
  <c r="G53" i="31" s="1"/>
  <c r="F54" i="31"/>
  <c r="G54" i="31" s="1"/>
  <c r="F55" i="31"/>
  <c r="G55" i="31" s="1"/>
  <c r="F56" i="31"/>
  <c r="G56" i="31" s="1"/>
  <c r="F57" i="31"/>
  <c r="F58" i="31"/>
  <c r="F59" i="31"/>
  <c r="G59" i="31" s="1"/>
  <c r="F60" i="31"/>
  <c r="G60" i="31" s="1"/>
  <c r="F63" i="31"/>
  <c r="F64" i="31"/>
  <c r="G64" i="31" s="1"/>
  <c r="F5" i="31"/>
  <c r="AT65" i="31"/>
  <c r="AP65" i="31"/>
  <c r="AL65" i="31"/>
  <c r="AD65" i="31"/>
  <c r="Z65" i="31"/>
  <c r="W65" i="31"/>
  <c r="T65" i="31"/>
  <c r="Q65" i="31"/>
  <c r="N65" i="31"/>
  <c r="K65" i="31"/>
  <c r="H65" i="31"/>
  <c r="E65" i="31"/>
  <c r="AB64" i="31"/>
  <c r="Y64" i="31"/>
  <c r="V64" i="31"/>
  <c r="S64" i="31"/>
  <c r="G63" i="31"/>
  <c r="P58" i="31"/>
  <c r="G58" i="31"/>
  <c r="S57" i="31"/>
  <c r="G57" i="31"/>
  <c r="AV56" i="31"/>
  <c r="AW56" i="31" s="1"/>
  <c r="V56" i="31"/>
  <c r="S56" i="31"/>
  <c r="V55" i="31"/>
  <c r="S55" i="31"/>
  <c r="P55" i="31"/>
  <c r="J55" i="31"/>
  <c r="AB54" i="31"/>
  <c r="Y54" i="31"/>
  <c r="V54" i="31"/>
  <c r="S54" i="31"/>
  <c r="P54" i="31"/>
  <c r="M54" i="31"/>
  <c r="J54" i="31"/>
  <c r="AB53" i="31"/>
  <c r="Y53" i="31"/>
  <c r="V53" i="31"/>
  <c r="M53" i="31"/>
  <c r="J53" i="31"/>
  <c r="AN51" i="31"/>
  <c r="AO51" i="31" s="1"/>
  <c r="AJ51" i="31"/>
  <c r="AK51" i="31" s="1"/>
  <c r="AB51" i="31"/>
  <c r="Y51" i="31"/>
  <c r="M51" i="31"/>
  <c r="J51" i="31"/>
  <c r="AB50" i="31"/>
  <c r="Y50" i="31"/>
  <c r="V50" i="31"/>
  <c r="S50" i="31"/>
  <c r="P50" i="31"/>
  <c r="M50" i="31"/>
  <c r="AJ49" i="31"/>
  <c r="AK49" i="31" s="1"/>
  <c r="AV46" i="31"/>
  <c r="AW46" i="31" s="1"/>
  <c r="AR46" i="31"/>
  <c r="AS46" i="31" s="1"/>
  <c r="AN46" i="31"/>
  <c r="AO46" i="31" s="1"/>
  <c r="AJ46" i="31"/>
  <c r="AK46" i="31" s="1"/>
  <c r="AF46" i="31"/>
  <c r="AG46" i="31" s="1"/>
  <c r="AB45" i="31"/>
  <c r="AV44" i="31"/>
  <c r="AW44" i="31" s="1"/>
  <c r="AR44" i="31"/>
  <c r="AS44" i="31" s="1"/>
  <c r="AN44" i="31"/>
  <c r="AO44" i="31" s="1"/>
  <c r="AJ44" i="31"/>
  <c r="AK44" i="31" s="1"/>
  <c r="AF44" i="31"/>
  <c r="AG44" i="31" s="1"/>
  <c r="AV43" i="31"/>
  <c r="AW43" i="31" s="1"/>
  <c r="AR43" i="31"/>
  <c r="AS43" i="31" s="1"/>
  <c r="AN43" i="31"/>
  <c r="AO43" i="31" s="1"/>
  <c r="M43" i="31"/>
  <c r="G43" i="31"/>
  <c r="G42" i="31"/>
  <c r="AV41" i="31"/>
  <c r="AW41" i="31" s="1"/>
  <c r="AR41" i="31"/>
  <c r="AS41" i="31" s="1"/>
  <c r="AN41" i="31"/>
  <c r="AO41" i="31" s="1"/>
  <c r="AJ41" i="31"/>
  <c r="AK41" i="31" s="1"/>
  <c r="AF41" i="31"/>
  <c r="AG41" i="31" s="1"/>
  <c r="S41" i="31"/>
  <c r="G41" i="31"/>
  <c r="AB39" i="31"/>
  <c r="S39" i="31"/>
  <c r="AF38" i="31"/>
  <c r="AG38" i="31" s="1"/>
  <c r="Y38" i="31"/>
  <c r="V38" i="31"/>
  <c r="S38" i="31"/>
  <c r="P38" i="31"/>
  <c r="J38" i="31"/>
  <c r="AJ37" i="31"/>
  <c r="AK37" i="31" s="1"/>
  <c r="AF37" i="31"/>
  <c r="AG37" i="31" s="1"/>
  <c r="Y36" i="31"/>
  <c r="V36" i="31"/>
  <c r="M36" i="31"/>
  <c r="J36" i="31"/>
  <c r="AJ35" i="31"/>
  <c r="AK35" i="31" s="1"/>
  <c r="AF35" i="31"/>
  <c r="AG35" i="31" s="1"/>
  <c r="AB35" i="31"/>
  <c r="Y35" i="31"/>
  <c r="M35" i="31"/>
  <c r="J35" i="31"/>
  <c r="AB34" i="31"/>
  <c r="M34" i="31"/>
  <c r="J34" i="31"/>
  <c r="G34" i="31"/>
  <c r="AB33" i="31"/>
  <c r="Y33" i="31"/>
  <c r="V33" i="31"/>
  <c r="AV32" i="31"/>
  <c r="AW32" i="31" s="1"/>
  <c r="AR32" i="31"/>
  <c r="AS32" i="31" s="1"/>
  <c r="AN32" i="31"/>
  <c r="AO32" i="31" s="1"/>
  <c r="AJ32" i="31"/>
  <c r="AK32" i="31" s="1"/>
  <c r="AF32" i="31"/>
  <c r="AG32" i="31" s="1"/>
  <c r="AB31" i="31"/>
  <c r="Y31" i="31"/>
  <c r="V31" i="31"/>
  <c r="S31" i="31"/>
  <c r="AR30" i="31"/>
  <c r="AS30" i="31" s="1"/>
  <c r="AN29" i="31"/>
  <c r="AO29" i="31" s="1"/>
  <c r="AJ29" i="31"/>
  <c r="AK29" i="31" s="1"/>
  <c r="AV27" i="31"/>
  <c r="AW27" i="31" s="1"/>
  <c r="AR27" i="31"/>
  <c r="AS27" i="31" s="1"/>
  <c r="AN27" i="31"/>
  <c r="AO27" i="31" s="1"/>
  <c r="AJ27" i="31"/>
  <c r="AK27" i="31" s="1"/>
  <c r="AF27" i="31"/>
  <c r="AG27" i="31" s="1"/>
  <c r="AB27" i="31"/>
  <c r="G27" i="31"/>
  <c r="AV25" i="31"/>
  <c r="AW25" i="31" s="1"/>
  <c r="AR25" i="31"/>
  <c r="AS25" i="31" s="1"/>
  <c r="G25" i="31"/>
  <c r="G24" i="31"/>
  <c r="S23" i="31"/>
  <c r="P23" i="31"/>
  <c r="V22" i="31"/>
  <c r="S22" i="31"/>
  <c r="J22" i="31"/>
  <c r="Y21" i="31"/>
  <c r="V21" i="31"/>
  <c r="P21" i="31"/>
  <c r="M21" i="31"/>
  <c r="J21" i="31"/>
  <c r="G21" i="31"/>
  <c r="AB20" i="31"/>
  <c r="Y20" i="31"/>
  <c r="V20" i="31"/>
  <c r="S20" i="31"/>
  <c r="P20" i="31"/>
  <c r="M20" i="31"/>
  <c r="J20" i="31"/>
  <c r="AB19" i="31"/>
  <c r="Y19" i="31"/>
  <c r="V19" i="31"/>
  <c r="AV18" i="31"/>
  <c r="AW18" i="31" s="1"/>
  <c r="AR18" i="31"/>
  <c r="AS18" i="31" s="1"/>
  <c r="AB18" i="31"/>
  <c r="Y18" i="31"/>
  <c r="AB17" i="31"/>
  <c r="AV16" i="31"/>
  <c r="AW16" i="31" s="1"/>
  <c r="AR16" i="31"/>
  <c r="AS16" i="31" s="1"/>
  <c r="AN16" i="31"/>
  <c r="AO16" i="31" s="1"/>
  <c r="AJ16" i="31"/>
  <c r="AK16" i="31" s="1"/>
  <c r="AF16" i="31"/>
  <c r="AG16" i="31" s="1"/>
  <c r="AB16" i="31"/>
  <c r="AV14" i="31"/>
  <c r="AW14" i="31" s="1"/>
  <c r="AR14" i="31"/>
  <c r="AS14" i="31" s="1"/>
  <c r="AN14" i="31"/>
  <c r="AO14" i="31" s="1"/>
  <c r="AJ14" i="31"/>
  <c r="AK14" i="31" s="1"/>
  <c r="AF14" i="31"/>
  <c r="AG14" i="31" s="1"/>
  <c r="S14" i="31"/>
  <c r="P14" i="31"/>
  <c r="G14" i="31"/>
  <c r="M13" i="31"/>
  <c r="J13" i="31"/>
  <c r="G13" i="31"/>
  <c r="AV12" i="31"/>
  <c r="AW12" i="31" s="1"/>
  <c r="AR12" i="31"/>
  <c r="AS12" i="31" s="1"/>
  <c r="AN12" i="31"/>
  <c r="AO12" i="31" s="1"/>
  <c r="AJ12" i="31"/>
  <c r="AK12" i="31" s="1"/>
  <c r="G12" i="31"/>
  <c r="Y10" i="31"/>
  <c r="V10" i="31"/>
  <c r="S10" i="31"/>
  <c r="J10" i="31"/>
  <c r="Y9" i="31"/>
  <c r="V9" i="31"/>
  <c r="S9" i="31"/>
  <c r="M9" i="31"/>
  <c r="J9" i="31"/>
  <c r="AB8" i="31"/>
  <c r="Y8" i="31"/>
  <c r="V8" i="31"/>
  <c r="P8" i="31"/>
  <c r="M8" i="31"/>
  <c r="J8" i="31"/>
  <c r="AB7" i="31"/>
  <c r="Y7" i="31"/>
  <c r="V7" i="31"/>
  <c r="S7" i="31"/>
  <c r="P7" i="31"/>
  <c r="M7" i="31"/>
  <c r="J7" i="31"/>
  <c r="S6" i="31"/>
  <c r="P6" i="31"/>
  <c r="AU61" i="30"/>
  <c r="AV61" i="30" s="1"/>
  <c r="AW61" i="30" s="1"/>
  <c r="AU59" i="30"/>
  <c r="AV59" i="30" s="1"/>
  <c r="AW59" i="30" s="1"/>
  <c r="AU57" i="30"/>
  <c r="AV57" i="30" s="1"/>
  <c r="AW57" i="30" s="1"/>
  <c r="AU56" i="30"/>
  <c r="AU54" i="30"/>
  <c r="AU51" i="30"/>
  <c r="AV51" i="30" s="1"/>
  <c r="AW51" i="30" s="1"/>
  <c r="AU49" i="30"/>
  <c r="AV49" i="30" s="1"/>
  <c r="AW49" i="30" s="1"/>
  <c r="AU48" i="30"/>
  <c r="AV48" i="30" s="1"/>
  <c r="AW48" i="30" s="1"/>
  <c r="AU46" i="30"/>
  <c r="AV46" i="30" s="1"/>
  <c r="AW46" i="30" s="1"/>
  <c r="AU44" i="30"/>
  <c r="AV44" i="30" s="1"/>
  <c r="AW44" i="30" s="1"/>
  <c r="AU43" i="30"/>
  <c r="AV43" i="30" s="1"/>
  <c r="AW43" i="30" s="1"/>
  <c r="AU41" i="30"/>
  <c r="AV41" i="30" s="1"/>
  <c r="AW41" i="30" s="1"/>
  <c r="AU38" i="30"/>
  <c r="AV38" i="30" s="1"/>
  <c r="AW38" i="30" s="1"/>
  <c r="AU37" i="30"/>
  <c r="AV37" i="30" s="1"/>
  <c r="AW37" i="30" s="1"/>
  <c r="AU35" i="30"/>
  <c r="AV35" i="30" s="1"/>
  <c r="AW35" i="30" s="1"/>
  <c r="AU34" i="30"/>
  <c r="AU32" i="30"/>
  <c r="AU30" i="30"/>
  <c r="AV30" i="30" s="1"/>
  <c r="AW30" i="30" s="1"/>
  <c r="AU25" i="30"/>
  <c r="AU23" i="30"/>
  <c r="AV23" i="30" s="1"/>
  <c r="AW23" i="30" s="1"/>
  <c r="AU20" i="30"/>
  <c r="AV20" i="30" s="1"/>
  <c r="AW20" i="30" s="1"/>
  <c r="AU18" i="30"/>
  <c r="AV18" i="30" s="1"/>
  <c r="AW18" i="30" s="1"/>
  <c r="AU16" i="30"/>
  <c r="AV16" i="30" s="1"/>
  <c r="AW16" i="30" s="1"/>
  <c r="AU14" i="30"/>
  <c r="AV14" i="30" s="1"/>
  <c r="AW14" i="30" s="1"/>
  <c r="AU12" i="30"/>
  <c r="AV12" i="30" s="1"/>
  <c r="AW12" i="30" s="1"/>
  <c r="AU7" i="30"/>
  <c r="AQ61" i="30"/>
  <c r="AR61" i="30" s="1"/>
  <c r="AS61" i="30" s="1"/>
  <c r="AQ59" i="30"/>
  <c r="AQ57" i="30"/>
  <c r="AQ56" i="30"/>
  <c r="AQ54" i="30"/>
  <c r="AR54" i="30" s="1"/>
  <c r="AS54" i="30" s="1"/>
  <c r="AQ51" i="30"/>
  <c r="AR51" i="30" s="1"/>
  <c r="AS51" i="30" s="1"/>
  <c r="AQ49" i="30"/>
  <c r="AR49" i="30" s="1"/>
  <c r="AS49" i="30" s="1"/>
  <c r="AQ48" i="30"/>
  <c r="AR48" i="30" s="1"/>
  <c r="AS48" i="30" s="1"/>
  <c r="AQ46" i="30"/>
  <c r="AR46" i="30" s="1"/>
  <c r="AS46" i="30" s="1"/>
  <c r="AQ44" i="30"/>
  <c r="AR44" i="30" s="1"/>
  <c r="AS44" i="30" s="1"/>
  <c r="AQ43" i="30"/>
  <c r="AR43" i="30" s="1"/>
  <c r="AS43" i="30" s="1"/>
  <c r="AQ41" i="30"/>
  <c r="AR41" i="30" s="1"/>
  <c r="AS41" i="30" s="1"/>
  <c r="AQ38" i="30"/>
  <c r="AR38" i="30" s="1"/>
  <c r="AS38" i="30" s="1"/>
  <c r="AQ37" i="30"/>
  <c r="AQ35" i="30"/>
  <c r="AQ34" i="30"/>
  <c r="AR34" i="30" s="1"/>
  <c r="AS34" i="30" s="1"/>
  <c r="AQ32" i="30"/>
  <c r="AR32" i="30" s="1"/>
  <c r="AS32" i="30" s="1"/>
  <c r="AQ30" i="30"/>
  <c r="AR30" i="30" s="1"/>
  <c r="AS30" i="30" s="1"/>
  <c r="AQ25" i="30"/>
  <c r="AR25" i="30" s="1"/>
  <c r="AS25" i="30" s="1"/>
  <c r="AQ23" i="30"/>
  <c r="AR23" i="30" s="1"/>
  <c r="AS23" i="30" s="1"/>
  <c r="AQ20" i="30"/>
  <c r="AR20" i="30" s="1"/>
  <c r="AS20" i="30" s="1"/>
  <c r="AQ18" i="30"/>
  <c r="AR18" i="30" s="1"/>
  <c r="AS18" i="30" s="1"/>
  <c r="AQ16" i="30"/>
  <c r="AR16" i="30" s="1"/>
  <c r="AS16" i="30" s="1"/>
  <c r="AQ14" i="30"/>
  <c r="AR14" i="30" s="1"/>
  <c r="AS14" i="30" s="1"/>
  <c r="AQ12" i="30"/>
  <c r="AR12" i="30" s="1"/>
  <c r="AS12" i="30" s="1"/>
  <c r="AQ7" i="30"/>
  <c r="AM61" i="30"/>
  <c r="AM59" i="30"/>
  <c r="AN59" i="30" s="1"/>
  <c r="AO59" i="30" s="1"/>
  <c r="AM57" i="30"/>
  <c r="AN57" i="30" s="1"/>
  <c r="AO57" i="30" s="1"/>
  <c r="AM56" i="30"/>
  <c r="AN56" i="30" s="1"/>
  <c r="AO56" i="30" s="1"/>
  <c r="AM54" i="30"/>
  <c r="AN54" i="30" s="1"/>
  <c r="AO54" i="30" s="1"/>
  <c r="AM51" i="30"/>
  <c r="AN51" i="30" s="1"/>
  <c r="AO51" i="30" s="1"/>
  <c r="AM49" i="30"/>
  <c r="AN49" i="30" s="1"/>
  <c r="AO49" i="30" s="1"/>
  <c r="AM48" i="30"/>
  <c r="AN48" i="30" s="1"/>
  <c r="AO48" i="30" s="1"/>
  <c r="AM46" i="30"/>
  <c r="AN46" i="30" s="1"/>
  <c r="AO46" i="30" s="1"/>
  <c r="AM44" i="30"/>
  <c r="AN44" i="30" s="1"/>
  <c r="AO44" i="30" s="1"/>
  <c r="AM43" i="30"/>
  <c r="AN43" i="30" s="1"/>
  <c r="AO43" i="30" s="1"/>
  <c r="AM41" i="30"/>
  <c r="AM38" i="30"/>
  <c r="AM37" i="30"/>
  <c r="AN37" i="30" s="1"/>
  <c r="AO37" i="30" s="1"/>
  <c r="AM35" i="30"/>
  <c r="AM34" i="30"/>
  <c r="AN34" i="30" s="1"/>
  <c r="AO34" i="30" s="1"/>
  <c r="AM32" i="30"/>
  <c r="AN32" i="30" s="1"/>
  <c r="AO32" i="30" s="1"/>
  <c r="AM30" i="30"/>
  <c r="AN30" i="30" s="1"/>
  <c r="AO30" i="30" s="1"/>
  <c r="AM25" i="30"/>
  <c r="AN25" i="30" s="1"/>
  <c r="AO25" i="30" s="1"/>
  <c r="AM23" i="30"/>
  <c r="AN23" i="30" s="1"/>
  <c r="AO23" i="30" s="1"/>
  <c r="AM20" i="30"/>
  <c r="AN20" i="30" s="1"/>
  <c r="AO20" i="30" s="1"/>
  <c r="AM18" i="30"/>
  <c r="AN18" i="30" s="1"/>
  <c r="AO18" i="30" s="1"/>
  <c r="AM16" i="30"/>
  <c r="AN16" i="30" s="1"/>
  <c r="AO16" i="30" s="1"/>
  <c r="AM14" i="30"/>
  <c r="AM12" i="30"/>
  <c r="AN12" i="30" s="1"/>
  <c r="AO12" i="30" s="1"/>
  <c r="AM7" i="30"/>
  <c r="AI61" i="30"/>
  <c r="AJ61" i="30" s="1"/>
  <c r="AK61" i="30" s="1"/>
  <c r="AI59" i="30"/>
  <c r="AJ59" i="30" s="1"/>
  <c r="AK59" i="30" s="1"/>
  <c r="AI57" i="30"/>
  <c r="AJ57" i="30" s="1"/>
  <c r="AK57" i="30" s="1"/>
  <c r="AI56" i="30"/>
  <c r="AJ56" i="30" s="1"/>
  <c r="AK56" i="30" s="1"/>
  <c r="AI54" i="30"/>
  <c r="AJ54" i="30" s="1"/>
  <c r="AK54" i="30" s="1"/>
  <c r="AI51" i="30"/>
  <c r="AJ51" i="30" s="1"/>
  <c r="AK51" i="30" s="1"/>
  <c r="AI49" i="30"/>
  <c r="AJ49" i="30" s="1"/>
  <c r="AK49" i="30" s="1"/>
  <c r="AI48" i="30"/>
  <c r="AJ48" i="30" s="1"/>
  <c r="AK48" i="30" s="1"/>
  <c r="AI46" i="30"/>
  <c r="AJ46" i="30" s="1"/>
  <c r="AK46" i="30" s="1"/>
  <c r="AI44" i="30"/>
  <c r="AI43" i="30"/>
  <c r="AI41" i="30"/>
  <c r="AI38" i="30"/>
  <c r="AJ38" i="30" s="1"/>
  <c r="AK38" i="30" s="1"/>
  <c r="AI37" i="30"/>
  <c r="AJ37" i="30" s="1"/>
  <c r="AK37" i="30" s="1"/>
  <c r="AI35" i="30"/>
  <c r="AJ35" i="30" s="1"/>
  <c r="AK35" i="30" s="1"/>
  <c r="AI34" i="30"/>
  <c r="AJ34" i="30" s="1"/>
  <c r="AK34" i="30" s="1"/>
  <c r="AI32" i="30"/>
  <c r="AJ32" i="30" s="1"/>
  <c r="AK32" i="30" s="1"/>
  <c r="AI30" i="30"/>
  <c r="AJ30" i="30" s="1"/>
  <c r="AK30" i="30" s="1"/>
  <c r="AI25" i="30"/>
  <c r="AJ25" i="30" s="1"/>
  <c r="AK25" i="30" s="1"/>
  <c r="AI23" i="30"/>
  <c r="AJ23" i="30" s="1"/>
  <c r="AK23" i="30" s="1"/>
  <c r="AI20" i="30"/>
  <c r="AJ20" i="30" s="1"/>
  <c r="AK20" i="30" s="1"/>
  <c r="AI18" i="30"/>
  <c r="AI16" i="30"/>
  <c r="AI14" i="30"/>
  <c r="AI12" i="30"/>
  <c r="AJ12" i="30" s="1"/>
  <c r="AK12" i="30" s="1"/>
  <c r="AI7" i="30"/>
  <c r="AE61" i="30"/>
  <c r="AF61" i="30" s="1"/>
  <c r="AG61" i="30" s="1"/>
  <c r="AE59" i="30"/>
  <c r="AF59" i="30" s="1"/>
  <c r="AG59" i="30" s="1"/>
  <c r="AE57" i="30"/>
  <c r="AF57" i="30" s="1"/>
  <c r="AG57" i="30" s="1"/>
  <c r="AE56" i="30"/>
  <c r="AF56" i="30" s="1"/>
  <c r="AG56" i="30" s="1"/>
  <c r="AE54" i="30"/>
  <c r="AF54" i="30" s="1"/>
  <c r="AG54" i="30" s="1"/>
  <c r="AE51" i="30"/>
  <c r="AF51" i="30" s="1"/>
  <c r="AG51" i="30" s="1"/>
  <c r="AE49" i="30"/>
  <c r="AF49" i="30" s="1"/>
  <c r="AG49" i="30" s="1"/>
  <c r="AE48" i="30"/>
  <c r="AE46" i="30"/>
  <c r="AE44" i="30"/>
  <c r="AE43" i="30"/>
  <c r="AF43" i="30" s="1"/>
  <c r="AG43" i="30" s="1"/>
  <c r="AE41" i="30"/>
  <c r="AF41" i="30" s="1"/>
  <c r="AG41" i="30" s="1"/>
  <c r="AE38" i="30"/>
  <c r="AF38" i="30" s="1"/>
  <c r="AG38" i="30" s="1"/>
  <c r="AE37" i="30"/>
  <c r="AF37" i="30" s="1"/>
  <c r="AG37" i="30" s="1"/>
  <c r="AE35" i="30"/>
  <c r="AF35" i="30" s="1"/>
  <c r="AG35" i="30" s="1"/>
  <c r="AE34" i="30"/>
  <c r="AF34" i="30" s="1"/>
  <c r="AG34" i="30" s="1"/>
  <c r="AE32" i="30"/>
  <c r="AF32" i="30" s="1"/>
  <c r="AG32" i="30" s="1"/>
  <c r="AE30" i="30"/>
  <c r="AF30" i="30" s="1"/>
  <c r="AG30" i="30" s="1"/>
  <c r="AE25" i="30"/>
  <c r="AF25" i="30" s="1"/>
  <c r="AG25" i="30" s="1"/>
  <c r="AE23" i="30"/>
  <c r="AE20" i="30"/>
  <c r="AE18" i="30"/>
  <c r="AE16" i="30"/>
  <c r="AE14" i="30"/>
  <c r="AE12" i="30"/>
  <c r="AF12" i="30" s="1"/>
  <c r="AG12" i="30" s="1"/>
  <c r="AE7" i="30"/>
  <c r="AA64" i="30"/>
  <c r="AB64" i="30" s="1"/>
  <c r="AA63" i="30"/>
  <c r="AB63" i="30" s="1"/>
  <c r="AA62" i="30"/>
  <c r="AA60" i="30"/>
  <c r="AB60" i="30" s="1"/>
  <c r="AA59" i="30"/>
  <c r="AB59" i="30" s="1"/>
  <c r="AA58" i="30"/>
  <c r="AA57" i="30"/>
  <c r="AB57" i="30" s="1"/>
  <c r="AA56" i="30"/>
  <c r="AA55" i="30"/>
  <c r="AA54" i="30"/>
  <c r="AA53" i="30"/>
  <c r="AB53" i="30" s="1"/>
  <c r="AA51" i="30"/>
  <c r="AB51" i="30" s="1"/>
  <c r="AA50" i="30"/>
  <c r="AB50" i="30" s="1"/>
  <c r="AA48" i="30"/>
  <c r="AB48" i="30" s="1"/>
  <c r="AA47" i="30"/>
  <c r="AB47" i="30" s="1"/>
  <c r="AA45" i="30"/>
  <c r="AB45" i="30" s="1"/>
  <c r="AA43" i="30"/>
  <c r="AB43" i="30" s="1"/>
  <c r="AA42" i="30"/>
  <c r="AA41" i="30"/>
  <c r="AA39" i="30"/>
  <c r="AB39" i="30" s="1"/>
  <c r="AA38" i="30"/>
  <c r="AB38" i="30" s="1"/>
  <c r="AA36" i="30"/>
  <c r="AB36" i="30" s="1"/>
  <c r="AA35" i="30"/>
  <c r="AB35" i="30" s="1"/>
  <c r="AA34" i="30"/>
  <c r="AB34" i="30" s="1"/>
  <c r="AA33" i="30"/>
  <c r="AB33" i="30" s="1"/>
  <c r="AA31" i="30"/>
  <c r="AB31" i="30" s="1"/>
  <c r="AA30" i="30"/>
  <c r="AA28" i="30"/>
  <c r="AB28" i="30" s="1"/>
  <c r="AA27" i="30"/>
  <c r="AB27" i="30" s="1"/>
  <c r="AA25" i="30"/>
  <c r="AA24" i="30"/>
  <c r="AA23" i="30"/>
  <c r="AA22" i="30"/>
  <c r="AB22" i="30" s="1"/>
  <c r="AA21" i="30"/>
  <c r="AB21" i="30" s="1"/>
  <c r="AA20" i="30"/>
  <c r="AB20" i="30" s="1"/>
  <c r="AA19" i="30"/>
  <c r="AB19" i="30" s="1"/>
  <c r="AA18" i="30"/>
  <c r="AB18" i="30" s="1"/>
  <c r="AA17" i="30"/>
  <c r="AB17" i="30" s="1"/>
  <c r="AA16" i="30"/>
  <c r="AB16" i="30" s="1"/>
  <c r="AA15" i="30"/>
  <c r="AB15" i="30" s="1"/>
  <c r="AA14" i="30"/>
  <c r="AB14" i="30" s="1"/>
  <c r="AA13" i="30"/>
  <c r="AA12" i="30"/>
  <c r="AA11" i="30"/>
  <c r="AA10" i="30"/>
  <c r="AB10" i="30" s="1"/>
  <c r="AA9" i="30"/>
  <c r="AB9" i="30" s="1"/>
  <c r="AA8" i="30"/>
  <c r="AB8" i="30" s="1"/>
  <c r="AA7" i="30"/>
  <c r="AB7" i="30" s="1"/>
  <c r="AA6" i="30"/>
  <c r="AB6" i="30" s="1"/>
  <c r="AA5" i="30"/>
  <c r="X64" i="30"/>
  <c r="Y64" i="30" s="1"/>
  <c r="X63" i="30"/>
  <c r="Y63" i="30" s="1"/>
  <c r="X62" i="30"/>
  <c r="X60" i="30"/>
  <c r="X59" i="30"/>
  <c r="X58" i="30"/>
  <c r="Y58" i="30" s="1"/>
  <c r="X57" i="30"/>
  <c r="Y57" i="30" s="1"/>
  <c r="X56" i="30"/>
  <c r="Y56" i="30" s="1"/>
  <c r="X55" i="30"/>
  <c r="Y55" i="30" s="1"/>
  <c r="X54" i="30"/>
  <c r="X53" i="30"/>
  <c r="Y53" i="30" s="1"/>
  <c r="X51" i="30"/>
  <c r="Y51" i="30" s="1"/>
  <c r="X50" i="30"/>
  <c r="Y50" i="30" s="1"/>
  <c r="X48" i="30"/>
  <c r="Y48" i="30" s="1"/>
  <c r="X47" i="30"/>
  <c r="Y47" i="30" s="1"/>
  <c r="X45" i="30"/>
  <c r="X43" i="30"/>
  <c r="X42" i="30"/>
  <c r="Y42" i="30" s="1"/>
  <c r="X41" i="30"/>
  <c r="Y41" i="30" s="1"/>
  <c r="X39" i="30"/>
  <c r="Y39" i="30" s="1"/>
  <c r="X38" i="30"/>
  <c r="Y38" i="30" s="1"/>
  <c r="X36" i="30"/>
  <c r="Y36" i="30" s="1"/>
  <c r="X35" i="30"/>
  <c r="Y35" i="30" s="1"/>
  <c r="X34" i="30"/>
  <c r="Y34" i="30" s="1"/>
  <c r="X33" i="30"/>
  <c r="Y33" i="30" s="1"/>
  <c r="X31" i="30"/>
  <c r="Y31" i="30" s="1"/>
  <c r="X30" i="30"/>
  <c r="Y30" i="30" s="1"/>
  <c r="X28" i="30"/>
  <c r="X27" i="30"/>
  <c r="X25" i="30"/>
  <c r="X24" i="30"/>
  <c r="Y24" i="30" s="1"/>
  <c r="X23" i="30"/>
  <c r="Y23" i="30" s="1"/>
  <c r="X22" i="30"/>
  <c r="Y22" i="30" s="1"/>
  <c r="X21" i="30"/>
  <c r="Y21" i="30" s="1"/>
  <c r="X20" i="30"/>
  <c r="Y20" i="30" s="1"/>
  <c r="X19" i="30"/>
  <c r="Y19" i="30" s="1"/>
  <c r="X18" i="30"/>
  <c r="Y18" i="30" s="1"/>
  <c r="X17" i="30"/>
  <c r="Y17" i="30" s="1"/>
  <c r="X16" i="30"/>
  <c r="Y16" i="30" s="1"/>
  <c r="X15" i="30"/>
  <c r="X14" i="30"/>
  <c r="X13" i="30"/>
  <c r="X12" i="30"/>
  <c r="X11" i="30"/>
  <c r="Y11" i="30" s="1"/>
  <c r="X10" i="30"/>
  <c r="Y10" i="30" s="1"/>
  <c r="X9" i="30"/>
  <c r="Y9" i="30" s="1"/>
  <c r="X8" i="30"/>
  <c r="Y8" i="30" s="1"/>
  <c r="X7" i="30"/>
  <c r="Y7" i="30" s="1"/>
  <c r="X6" i="30"/>
  <c r="X5" i="30"/>
  <c r="U64" i="30"/>
  <c r="V64" i="30" s="1"/>
  <c r="U63" i="30"/>
  <c r="U62" i="30"/>
  <c r="U60" i="30"/>
  <c r="U59" i="30"/>
  <c r="V59" i="30" s="1"/>
  <c r="U58" i="30"/>
  <c r="V58" i="30" s="1"/>
  <c r="U57" i="30"/>
  <c r="V57" i="30" s="1"/>
  <c r="U56" i="30"/>
  <c r="V56" i="30" s="1"/>
  <c r="U55" i="30"/>
  <c r="V55" i="30" s="1"/>
  <c r="U54" i="30"/>
  <c r="V54" i="30" s="1"/>
  <c r="U53" i="30"/>
  <c r="V53" i="30" s="1"/>
  <c r="U51" i="30"/>
  <c r="V51" i="30" s="1"/>
  <c r="U50" i="30"/>
  <c r="V50" i="30" s="1"/>
  <c r="U48" i="30"/>
  <c r="U47" i="30"/>
  <c r="U45" i="30"/>
  <c r="V45" i="30" s="1"/>
  <c r="U43" i="30"/>
  <c r="V43" i="30" s="1"/>
  <c r="U42" i="30"/>
  <c r="V42" i="30" s="1"/>
  <c r="U41" i="30"/>
  <c r="V41" i="30" s="1"/>
  <c r="U39" i="30"/>
  <c r="V39" i="30" s="1"/>
  <c r="U38" i="30"/>
  <c r="V38" i="30" s="1"/>
  <c r="U36" i="30"/>
  <c r="V36" i="30" s="1"/>
  <c r="U35" i="30"/>
  <c r="V35" i="30" s="1"/>
  <c r="U34" i="30"/>
  <c r="V34" i="30" s="1"/>
  <c r="U33" i="30"/>
  <c r="V33" i="30" s="1"/>
  <c r="U31" i="30"/>
  <c r="U30" i="30"/>
  <c r="V30" i="30" s="1"/>
  <c r="U28" i="30"/>
  <c r="U27" i="30"/>
  <c r="U25" i="30"/>
  <c r="V25" i="30" s="1"/>
  <c r="U24" i="30"/>
  <c r="V24" i="30" s="1"/>
  <c r="U23" i="30"/>
  <c r="V23" i="30" s="1"/>
  <c r="U22" i="30"/>
  <c r="V22" i="30" s="1"/>
  <c r="U21" i="30"/>
  <c r="V21" i="30" s="1"/>
  <c r="U20" i="30"/>
  <c r="V20" i="30" s="1"/>
  <c r="U19" i="30"/>
  <c r="V19" i="30" s="1"/>
  <c r="U18" i="30"/>
  <c r="V18" i="30" s="1"/>
  <c r="U17" i="30"/>
  <c r="U16" i="30"/>
  <c r="V16" i="30" s="1"/>
  <c r="U15" i="30"/>
  <c r="U14" i="30"/>
  <c r="V14" i="30" s="1"/>
  <c r="U13" i="30"/>
  <c r="V13" i="30" s="1"/>
  <c r="U12" i="30"/>
  <c r="V12" i="30" s="1"/>
  <c r="U11" i="30"/>
  <c r="V11" i="30" s="1"/>
  <c r="U10" i="30"/>
  <c r="V10" i="30" s="1"/>
  <c r="U9" i="30"/>
  <c r="V9" i="30" s="1"/>
  <c r="U8" i="30"/>
  <c r="V8" i="30" s="1"/>
  <c r="U7" i="30"/>
  <c r="V7" i="30" s="1"/>
  <c r="U6" i="30"/>
  <c r="V6" i="30" s="1"/>
  <c r="U5" i="30"/>
  <c r="R64" i="30"/>
  <c r="S64" i="30" s="1"/>
  <c r="R63" i="30"/>
  <c r="S63" i="30" s="1"/>
  <c r="R62" i="30"/>
  <c r="R60" i="30"/>
  <c r="R59" i="30"/>
  <c r="S59" i="30" s="1"/>
  <c r="R58" i="30"/>
  <c r="S58" i="30" s="1"/>
  <c r="R57" i="30"/>
  <c r="S57" i="30" s="1"/>
  <c r="R56" i="30"/>
  <c r="S56" i="30" s="1"/>
  <c r="R55" i="30"/>
  <c r="S55" i="30" s="1"/>
  <c r="R54" i="30"/>
  <c r="S54" i="30" s="1"/>
  <c r="R53" i="30"/>
  <c r="S53" i="30" s="1"/>
  <c r="R51" i="30"/>
  <c r="R50" i="30"/>
  <c r="R48" i="30"/>
  <c r="R47" i="30"/>
  <c r="S47" i="30" s="1"/>
  <c r="R45" i="30"/>
  <c r="S45" i="30" s="1"/>
  <c r="R43" i="30"/>
  <c r="S43" i="30" s="1"/>
  <c r="R42" i="30"/>
  <c r="S42" i="30" s="1"/>
  <c r="R41" i="30"/>
  <c r="S41" i="30" s="1"/>
  <c r="R39" i="30"/>
  <c r="S39" i="30" s="1"/>
  <c r="R38" i="30"/>
  <c r="S38" i="30" s="1"/>
  <c r="R36" i="30"/>
  <c r="S36" i="30" s="1"/>
  <c r="R35" i="30"/>
  <c r="S35" i="30" s="1"/>
  <c r="R34" i="30"/>
  <c r="R33" i="30"/>
  <c r="S33" i="30" s="1"/>
  <c r="R31" i="30"/>
  <c r="S31" i="30" s="1"/>
  <c r="R30" i="30"/>
  <c r="S30" i="30" s="1"/>
  <c r="R28" i="30"/>
  <c r="S28" i="30" s="1"/>
  <c r="R27" i="30"/>
  <c r="S27" i="30" s="1"/>
  <c r="R25" i="30"/>
  <c r="S25" i="30" s="1"/>
  <c r="R24" i="30"/>
  <c r="S24" i="30" s="1"/>
  <c r="R23" i="30"/>
  <c r="S23" i="30" s="1"/>
  <c r="R22" i="30"/>
  <c r="S22" i="30" s="1"/>
  <c r="R21" i="30"/>
  <c r="S21" i="30" s="1"/>
  <c r="R20" i="30"/>
  <c r="S20" i="30" s="1"/>
  <c r="R19" i="30"/>
  <c r="R18" i="30"/>
  <c r="R17" i="30"/>
  <c r="R16" i="30"/>
  <c r="S16" i="30" s="1"/>
  <c r="R15" i="30"/>
  <c r="S15" i="30" s="1"/>
  <c r="R14" i="30"/>
  <c r="S14" i="30" s="1"/>
  <c r="R13" i="30"/>
  <c r="S13" i="30" s="1"/>
  <c r="R12" i="30"/>
  <c r="S12" i="30" s="1"/>
  <c r="R11" i="30"/>
  <c r="S11" i="30" s="1"/>
  <c r="R10" i="30"/>
  <c r="S10" i="30" s="1"/>
  <c r="R9" i="30"/>
  <c r="S9" i="30" s="1"/>
  <c r="R8" i="30"/>
  <c r="S8" i="30" s="1"/>
  <c r="R7" i="30"/>
  <c r="R6" i="30"/>
  <c r="S6" i="30" s="1"/>
  <c r="R5" i="30"/>
  <c r="O64" i="30"/>
  <c r="P64" i="30" s="1"/>
  <c r="O63" i="30"/>
  <c r="P63" i="30" s="1"/>
  <c r="O62" i="30"/>
  <c r="O60" i="30"/>
  <c r="P60" i="30" s="1"/>
  <c r="O59" i="30"/>
  <c r="P59" i="30" s="1"/>
  <c r="O58" i="30"/>
  <c r="P58" i="30" s="1"/>
  <c r="O57" i="30"/>
  <c r="P57" i="30" s="1"/>
  <c r="O56" i="30"/>
  <c r="P56" i="30" s="1"/>
  <c r="O55" i="30"/>
  <c r="P55" i="30" s="1"/>
  <c r="O54" i="30"/>
  <c r="O53" i="30"/>
  <c r="P53" i="30" s="1"/>
  <c r="O51" i="30"/>
  <c r="O50" i="30"/>
  <c r="P50" i="30" s="1"/>
  <c r="O48" i="30"/>
  <c r="O47" i="30"/>
  <c r="P47" i="30" s="1"/>
  <c r="O45" i="30"/>
  <c r="P45" i="30" s="1"/>
  <c r="O43" i="30"/>
  <c r="P43" i="30" s="1"/>
  <c r="O42" i="30"/>
  <c r="P42" i="30" s="1"/>
  <c r="O41" i="30"/>
  <c r="P41" i="30" s="1"/>
  <c r="O39" i="30"/>
  <c r="P39" i="30" s="1"/>
  <c r="O38" i="30"/>
  <c r="P38" i="30" s="1"/>
  <c r="O36" i="30"/>
  <c r="O35" i="30"/>
  <c r="O34" i="30"/>
  <c r="O33" i="30"/>
  <c r="P33" i="30" s="1"/>
  <c r="O31" i="30"/>
  <c r="P31" i="30" s="1"/>
  <c r="O30" i="30"/>
  <c r="P30" i="30" s="1"/>
  <c r="O28" i="30"/>
  <c r="P28" i="30" s="1"/>
  <c r="O27" i="30"/>
  <c r="P27" i="30" s="1"/>
  <c r="O25" i="30"/>
  <c r="P25" i="30" s="1"/>
  <c r="O24" i="30"/>
  <c r="P24" i="30" s="1"/>
  <c r="O23" i="30"/>
  <c r="P23" i="30" s="1"/>
  <c r="O22" i="30"/>
  <c r="P22" i="30" s="1"/>
  <c r="O21" i="30"/>
  <c r="O20" i="30"/>
  <c r="O19" i="30"/>
  <c r="P19" i="30" s="1"/>
  <c r="O18" i="30"/>
  <c r="O17" i="30"/>
  <c r="P17" i="30" s="1"/>
  <c r="O16" i="30"/>
  <c r="P16" i="30" s="1"/>
  <c r="O15" i="30"/>
  <c r="P15" i="30" s="1"/>
  <c r="O14" i="30"/>
  <c r="P14" i="30" s="1"/>
  <c r="O13" i="30"/>
  <c r="P13" i="30" s="1"/>
  <c r="O12" i="30"/>
  <c r="P12" i="30" s="1"/>
  <c r="O11" i="30"/>
  <c r="P11" i="30" s="1"/>
  <c r="O10" i="30"/>
  <c r="P10" i="30" s="1"/>
  <c r="O9" i="30"/>
  <c r="O8" i="30"/>
  <c r="O7" i="30"/>
  <c r="O6" i="30"/>
  <c r="P6" i="30" s="1"/>
  <c r="O5" i="30"/>
  <c r="L64" i="30"/>
  <c r="M64" i="30" s="1"/>
  <c r="L63" i="30"/>
  <c r="M63" i="30" s="1"/>
  <c r="L62" i="30"/>
  <c r="L60" i="30"/>
  <c r="M60" i="30" s="1"/>
  <c r="L59" i="30"/>
  <c r="M59" i="30" s="1"/>
  <c r="L58" i="30"/>
  <c r="M58" i="30" s="1"/>
  <c r="L57" i="30"/>
  <c r="M57" i="30" s="1"/>
  <c r="L56" i="30"/>
  <c r="L55" i="30"/>
  <c r="L54" i="30"/>
  <c r="M54" i="30" s="1"/>
  <c r="L53" i="30"/>
  <c r="M53" i="30" s="1"/>
  <c r="L51" i="30"/>
  <c r="M51" i="30" s="1"/>
  <c r="L50" i="30"/>
  <c r="M50" i="30" s="1"/>
  <c r="L48" i="30"/>
  <c r="M48" i="30" s="1"/>
  <c r="L47" i="30"/>
  <c r="M47" i="30" s="1"/>
  <c r="L45" i="30"/>
  <c r="M45" i="30" s="1"/>
  <c r="L43" i="30"/>
  <c r="M43" i="30" s="1"/>
  <c r="L42" i="30"/>
  <c r="M42" i="30" s="1"/>
  <c r="L41" i="30"/>
  <c r="M41" i="30" s="1"/>
  <c r="L39" i="30"/>
  <c r="L38" i="30"/>
  <c r="L36" i="30"/>
  <c r="L35" i="30"/>
  <c r="L34" i="30"/>
  <c r="M34" i="30" s="1"/>
  <c r="L33" i="30"/>
  <c r="M33" i="30" s="1"/>
  <c r="L31" i="30"/>
  <c r="M31" i="30" s="1"/>
  <c r="L30" i="30"/>
  <c r="M30" i="30" s="1"/>
  <c r="L28" i="30"/>
  <c r="M28" i="30" s="1"/>
  <c r="L27" i="30"/>
  <c r="M27" i="30" s="1"/>
  <c r="L25" i="30"/>
  <c r="M25" i="30" s="1"/>
  <c r="L24" i="30"/>
  <c r="M24" i="30" s="1"/>
  <c r="L23" i="30"/>
  <c r="L22" i="30"/>
  <c r="L21" i="30"/>
  <c r="M21" i="30" s="1"/>
  <c r="L20" i="30"/>
  <c r="L19" i="30"/>
  <c r="M19" i="30" s="1"/>
  <c r="L18" i="30"/>
  <c r="M18" i="30" s="1"/>
  <c r="L17" i="30"/>
  <c r="M17" i="30" s="1"/>
  <c r="L16" i="30"/>
  <c r="M16" i="30" s="1"/>
  <c r="L15" i="30"/>
  <c r="M15" i="30" s="1"/>
  <c r="L14" i="30"/>
  <c r="M14" i="30" s="1"/>
  <c r="L13" i="30"/>
  <c r="M13" i="30" s="1"/>
  <c r="L12" i="30"/>
  <c r="M12" i="30" s="1"/>
  <c r="L11" i="30"/>
  <c r="L10" i="30"/>
  <c r="M10" i="30" s="1"/>
  <c r="L9" i="30"/>
  <c r="M9" i="30" s="1"/>
  <c r="L8" i="30"/>
  <c r="M8" i="30" s="1"/>
  <c r="L7" i="30"/>
  <c r="M7" i="30" s="1"/>
  <c r="L6" i="30"/>
  <c r="M6" i="30" s="1"/>
  <c r="L5" i="30"/>
  <c r="I64" i="30"/>
  <c r="J64" i="30" s="1"/>
  <c r="I63" i="30"/>
  <c r="J63" i="30" s="1"/>
  <c r="I62" i="30"/>
  <c r="I60" i="30"/>
  <c r="J60" i="30" s="1"/>
  <c r="I59" i="30"/>
  <c r="J59" i="30" s="1"/>
  <c r="I58" i="30"/>
  <c r="I57" i="30"/>
  <c r="J57" i="30" s="1"/>
  <c r="I56" i="30"/>
  <c r="J56" i="30" s="1"/>
  <c r="I55" i="30"/>
  <c r="J55" i="30" s="1"/>
  <c r="I54" i="30"/>
  <c r="J54" i="30" s="1"/>
  <c r="I53" i="30"/>
  <c r="J53" i="30" s="1"/>
  <c r="I51" i="30"/>
  <c r="J51" i="30" s="1"/>
  <c r="I50" i="30"/>
  <c r="J50" i="30" s="1"/>
  <c r="I48" i="30"/>
  <c r="J48" i="30" s="1"/>
  <c r="I47" i="30"/>
  <c r="J47" i="30" s="1"/>
  <c r="I45" i="30"/>
  <c r="J45" i="30" s="1"/>
  <c r="I43" i="30"/>
  <c r="J43" i="30" s="1"/>
  <c r="I42" i="30"/>
  <c r="I41" i="30"/>
  <c r="I39" i="30"/>
  <c r="I38" i="30"/>
  <c r="I36" i="30"/>
  <c r="J36" i="30" s="1"/>
  <c r="I35" i="30"/>
  <c r="J35" i="30" s="1"/>
  <c r="I34" i="30"/>
  <c r="J34" i="30" s="1"/>
  <c r="I33" i="30"/>
  <c r="J33" i="30" s="1"/>
  <c r="I31" i="30"/>
  <c r="J31" i="30" s="1"/>
  <c r="I30" i="30"/>
  <c r="J30" i="30" s="1"/>
  <c r="I28" i="30"/>
  <c r="J28" i="30" s="1"/>
  <c r="I27" i="30"/>
  <c r="J27" i="30" s="1"/>
  <c r="I25" i="30"/>
  <c r="I24" i="30"/>
  <c r="I23" i="30"/>
  <c r="I22" i="30"/>
  <c r="J22" i="30" s="1"/>
  <c r="I21" i="30"/>
  <c r="J21" i="30" s="1"/>
  <c r="I20" i="30"/>
  <c r="J20" i="30" s="1"/>
  <c r="I19" i="30"/>
  <c r="J19" i="30" s="1"/>
  <c r="I18" i="30"/>
  <c r="J18" i="30" s="1"/>
  <c r="I17" i="30"/>
  <c r="J17" i="30" s="1"/>
  <c r="I16" i="30"/>
  <c r="J16" i="30" s="1"/>
  <c r="I15" i="30"/>
  <c r="J15" i="30" s="1"/>
  <c r="I14" i="30"/>
  <c r="J14" i="30" s="1"/>
  <c r="I13" i="30"/>
  <c r="I12" i="30"/>
  <c r="I11" i="30"/>
  <c r="J11" i="30" s="1"/>
  <c r="I10" i="30"/>
  <c r="J10" i="30" s="1"/>
  <c r="I9" i="30"/>
  <c r="J9" i="30" s="1"/>
  <c r="I8" i="30"/>
  <c r="J8" i="30" s="1"/>
  <c r="I7" i="30"/>
  <c r="J7" i="30" s="1"/>
  <c r="I6" i="30"/>
  <c r="J6" i="30" s="1"/>
  <c r="I5" i="30"/>
  <c r="F59" i="30"/>
  <c r="G59" i="30" s="1"/>
  <c r="F60" i="30"/>
  <c r="G60" i="30" s="1"/>
  <c r="F62" i="30"/>
  <c r="F63" i="30"/>
  <c r="F64" i="30"/>
  <c r="G64" i="30" s="1"/>
  <c r="F58" i="30"/>
  <c r="G58" i="30" s="1"/>
  <c r="F57" i="30"/>
  <c r="G57" i="30" s="1"/>
  <c r="F56" i="30"/>
  <c r="G56" i="30" s="1"/>
  <c r="F55" i="30"/>
  <c r="G55" i="30" s="1"/>
  <c r="F54" i="30"/>
  <c r="G54" i="30" s="1"/>
  <c r="F53" i="30"/>
  <c r="G53" i="30" s="1"/>
  <c r="F51" i="30"/>
  <c r="G51" i="30" s="1"/>
  <c r="F50" i="30"/>
  <c r="G50" i="30" s="1"/>
  <c r="F48" i="30"/>
  <c r="G48" i="30" s="1"/>
  <c r="F47" i="30"/>
  <c r="G47" i="30" s="1"/>
  <c r="F45" i="30"/>
  <c r="F43" i="30"/>
  <c r="F42" i="30"/>
  <c r="G42" i="30" s="1"/>
  <c r="F41" i="30"/>
  <c r="F39" i="30"/>
  <c r="G39" i="30" s="1"/>
  <c r="F38" i="30"/>
  <c r="G38" i="30" s="1"/>
  <c r="F36" i="30"/>
  <c r="G36" i="30" s="1"/>
  <c r="F35" i="30"/>
  <c r="G35" i="30" s="1"/>
  <c r="F34" i="30"/>
  <c r="G34" i="30" s="1"/>
  <c r="F33" i="30"/>
  <c r="G33" i="30" s="1"/>
  <c r="F31" i="30"/>
  <c r="G31" i="30" s="1"/>
  <c r="F30" i="30"/>
  <c r="G30" i="30" s="1"/>
  <c r="F28" i="30"/>
  <c r="F27" i="30"/>
  <c r="F6" i="30"/>
  <c r="G6" i="30" s="1"/>
  <c r="F7" i="30"/>
  <c r="G7" i="30" s="1"/>
  <c r="F8" i="30"/>
  <c r="G8" i="30" s="1"/>
  <c r="F9" i="30"/>
  <c r="G9" i="30" s="1"/>
  <c r="F10" i="30"/>
  <c r="G10" i="30" s="1"/>
  <c r="F11" i="30"/>
  <c r="G11" i="30" s="1"/>
  <c r="F12" i="30"/>
  <c r="G12" i="30" s="1"/>
  <c r="F13" i="30"/>
  <c r="G13" i="30" s="1"/>
  <c r="F14" i="30"/>
  <c r="G14" i="30" s="1"/>
  <c r="F15" i="30"/>
  <c r="G15" i="30" s="1"/>
  <c r="F16" i="30"/>
  <c r="F17" i="30"/>
  <c r="F18" i="30"/>
  <c r="G18" i="30" s="1"/>
  <c r="F19" i="30"/>
  <c r="G19" i="30" s="1"/>
  <c r="F20" i="30"/>
  <c r="G20" i="30" s="1"/>
  <c r="F21" i="30"/>
  <c r="G21" i="30" s="1"/>
  <c r="F22" i="30"/>
  <c r="G22" i="30" s="1"/>
  <c r="F23" i="30"/>
  <c r="G23" i="30" s="1"/>
  <c r="F24" i="30"/>
  <c r="G24" i="30" s="1"/>
  <c r="F25" i="30"/>
  <c r="G25" i="30" s="1"/>
  <c r="F5" i="30"/>
  <c r="AT65" i="30"/>
  <c r="AP65" i="30"/>
  <c r="AL65" i="30"/>
  <c r="AD65" i="30"/>
  <c r="Z65" i="30"/>
  <c r="W65" i="30"/>
  <c r="T65" i="30"/>
  <c r="Q65" i="30"/>
  <c r="N65" i="30"/>
  <c r="K65" i="30"/>
  <c r="H65" i="30"/>
  <c r="E65" i="30"/>
  <c r="V63" i="30"/>
  <c r="G63" i="30"/>
  <c r="AN61" i="30"/>
  <c r="AO61" i="30" s="1"/>
  <c r="Y60" i="30"/>
  <c r="V60" i="30"/>
  <c r="S60" i="30"/>
  <c r="AR59" i="30"/>
  <c r="AS59" i="30" s="1"/>
  <c r="Y59" i="30"/>
  <c r="AB58" i="30"/>
  <c r="J58" i="30"/>
  <c r="AR57" i="30"/>
  <c r="AS57" i="30" s="1"/>
  <c r="AV56" i="30"/>
  <c r="AW56" i="30" s="1"/>
  <c r="AR56" i="30"/>
  <c r="AS56" i="30" s="1"/>
  <c r="AB56" i="30"/>
  <c r="M56" i="30"/>
  <c r="AB55" i="30"/>
  <c r="M55" i="30"/>
  <c r="AV54" i="30"/>
  <c r="AW54" i="30" s="1"/>
  <c r="AB54" i="30"/>
  <c r="Y54" i="30"/>
  <c r="P54" i="30"/>
  <c r="S51" i="30"/>
  <c r="P51" i="30"/>
  <c r="S50" i="30"/>
  <c r="AF48" i="30"/>
  <c r="AG48" i="30" s="1"/>
  <c r="V48" i="30"/>
  <c r="P48" i="30"/>
  <c r="V47" i="30"/>
  <c r="AF46" i="30"/>
  <c r="AG46" i="30" s="1"/>
  <c r="Y45" i="30"/>
  <c r="G45" i="30"/>
  <c r="AJ44" i="30"/>
  <c r="AK44" i="30" s="1"/>
  <c r="AF44" i="30"/>
  <c r="AG44" i="30" s="1"/>
  <c r="AJ43" i="30"/>
  <c r="AK43" i="30" s="1"/>
  <c r="Y43" i="30"/>
  <c r="G43" i="30"/>
  <c r="AB42" i="30"/>
  <c r="J42" i="30"/>
  <c r="AN41" i="30"/>
  <c r="AO41" i="30" s="1"/>
  <c r="AJ41" i="30"/>
  <c r="AK41" i="30" s="1"/>
  <c r="AB41" i="30"/>
  <c r="J41" i="30"/>
  <c r="G41" i="30"/>
  <c r="M39" i="30"/>
  <c r="J39" i="30"/>
  <c r="AN38" i="30"/>
  <c r="AO38" i="30" s="1"/>
  <c r="M38" i="30"/>
  <c r="J38" i="30"/>
  <c r="AR37" i="30"/>
  <c r="AS37" i="30" s="1"/>
  <c r="P36" i="30"/>
  <c r="M36" i="30"/>
  <c r="AR35" i="30"/>
  <c r="AS35" i="30" s="1"/>
  <c r="AN35" i="30"/>
  <c r="AO35" i="30" s="1"/>
  <c r="P35" i="30"/>
  <c r="M35" i="30"/>
  <c r="AV34" i="30"/>
  <c r="AW34" i="30" s="1"/>
  <c r="S34" i="30"/>
  <c r="P34" i="30"/>
  <c r="AV32" i="30"/>
  <c r="AW32" i="30" s="1"/>
  <c r="V31" i="30"/>
  <c r="AB30" i="30"/>
  <c r="AV29" i="30"/>
  <c r="AW29" i="30" s="1"/>
  <c r="AR29" i="30"/>
  <c r="AS29" i="30" s="1"/>
  <c r="AN29" i="30"/>
  <c r="AO29" i="30" s="1"/>
  <c r="AJ29" i="30"/>
  <c r="AK29" i="30" s="1"/>
  <c r="AF29" i="30"/>
  <c r="AG29" i="30" s="1"/>
  <c r="Y28" i="30"/>
  <c r="V28" i="30"/>
  <c r="G28" i="30"/>
  <c r="AV27" i="30"/>
  <c r="AW27" i="30" s="1"/>
  <c r="AR27" i="30"/>
  <c r="AS27" i="30" s="1"/>
  <c r="AN27" i="30"/>
  <c r="AO27" i="30" s="1"/>
  <c r="AJ27" i="30"/>
  <c r="AK27" i="30" s="1"/>
  <c r="AF27" i="30"/>
  <c r="AG27" i="30" s="1"/>
  <c r="Y27" i="30"/>
  <c r="V27" i="30"/>
  <c r="G27" i="30"/>
  <c r="AV25" i="30"/>
  <c r="AW25" i="30" s="1"/>
  <c r="AB25" i="30"/>
  <c r="Y25" i="30"/>
  <c r="J25" i="30"/>
  <c r="AB24" i="30"/>
  <c r="J24" i="30"/>
  <c r="AF23" i="30"/>
  <c r="AG23" i="30" s="1"/>
  <c r="AB23" i="30"/>
  <c r="M23" i="30"/>
  <c r="J23" i="30"/>
  <c r="M22" i="30"/>
  <c r="P21" i="30"/>
  <c r="AF20" i="30"/>
  <c r="AG20" i="30" s="1"/>
  <c r="P20" i="30"/>
  <c r="M20" i="30"/>
  <c r="S19" i="30"/>
  <c r="AJ18" i="30"/>
  <c r="AK18" i="30" s="1"/>
  <c r="AF18" i="30"/>
  <c r="AG18" i="30" s="1"/>
  <c r="S18" i="30"/>
  <c r="P18" i="30"/>
  <c r="V17" i="30"/>
  <c r="S17" i="30"/>
  <c r="G17" i="30"/>
  <c r="AJ16" i="30"/>
  <c r="AK16" i="30" s="1"/>
  <c r="AF16" i="30"/>
  <c r="AG16" i="30" s="1"/>
  <c r="G16" i="30"/>
  <c r="Y15" i="30"/>
  <c r="V15" i="30"/>
  <c r="AN14" i="30"/>
  <c r="AO14" i="30" s="1"/>
  <c r="AJ14" i="30"/>
  <c r="AK14" i="30" s="1"/>
  <c r="AF14" i="30"/>
  <c r="AG14" i="30" s="1"/>
  <c r="Y14" i="30"/>
  <c r="AB13" i="30"/>
  <c r="Y13" i="30"/>
  <c r="J13" i="30"/>
  <c r="AB12" i="30"/>
  <c r="Y12" i="30"/>
  <c r="J12" i="30"/>
  <c r="AB11" i="30"/>
  <c r="M11" i="30"/>
  <c r="P9" i="30"/>
  <c r="P8" i="30"/>
  <c r="S7" i="30"/>
  <c r="P7" i="30"/>
  <c r="Y6" i="30"/>
  <c r="AU61" i="29"/>
  <c r="AV61" i="29" s="1"/>
  <c r="AW61" i="29" s="1"/>
  <c r="AU59" i="29"/>
  <c r="AU57" i="29"/>
  <c r="AU56" i="29"/>
  <c r="AV56" i="29" s="1"/>
  <c r="AW56" i="29" s="1"/>
  <c r="AU51" i="29"/>
  <c r="AV51" i="29" s="1"/>
  <c r="AW51" i="29" s="1"/>
  <c r="AU49" i="29"/>
  <c r="AV49" i="29" s="1"/>
  <c r="AW49" i="29" s="1"/>
  <c r="AU48" i="29"/>
  <c r="AV48" i="29" s="1"/>
  <c r="AW48" i="29" s="1"/>
  <c r="AU46" i="29"/>
  <c r="AV46" i="29" s="1"/>
  <c r="AW46" i="29" s="1"/>
  <c r="AU44" i="29"/>
  <c r="AV44" i="29" s="1"/>
  <c r="AW44" i="29" s="1"/>
  <c r="AU43" i="29"/>
  <c r="AV43" i="29" s="1"/>
  <c r="AW43" i="29" s="1"/>
  <c r="AU41" i="29"/>
  <c r="AV41" i="29" s="1"/>
  <c r="AW41" i="29" s="1"/>
  <c r="AU38" i="29"/>
  <c r="AV38" i="29" s="1"/>
  <c r="AW38" i="29" s="1"/>
  <c r="AU37" i="29"/>
  <c r="AV37" i="29" s="1"/>
  <c r="AW37" i="29" s="1"/>
  <c r="AU35" i="29"/>
  <c r="AU34" i="29"/>
  <c r="AV34" i="29" s="1"/>
  <c r="AW34" i="29" s="1"/>
  <c r="AU32" i="29"/>
  <c r="AV32" i="29" s="1"/>
  <c r="AW32" i="29" s="1"/>
  <c r="AU30" i="29"/>
  <c r="AV30" i="29" s="1"/>
  <c r="AW30" i="29" s="1"/>
  <c r="AU29" i="29"/>
  <c r="AV29" i="29" s="1"/>
  <c r="AW29" i="29" s="1"/>
  <c r="AU27" i="29"/>
  <c r="AV27" i="29" s="1"/>
  <c r="AW27" i="29" s="1"/>
  <c r="AU25" i="29"/>
  <c r="AV25" i="29" s="1"/>
  <c r="AW25" i="29" s="1"/>
  <c r="AU23" i="29"/>
  <c r="AV23" i="29" s="1"/>
  <c r="AW23" i="29" s="1"/>
  <c r="AU20" i="29"/>
  <c r="AV20" i="29" s="1"/>
  <c r="AW20" i="29" s="1"/>
  <c r="AU18" i="29"/>
  <c r="AV18" i="29" s="1"/>
  <c r="AW18" i="29" s="1"/>
  <c r="AU16" i="29"/>
  <c r="AV16" i="29" s="1"/>
  <c r="AW16" i="29" s="1"/>
  <c r="AU14" i="29"/>
  <c r="AV14" i="29" s="1"/>
  <c r="AW14" i="29" s="1"/>
  <c r="AU12" i="29"/>
  <c r="AU7" i="29"/>
  <c r="AQ61" i="29"/>
  <c r="AR61" i="29" s="1"/>
  <c r="AS61" i="29" s="1"/>
  <c r="AQ59" i="29"/>
  <c r="AR59" i="29" s="1"/>
  <c r="AS59" i="29" s="1"/>
  <c r="AQ57" i="29"/>
  <c r="AR57" i="29" s="1"/>
  <c r="AS57" i="29" s="1"/>
  <c r="AQ56" i="29"/>
  <c r="AR56" i="29" s="1"/>
  <c r="AS56" i="29" s="1"/>
  <c r="AQ51" i="29"/>
  <c r="AR51" i="29" s="1"/>
  <c r="AS51" i="29" s="1"/>
  <c r="AQ49" i="29"/>
  <c r="AR49" i="29" s="1"/>
  <c r="AS49" i="29" s="1"/>
  <c r="AQ48" i="29"/>
  <c r="AR48" i="29" s="1"/>
  <c r="AS48" i="29" s="1"/>
  <c r="AQ46" i="29"/>
  <c r="AR46" i="29" s="1"/>
  <c r="AS46" i="29" s="1"/>
  <c r="AQ44" i="29"/>
  <c r="AR44" i="29" s="1"/>
  <c r="AS44" i="29" s="1"/>
  <c r="AQ43" i="29"/>
  <c r="AR43" i="29" s="1"/>
  <c r="AS43" i="29" s="1"/>
  <c r="AQ41" i="29"/>
  <c r="AQ38" i="29"/>
  <c r="AQ37" i="29"/>
  <c r="AR37" i="29" s="1"/>
  <c r="AS37" i="29" s="1"/>
  <c r="AQ35" i="29"/>
  <c r="AR35" i="29" s="1"/>
  <c r="AS35" i="29" s="1"/>
  <c r="AQ34" i="29"/>
  <c r="AR34" i="29" s="1"/>
  <c r="AS34" i="29" s="1"/>
  <c r="AQ32" i="29"/>
  <c r="AR32" i="29" s="1"/>
  <c r="AS32" i="29" s="1"/>
  <c r="AQ30" i="29"/>
  <c r="AR30" i="29" s="1"/>
  <c r="AS30" i="29" s="1"/>
  <c r="AQ29" i="29"/>
  <c r="AR29" i="29" s="1"/>
  <c r="AS29" i="29" s="1"/>
  <c r="AQ27" i="29"/>
  <c r="AR27" i="29" s="1"/>
  <c r="AS27" i="29" s="1"/>
  <c r="AQ25" i="29"/>
  <c r="AR25" i="29" s="1"/>
  <c r="AS25" i="29" s="1"/>
  <c r="AQ23" i="29"/>
  <c r="AR23" i="29" s="1"/>
  <c r="AS23" i="29" s="1"/>
  <c r="AQ20" i="29"/>
  <c r="AR20" i="29" s="1"/>
  <c r="AS20" i="29" s="1"/>
  <c r="AQ18" i="29"/>
  <c r="AQ16" i="29"/>
  <c r="AR16" i="29" s="1"/>
  <c r="AS16" i="29" s="1"/>
  <c r="AQ14" i="29"/>
  <c r="AR14" i="29" s="1"/>
  <c r="AS14" i="29" s="1"/>
  <c r="AQ12" i="29"/>
  <c r="AR12" i="29" s="1"/>
  <c r="AS12" i="29" s="1"/>
  <c r="AQ7" i="29"/>
  <c r="AM61" i="29"/>
  <c r="AN61" i="29" s="1"/>
  <c r="AO61" i="29" s="1"/>
  <c r="AM59" i="29"/>
  <c r="AN59" i="29" s="1"/>
  <c r="AO59" i="29" s="1"/>
  <c r="AM57" i="29"/>
  <c r="AN57" i="29" s="1"/>
  <c r="AO57" i="29" s="1"/>
  <c r="AM56" i="29"/>
  <c r="AN56" i="29" s="1"/>
  <c r="AO56" i="29" s="1"/>
  <c r="AM51" i="29"/>
  <c r="AN51" i="29" s="1"/>
  <c r="AO51" i="29" s="1"/>
  <c r="AM49" i="29"/>
  <c r="AN49" i="29" s="1"/>
  <c r="AO49" i="29" s="1"/>
  <c r="AM48" i="29"/>
  <c r="AN48" i="29" s="1"/>
  <c r="AO48" i="29" s="1"/>
  <c r="AM46" i="29"/>
  <c r="AM44" i="29"/>
  <c r="AN44" i="29" s="1"/>
  <c r="AO44" i="29" s="1"/>
  <c r="AM43" i="29"/>
  <c r="AN43" i="29" s="1"/>
  <c r="AO43" i="29" s="1"/>
  <c r="AM41" i="29"/>
  <c r="AN41" i="29" s="1"/>
  <c r="AO41" i="29" s="1"/>
  <c r="AM38" i="29"/>
  <c r="AN38" i="29" s="1"/>
  <c r="AO38" i="29" s="1"/>
  <c r="AM37" i="29"/>
  <c r="AN37" i="29" s="1"/>
  <c r="AO37" i="29" s="1"/>
  <c r="AM35" i="29"/>
  <c r="AN35" i="29" s="1"/>
  <c r="AO35" i="29" s="1"/>
  <c r="AM34" i="29"/>
  <c r="AN34" i="29" s="1"/>
  <c r="AO34" i="29" s="1"/>
  <c r="AM32" i="29"/>
  <c r="AN32" i="29" s="1"/>
  <c r="AO32" i="29" s="1"/>
  <c r="AM30" i="29"/>
  <c r="AN30" i="29" s="1"/>
  <c r="AO30" i="29" s="1"/>
  <c r="AM29" i="29"/>
  <c r="AN29" i="29" s="1"/>
  <c r="AO29" i="29" s="1"/>
  <c r="AM27" i="29"/>
  <c r="AN27" i="29" s="1"/>
  <c r="AO27" i="29" s="1"/>
  <c r="AM25" i="29"/>
  <c r="AN25" i="29" s="1"/>
  <c r="AO25" i="29" s="1"/>
  <c r="AM23" i="29"/>
  <c r="AM20" i="29"/>
  <c r="AN20" i="29" s="1"/>
  <c r="AO20" i="29" s="1"/>
  <c r="AM18" i="29"/>
  <c r="AN18" i="29" s="1"/>
  <c r="AO18" i="29" s="1"/>
  <c r="AM16" i="29"/>
  <c r="AN16" i="29" s="1"/>
  <c r="AO16" i="29" s="1"/>
  <c r="AM14" i="29"/>
  <c r="AN14" i="29" s="1"/>
  <c r="AO14" i="29" s="1"/>
  <c r="AM12" i="29"/>
  <c r="AN12" i="29" s="1"/>
  <c r="AO12" i="29" s="1"/>
  <c r="AM7" i="29"/>
  <c r="AI61" i="29"/>
  <c r="AJ61" i="29" s="1"/>
  <c r="AK61" i="29" s="1"/>
  <c r="AI59" i="29"/>
  <c r="AJ59" i="29" s="1"/>
  <c r="AK59" i="29" s="1"/>
  <c r="AI57" i="29"/>
  <c r="AJ57" i="29" s="1"/>
  <c r="AK57" i="29" s="1"/>
  <c r="AI56" i="29"/>
  <c r="AJ56" i="29" s="1"/>
  <c r="AK56" i="29" s="1"/>
  <c r="AI51" i="29"/>
  <c r="AI49" i="29"/>
  <c r="AI48" i="29"/>
  <c r="AJ48" i="29" s="1"/>
  <c r="AK48" i="29" s="1"/>
  <c r="AI46" i="29"/>
  <c r="AJ46" i="29" s="1"/>
  <c r="AK46" i="29" s="1"/>
  <c r="AI44" i="29"/>
  <c r="AJ44" i="29" s="1"/>
  <c r="AK44" i="29" s="1"/>
  <c r="AI43" i="29"/>
  <c r="AJ43" i="29" s="1"/>
  <c r="AK43" i="29" s="1"/>
  <c r="AI41" i="29"/>
  <c r="AJ41" i="29" s="1"/>
  <c r="AK41" i="29" s="1"/>
  <c r="AI38" i="29"/>
  <c r="AJ38" i="29" s="1"/>
  <c r="AK38" i="29" s="1"/>
  <c r="AI37" i="29"/>
  <c r="AJ37" i="29" s="1"/>
  <c r="AK37" i="29" s="1"/>
  <c r="AI35" i="29"/>
  <c r="AJ35" i="29" s="1"/>
  <c r="AK35" i="29" s="1"/>
  <c r="AI34" i="29"/>
  <c r="AJ34" i="29" s="1"/>
  <c r="AK34" i="29" s="1"/>
  <c r="AI32" i="29"/>
  <c r="AJ32" i="29" s="1"/>
  <c r="AK32" i="29" s="1"/>
  <c r="AI30" i="29"/>
  <c r="AI29" i="29"/>
  <c r="AJ29" i="29" s="1"/>
  <c r="AK29" i="29" s="1"/>
  <c r="AI27" i="29"/>
  <c r="AJ27" i="29" s="1"/>
  <c r="AK27" i="29" s="1"/>
  <c r="AI25" i="29"/>
  <c r="AJ25" i="29" s="1"/>
  <c r="AK25" i="29" s="1"/>
  <c r="AI23" i="29"/>
  <c r="AJ23" i="29" s="1"/>
  <c r="AK23" i="29" s="1"/>
  <c r="AI20" i="29"/>
  <c r="AJ20" i="29" s="1"/>
  <c r="AK20" i="29" s="1"/>
  <c r="AI18" i="29"/>
  <c r="AJ18" i="29" s="1"/>
  <c r="AK18" i="29" s="1"/>
  <c r="AI16" i="29"/>
  <c r="AJ16" i="29" s="1"/>
  <c r="AK16" i="29" s="1"/>
  <c r="AI14" i="29"/>
  <c r="AJ14" i="29" s="1"/>
  <c r="AK14" i="29" s="1"/>
  <c r="AI12" i="29"/>
  <c r="AJ12" i="29" s="1"/>
  <c r="AK12" i="29" s="1"/>
  <c r="AI7" i="29"/>
  <c r="AE61" i="29"/>
  <c r="AF61" i="29" s="1"/>
  <c r="AG61" i="29" s="1"/>
  <c r="AE59" i="29"/>
  <c r="AF59" i="29" s="1"/>
  <c r="AG59" i="29" s="1"/>
  <c r="AE57" i="29"/>
  <c r="AF57" i="29" s="1"/>
  <c r="AG57" i="29" s="1"/>
  <c r="AE56" i="29"/>
  <c r="AF56" i="29" s="1"/>
  <c r="AG56" i="29" s="1"/>
  <c r="AE51" i="29"/>
  <c r="AF51" i="29" s="1"/>
  <c r="AG51" i="29" s="1"/>
  <c r="AE49" i="29"/>
  <c r="AF49" i="29" s="1"/>
  <c r="AG49" i="29" s="1"/>
  <c r="AE48" i="29"/>
  <c r="AF48" i="29" s="1"/>
  <c r="AG48" i="29" s="1"/>
  <c r="AE46" i="29"/>
  <c r="AF46" i="29" s="1"/>
  <c r="AG46" i="29" s="1"/>
  <c r="AE44" i="29"/>
  <c r="AF44" i="29" s="1"/>
  <c r="AG44" i="29" s="1"/>
  <c r="AE43" i="29"/>
  <c r="AF43" i="29" s="1"/>
  <c r="AG43" i="29" s="1"/>
  <c r="AE41" i="29"/>
  <c r="AF41" i="29" s="1"/>
  <c r="AG41" i="29" s="1"/>
  <c r="AE38" i="29"/>
  <c r="AF38" i="29" s="1"/>
  <c r="AG38" i="29" s="1"/>
  <c r="AE37" i="29"/>
  <c r="AF37" i="29" s="1"/>
  <c r="AG37" i="29" s="1"/>
  <c r="AE35" i="29"/>
  <c r="AE34" i="29"/>
  <c r="AF34" i="29" s="1"/>
  <c r="AG34" i="29" s="1"/>
  <c r="AE32" i="29"/>
  <c r="AF32" i="29" s="1"/>
  <c r="AG32" i="29" s="1"/>
  <c r="AE30" i="29"/>
  <c r="AF30" i="29" s="1"/>
  <c r="AG30" i="29" s="1"/>
  <c r="AE29" i="29"/>
  <c r="AF29" i="29" s="1"/>
  <c r="AG29" i="29" s="1"/>
  <c r="AE27" i="29"/>
  <c r="AF27" i="29" s="1"/>
  <c r="AG27" i="29" s="1"/>
  <c r="AE25" i="29"/>
  <c r="AF25" i="29" s="1"/>
  <c r="AG25" i="29" s="1"/>
  <c r="AE23" i="29"/>
  <c r="AF23" i="29" s="1"/>
  <c r="AG23" i="29" s="1"/>
  <c r="AE20" i="29"/>
  <c r="AF20" i="29" s="1"/>
  <c r="AG20" i="29" s="1"/>
  <c r="AE18" i="29"/>
  <c r="AF18" i="29" s="1"/>
  <c r="AG18" i="29" s="1"/>
  <c r="AE16" i="29"/>
  <c r="AF16" i="29" s="1"/>
  <c r="AG16" i="29" s="1"/>
  <c r="AE14" i="29"/>
  <c r="AF14" i="29" s="1"/>
  <c r="AG14" i="29" s="1"/>
  <c r="AE12" i="29"/>
  <c r="AE7" i="29"/>
  <c r="AA64" i="29"/>
  <c r="AA63" i="29"/>
  <c r="AB63" i="29" s="1"/>
  <c r="AA62" i="29"/>
  <c r="AA60" i="29"/>
  <c r="AB60" i="29" s="1"/>
  <c r="AA59" i="29"/>
  <c r="AB59" i="29" s="1"/>
  <c r="AA58" i="29"/>
  <c r="AB58" i="29" s="1"/>
  <c r="AA57" i="29"/>
  <c r="AB57" i="29" s="1"/>
  <c r="AA56" i="29"/>
  <c r="AB56" i="29" s="1"/>
  <c r="AA55" i="29"/>
  <c r="AB55" i="29" s="1"/>
  <c r="AA54" i="29"/>
  <c r="AB54" i="29" s="1"/>
  <c r="AA53" i="29"/>
  <c r="AA52" i="29"/>
  <c r="AA51" i="29"/>
  <c r="AB51" i="29" s="1"/>
  <c r="AA50" i="29"/>
  <c r="AB50" i="29" s="1"/>
  <c r="AA48" i="29"/>
  <c r="AB48" i="29" s="1"/>
  <c r="AA47" i="29"/>
  <c r="AB47" i="29" s="1"/>
  <c r="AA45" i="29"/>
  <c r="AB45" i="29" s="1"/>
  <c r="AA43" i="29"/>
  <c r="AB43" i="29" s="1"/>
  <c r="AA42" i="29"/>
  <c r="AB42" i="29" s="1"/>
  <c r="AA41" i="29"/>
  <c r="AB41" i="29" s="1"/>
  <c r="AA40" i="29"/>
  <c r="AA39" i="29"/>
  <c r="AB39" i="29" s="1"/>
  <c r="AA38" i="29"/>
  <c r="AA36" i="29"/>
  <c r="AB36" i="29" s="1"/>
  <c r="AA35" i="29"/>
  <c r="AB35" i="29" s="1"/>
  <c r="AA34" i="29"/>
  <c r="AB34" i="29" s="1"/>
  <c r="AA33" i="29"/>
  <c r="AB33" i="29" s="1"/>
  <c r="AA31" i="29"/>
  <c r="AB31" i="29" s="1"/>
  <c r="AA30" i="29"/>
  <c r="AB30" i="29" s="1"/>
  <c r="AA28" i="29"/>
  <c r="AB28" i="29" s="1"/>
  <c r="AA27" i="29"/>
  <c r="AB27" i="29" s="1"/>
  <c r="AA26" i="29"/>
  <c r="AA25" i="29"/>
  <c r="AB25" i="29" s="1"/>
  <c r="AA24" i="29"/>
  <c r="AB24" i="29" s="1"/>
  <c r="AA23" i="29"/>
  <c r="AA22" i="29"/>
  <c r="AA21" i="29"/>
  <c r="AB21" i="29" s="1"/>
  <c r="AA20" i="29"/>
  <c r="AB20" i="29" s="1"/>
  <c r="AA19" i="29"/>
  <c r="AB19" i="29" s="1"/>
  <c r="AA18" i="29"/>
  <c r="AB18" i="29" s="1"/>
  <c r="AA17" i="29"/>
  <c r="AB17" i="29" s="1"/>
  <c r="AA16" i="29"/>
  <c r="AB16" i="29" s="1"/>
  <c r="AA15" i="29"/>
  <c r="AB15" i="29" s="1"/>
  <c r="AA14" i="29"/>
  <c r="AB14" i="29" s="1"/>
  <c r="AA13" i="29"/>
  <c r="AB13" i="29" s="1"/>
  <c r="AA12" i="29"/>
  <c r="AB12" i="29" s="1"/>
  <c r="AA11" i="29"/>
  <c r="AA10" i="29"/>
  <c r="AB10" i="29" s="1"/>
  <c r="AA9" i="29"/>
  <c r="AB9" i="29" s="1"/>
  <c r="AA8" i="29"/>
  <c r="AB8" i="29" s="1"/>
  <c r="AA7" i="29"/>
  <c r="AB7" i="29" s="1"/>
  <c r="AA6" i="29"/>
  <c r="AB6" i="29" s="1"/>
  <c r="AA5" i="29"/>
  <c r="X64" i="29"/>
  <c r="Y64" i="29" s="1"/>
  <c r="X63" i="29"/>
  <c r="Y63" i="29" s="1"/>
  <c r="X62" i="29"/>
  <c r="X60" i="29"/>
  <c r="Y60" i="29" s="1"/>
  <c r="X59" i="29"/>
  <c r="Y59" i="29" s="1"/>
  <c r="X58" i="29"/>
  <c r="X57" i="29"/>
  <c r="Y57" i="29" s="1"/>
  <c r="X56" i="29"/>
  <c r="Y56" i="29" s="1"/>
  <c r="X55" i="29"/>
  <c r="Y55" i="29" s="1"/>
  <c r="X54" i="29"/>
  <c r="Y54" i="29" s="1"/>
  <c r="X53" i="29"/>
  <c r="Y53" i="29" s="1"/>
  <c r="X52" i="29"/>
  <c r="X51" i="29"/>
  <c r="Y51" i="29" s="1"/>
  <c r="X50" i="29"/>
  <c r="Y50" i="29" s="1"/>
  <c r="X48" i="29"/>
  <c r="Y48" i="29" s="1"/>
  <c r="X47" i="29"/>
  <c r="Y47" i="29" s="1"/>
  <c r="X45" i="29"/>
  <c r="Y45" i="29" s="1"/>
  <c r="X43" i="29"/>
  <c r="Y43" i="29" s="1"/>
  <c r="X42" i="29"/>
  <c r="X41" i="29"/>
  <c r="Y41" i="29" s="1"/>
  <c r="X40" i="29"/>
  <c r="X39" i="29"/>
  <c r="Y39" i="29" s="1"/>
  <c r="X38" i="29"/>
  <c r="Y38" i="29" s="1"/>
  <c r="X36" i="29"/>
  <c r="Y36" i="29" s="1"/>
  <c r="X35" i="29"/>
  <c r="Y35" i="29" s="1"/>
  <c r="X34" i="29"/>
  <c r="Y34" i="29" s="1"/>
  <c r="X33" i="29"/>
  <c r="Y33" i="29" s="1"/>
  <c r="X31" i="29"/>
  <c r="Y31" i="29" s="1"/>
  <c r="X30" i="29"/>
  <c r="Y30" i="29" s="1"/>
  <c r="X28" i="29"/>
  <c r="X27" i="29"/>
  <c r="X26" i="29"/>
  <c r="X25" i="29"/>
  <c r="Y25" i="29" s="1"/>
  <c r="X24" i="29"/>
  <c r="Y24" i="29" s="1"/>
  <c r="X23" i="29"/>
  <c r="Y23" i="29" s="1"/>
  <c r="X22" i="29"/>
  <c r="Y22" i="29" s="1"/>
  <c r="X21" i="29"/>
  <c r="Y21" i="29" s="1"/>
  <c r="X20" i="29"/>
  <c r="Y20" i="29" s="1"/>
  <c r="X19" i="29"/>
  <c r="Y19" i="29" s="1"/>
  <c r="X18" i="29"/>
  <c r="Y18" i="29" s="1"/>
  <c r="X17" i="29"/>
  <c r="Y17" i="29" s="1"/>
  <c r="X16" i="29"/>
  <c r="X15" i="29"/>
  <c r="X14" i="29"/>
  <c r="Y14" i="29" s="1"/>
  <c r="X13" i="29"/>
  <c r="Y13" i="29" s="1"/>
  <c r="X12" i="29"/>
  <c r="Y12" i="29" s="1"/>
  <c r="X11" i="29"/>
  <c r="X10" i="29"/>
  <c r="Y10" i="29" s="1"/>
  <c r="X9" i="29"/>
  <c r="Y9" i="29" s="1"/>
  <c r="X8" i="29"/>
  <c r="Y8" i="29" s="1"/>
  <c r="X7" i="29"/>
  <c r="Y7" i="29" s="1"/>
  <c r="X6" i="29"/>
  <c r="Y6" i="29" s="1"/>
  <c r="X5" i="29"/>
  <c r="U64" i="29"/>
  <c r="U63" i="29"/>
  <c r="U62" i="29"/>
  <c r="U60" i="29"/>
  <c r="U59" i="29"/>
  <c r="V59" i="29" s="1"/>
  <c r="U58" i="29"/>
  <c r="V58" i="29" s="1"/>
  <c r="U57" i="29"/>
  <c r="V57" i="29" s="1"/>
  <c r="U56" i="29"/>
  <c r="V56" i="29" s="1"/>
  <c r="U55" i="29"/>
  <c r="V55" i="29" s="1"/>
  <c r="U54" i="29"/>
  <c r="V54" i="29" s="1"/>
  <c r="U53" i="29"/>
  <c r="V53" i="29" s="1"/>
  <c r="U52" i="29"/>
  <c r="U51" i="29"/>
  <c r="U50" i="29"/>
  <c r="U48" i="29"/>
  <c r="V48" i="29" s="1"/>
  <c r="U47" i="29"/>
  <c r="V47" i="29" s="1"/>
  <c r="U45" i="29"/>
  <c r="V45" i="29" s="1"/>
  <c r="U43" i="29"/>
  <c r="V43" i="29" s="1"/>
  <c r="U42" i="29"/>
  <c r="V42" i="29" s="1"/>
  <c r="U41" i="29"/>
  <c r="V41" i="29" s="1"/>
  <c r="U40" i="29"/>
  <c r="U39" i="29"/>
  <c r="V39" i="29" s="1"/>
  <c r="U38" i="29"/>
  <c r="V38" i="29" s="1"/>
  <c r="U36" i="29"/>
  <c r="V36" i="29" s="1"/>
  <c r="U35" i="29"/>
  <c r="U34" i="29"/>
  <c r="V34" i="29" s="1"/>
  <c r="U33" i="29"/>
  <c r="V33" i="29" s="1"/>
  <c r="U31" i="29"/>
  <c r="V31" i="29" s="1"/>
  <c r="U30" i="29"/>
  <c r="V30" i="29" s="1"/>
  <c r="U28" i="29"/>
  <c r="V28" i="29" s="1"/>
  <c r="U27" i="29"/>
  <c r="V27" i="29" s="1"/>
  <c r="U26" i="29"/>
  <c r="U25" i="29"/>
  <c r="V25" i="29" s="1"/>
  <c r="U24" i="29"/>
  <c r="V24" i="29" s="1"/>
  <c r="U23" i="29"/>
  <c r="V23" i="29" s="1"/>
  <c r="U22" i="29"/>
  <c r="V22" i="29" s="1"/>
  <c r="U21" i="29"/>
  <c r="U20" i="29"/>
  <c r="V20" i="29" s="1"/>
  <c r="U19" i="29"/>
  <c r="V19" i="29" s="1"/>
  <c r="U18" i="29"/>
  <c r="V18" i="29" s="1"/>
  <c r="U17" i="29"/>
  <c r="V17" i="29" s="1"/>
  <c r="U16" i="29"/>
  <c r="V16" i="29" s="1"/>
  <c r="U15" i="29"/>
  <c r="V15" i="29" s="1"/>
  <c r="U14" i="29"/>
  <c r="V14" i="29" s="1"/>
  <c r="U13" i="29"/>
  <c r="V13" i="29" s="1"/>
  <c r="U12" i="29"/>
  <c r="V12" i="29" s="1"/>
  <c r="U11" i="29"/>
  <c r="V11" i="29" s="1"/>
  <c r="U10" i="29"/>
  <c r="V10" i="29" s="1"/>
  <c r="U9" i="29"/>
  <c r="V9" i="29" s="1"/>
  <c r="U8" i="29"/>
  <c r="V8" i="29" s="1"/>
  <c r="U7" i="29"/>
  <c r="V7" i="29" s="1"/>
  <c r="U6" i="29"/>
  <c r="V6" i="29" s="1"/>
  <c r="U5" i="29"/>
  <c r="R64" i="29"/>
  <c r="S64" i="29" s="1"/>
  <c r="R63" i="29"/>
  <c r="S63" i="29" s="1"/>
  <c r="R62" i="29"/>
  <c r="R60" i="29"/>
  <c r="S60" i="29" s="1"/>
  <c r="R59" i="29"/>
  <c r="S59" i="29" s="1"/>
  <c r="R58" i="29"/>
  <c r="S58" i="29" s="1"/>
  <c r="R57" i="29"/>
  <c r="S57" i="29" s="1"/>
  <c r="R56" i="29"/>
  <c r="R55" i="29"/>
  <c r="R54" i="29"/>
  <c r="S54" i="29" s="1"/>
  <c r="R53" i="29"/>
  <c r="S53" i="29" s="1"/>
  <c r="R52" i="29"/>
  <c r="R51" i="29"/>
  <c r="S51" i="29" s="1"/>
  <c r="R50" i="29"/>
  <c r="S50" i="29" s="1"/>
  <c r="R48" i="29"/>
  <c r="R47" i="29"/>
  <c r="S47" i="29" s="1"/>
  <c r="R45" i="29"/>
  <c r="S45" i="29" s="1"/>
  <c r="R43" i="29"/>
  <c r="S43" i="29" s="1"/>
  <c r="R42" i="29"/>
  <c r="S42" i="29" s="1"/>
  <c r="R41" i="29"/>
  <c r="R40" i="29"/>
  <c r="R39" i="29"/>
  <c r="S39" i="29" s="1"/>
  <c r="R38" i="29"/>
  <c r="S38" i="29" s="1"/>
  <c r="R36" i="29"/>
  <c r="S36" i="29" s="1"/>
  <c r="R35" i="29"/>
  <c r="S35" i="29" s="1"/>
  <c r="R34" i="29"/>
  <c r="S34" i="29" s="1"/>
  <c r="R33" i="29"/>
  <c r="S33" i="29" s="1"/>
  <c r="R31" i="29"/>
  <c r="S31" i="29" s="1"/>
  <c r="R30" i="29"/>
  <c r="S30" i="29" s="1"/>
  <c r="R28" i="29"/>
  <c r="S28" i="29" s="1"/>
  <c r="R27" i="29"/>
  <c r="S27" i="29" s="1"/>
  <c r="R26" i="29"/>
  <c r="R25" i="29"/>
  <c r="S25" i="29" s="1"/>
  <c r="R24" i="29"/>
  <c r="S24" i="29" s="1"/>
  <c r="R23" i="29"/>
  <c r="S23" i="29" s="1"/>
  <c r="R22" i="29"/>
  <c r="S22" i="29" s="1"/>
  <c r="R21" i="29"/>
  <c r="S21" i="29" s="1"/>
  <c r="R20" i="29"/>
  <c r="S20" i="29" s="1"/>
  <c r="R19" i="29"/>
  <c r="S19" i="29" s="1"/>
  <c r="R18" i="29"/>
  <c r="S18" i="29" s="1"/>
  <c r="R17" i="29"/>
  <c r="S17" i="29" s="1"/>
  <c r="R16" i="29"/>
  <c r="S16" i="29" s="1"/>
  <c r="R15" i="29"/>
  <c r="S15" i="29" s="1"/>
  <c r="R14" i="29"/>
  <c r="R13" i="29"/>
  <c r="S13" i="29" s="1"/>
  <c r="R12" i="29"/>
  <c r="S12" i="29" s="1"/>
  <c r="R11" i="29"/>
  <c r="S11" i="29" s="1"/>
  <c r="R10" i="29"/>
  <c r="S10" i="29" s="1"/>
  <c r="R9" i="29"/>
  <c r="S9" i="29" s="1"/>
  <c r="R8" i="29"/>
  <c r="S8" i="29" s="1"/>
  <c r="R7" i="29"/>
  <c r="S7" i="29" s="1"/>
  <c r="R6" i="29"/>
  <c r="S6" i="29" s="1"/>
  <c r="R5" i="29"/>
  <c r="O64" i="29"/>
  <c r="P64" i="29" s="1"/>
  <c r="O63" i="29"/>
  <c r="P63" i="29" s="1"/>
  <c r="O62" i="29"/>
  <c r="O60" i="29"/>
  <c r="P60" i="29" s="1"/>
  <c r="O59" i="29"/>
  <c r="P59" i="29" s="1"/>
  <c r="O58" i="29"/>
  <c r="P58" i="29" s="1"/>
  <c r="O57" i="29"/>
  <c r="P57" i="29" s="1"/>
  <c r="O56" i="29"/>
  <c r="P56" i="29" s="1"/>
  <c r="O55" i="29"/>
  <c r="P55" i="29" s="1"/>
  <c r="O54" i="29"/>
  <c r="P54" i="29" s="1"/>
  <c r="O53" i="29"/>
  <c r="P53" i="29" s="1"/>
  <c r="O52" i="29"/>
  <c r="O51" i="29"/>
  <c r="P51" i="29" s="1"/>
  <c r="O50" i="29"/>
  <c r="P50" i="29" s="1"/>
  <c r="O48" i="29"/>
  <c r="O47" i="29"/>
  <c r="O45" i="29"/>
  <c r="P45" i="29" s="1"/>
  <c r="O43" i="29"/>
  <c r="P43" i="29" s="1"/>
  <c r="O42" i="29"/>
  <c r="P42" i="29" s="1"/>
  <c r="O41" i="29"/>
  <c r="P41" i="29" s="1"/>
  <c r="O40" i="29"/>
  <c r="O39" i="29"/>
  <c r="P39" i="29" s="1"/>
  <c r="O38" i="29"/>
  <c r="P38" i="29" s="1"/>
  <c r="O36" i="29"/>
  <c r="P36" i="29" s="1"/>
  <c r="O35" i="29"/>
  <c r="P35" i="29" s="1"/>
  <c r="O34" i="29"/>
  <c r="P34" i="29" s="1"/>
  <c r="O33" i="29"/>
  <c r="P33" i="29" s="1"/>
  <c r="O31" i="29"/>
  <c r="O30" i="29"/>
  <c r="P30" i="29" s="1"/>
  <c r="O28" i="29"/>
  <c r="P28" i="29" s="1"/>
  <c r="O27" i="29"/>
  <c r="P27" i="29" s="1"/>
  <c r="O26" i="29"/>
  <c r="O25" i="29"/>
  <c r="P25" i="29" s="1"/>
  <c r="O24" i="29"/>
  <c r="P24" i="29" s="1"/>
  <c r="O23" i="29"/>
  <c r="P23" i="29" s="1"/>
  <c r="O22" i="29"/>
  <c r="P22" i="29" s="1"/>
  <c r="O21" i="29"/>
  <c r="P21" i="29" s="1"/>
  <c r="O20" i="29"/>
  <c r="P20" i="29" s="1"/>
  <c r="O19" i="29"/>
  <c r="O18" i="29"/>
  <c r="P18" i="29" s="1"/>
  <c r="O17" i="29"/>
  <c r="O16" i="29"/>
  <c r="P16" i="29" s="1"/>
  <c r="O15" i="29"/>
  <c r="P15" i="29" s="1"/>
  <c r="O14" i="29"/>
  <c r="P14" i="29" s="1"/>
  <c r="O13" i="29"/>
  <c r="P13" i="29" s="1"/>
  <c r="O12" i="29"/>
  <c r="P12" i="29" s="1"/>
  <c r="O11" i="29"/>
  <c r="P11" i="29" s="1"/>
  <c r="O10" i="29"/>
  <c r="P10" i="29" s="1"/>
  <c r="O9" i="29"/>
  <c r="P9" i="29" s="1"/>
  <c r="O8" i="29"/>
  <c r="P8" i="29" s="1"/>
  <c r="O7" i="29"/>
  <c r="O6" i="29"/>
  <c r="P6" i="29" s="1"/>
  <c r="O5" i="29"/>
  <c r="L64" i="29"/>
  <c r="M64" i="29" s="1"/>
  <c r="L63" i="29"/>
  <c r="M63" i="29" s="1"/>
  <c r="L62" i="29"/>
  <c r="L60" i="29"/>
  <c r="M60" i="29" s="1"/>
  <c r="L59" i="29"/>
  <c r="M59" i="29" s="1"/>
  <c r="L58" i="29"/>
  <c r="M58" i="29" s="1"/>
  <c r="L57" i="29"/>
  <c r="M57" i="29" s="1"/>
  <c r="L56" i="29"/>
  <c r="M56" i="29" s="1"/>
  <c r="L55" i="29"/>
  <c r="M55" i="29" s="1"/>
  <c r="L54" i="29"/>
  <c r="M54" i="29" s="1"/>
  <c r="L53" i="29"/>
  <c r="M53" i="29" s="1"/>
  <c r="L52" i="29"/>
  <c r="L51" i="29"/>
  <c r="M51" i="29" s="1"/>
  <c r="L50" i="29"/>
  <c r="M50" i="29" s="1"/>
  <c r="L48" i="29"/>
  <c r="M48" i="29" s="1"/>
  <c r="L47" i="29"/>
  <c r="M47" i="29" s="1"/>
  <c r="L45" i="29"/>
  <c r="M45" i="29" s="1"/>
  <c r="L43" i="29"/>
  <c r="M43" i="29" s="1"/>
  <c r="L42" i="29"/>
  <c r="M42" i="29" s="1"/>
  <c r="L41" i="29"/>
  <c r="M41" i="29" s="1"/>
  <c r="L40" i="29"/>
  <c r="L39" i="29"/>
  <c r="L38" i="29"/>
  <c r="M38" i="29" s="1"/>
  <c r="L36" i="29"/>
  <c r="M36" i="29" s="1"/>
  <c r="L35" i="29"/>
  <c r="M35" i="29" s="1"/>
  <c r="L34" i="29"/>
  <c r="M34" i="29" s="1"/>
  <c r="L33" i="29"/>
  <c r="M33" i="29" s="1"/>
  <c r="L31" i="29"/>
  <c r="M31" i="29" s="1"/>
  <c r="L30" i="29"/>
  <c r="M30" i="29" s="1"/>
  <c r="L28" i="29"/>
  <c r="M28" i="29" s="1"/>
  <c r="L27" i="29"/>
  <c r="M27" i="29" s="1"/>
  <c r="L26" i="29"/>
  <c r="L25" i="29"/>
  <c r="M25" i="29" s="1"/>
  <c r="L24" i="29"/>
  <c r="L23" i="29"/>
  <c r="M23" i="29" s="1"/>
  <c r="L22" i="29"/>
  <c r="M22" i="29" s="1"/>
  <c r="L21" i="29"/>
  <c r="M21" i="29" s="1"/>
  <c r="L20" i="29"/>
  <c r="M20" i="29" s="1"/>
  <c r="L19" i="29"/>
  <c r="M19" i="29" s="1"/>
  <c r="L18" i="29"/>
  <c r="M18" i="29" s="1"/>
  <c r="L17" i="29"/>
  <c r="M17" i="29" s="1"/>
  <c r="L16" i="29"/>
  <c r="M16" i="29" s="1"/>
  <c r="L15" i="29"/>
  <c r="M15" i="29" s="1"/>
  <c r="L14" i="29"/>
  <c r="M14" i="29" s="1"/>
  <c r="L13" i="29"/>
  <c r="M13" i="29" s="1"/>
  <c r="L12" i="29"/>
  <c r="L11" i="29"/>
  <c r="L10" i="29"/>
  <c r="M10" i="29" s="1"/>
  <c r="L9" i="29"/>
  <c r="M9" i="29" s="1"/>
  <c r="L8" i="29"/>
  <c r="M8" i="29" s="1"/>
  <c r="L7" i="29"/>
  <c r="M7" i="29" s="1"/>
  <c r="L6" i="29"/>
  <c r="M6" i="29" s="1"/>
  <c r="L5" i="29"/>
  <c r="I64" i="29"/>
  <c r="J64" i="29" s="1"/>
  <c r="I63" i="29"/>
  <c r="J63" i="29" s="1"/>
  <c r="I62" i="29"/>
  <c r="I60" i="29"/>
  <c r="J60" i="29" s="1"/>
  <c r="I59" i="29"/>
  <c r="J59" i="29" s="1"/>
  <c r="I58" i="29"/>
  <c r="I57" i="29"/>
  <c r="J57" i="29" s="1"/>
  <c r="I56" i="29"/>
  <c r="J56" i="29" s="1"/>
  <c r="I55" i="29"/>
  <c r="J55" i="29" s="1"/>
  <c r="I54" i="29"/>
  <c r="J54" i="29" s="1"/>
  <c r="I53" i="29"/>
  <c r="I52" i="29"/>
  <c r="I51" i="29"/>
  <c r="J51" i="29" s="1"/>
  <c r="I50" i="29"/>
  <c r="J50" i="29" s="1"/>
  <c r="I48" i="29"/>
  <c r="J48" i="29" s="1"/>
  <c r="I47" i="29"/>
  <c r="J47" i="29" s="1"/>
  <c r="I45" i="29"/>
  <c r="I43" i="29"/>
  <c r="J43" i="29" s="1"/>
  <c r="I42" i="29"/>
  <c r="J42" i="29" s="1"/>
  <c r="I41" i="29"/>
  <c r="J41" i="29" s="1"/>
  <c r="I40" i="29"/>
  <c r="I39" i="29"/>
  <c r="J39" i="29" s="1"/>
  <c r="I38" i="29"/>
  <c r="J38" i="29" s="1"/>
  <c r="I36" i="29"/>
  <c r="J36" i="29" s="1"/>
  <c r="I35" i="29"/>
  <c r="J35" i="29" s="1"/>
  <c r="I34" i="29"/>
  <c r="J34" i="29" s="1"/>
  <c r="I33" i="29"/>
  <c r="J33" i="29" s="1"/>
  <c r="I31" i="29"/>
  <c r="J31" i="29" s="1"/>
  <c r="I30" i="29"/>
  <c r="I28" i="29"/>
  <c r="I27" i="29"/>
  <c r="J27" i="29" s="1"/>
  <c r="I26" i="29"/>
  <c r="I25" i="29"/>
  <c r="J25" i="29" s="1"/>
  <c r="I24" i="29"/>
  <c r="J24" i="29" s="1"/>
  <c r="I23" i="29"/>
  <c r="J23" i="29" s="1"/>
  <c r="I22" i="29"/>
  <c r="J22" i="29" s="1"/>
  <c r="I21" i="29"/>
  <c r="J21" i="29" s="1"/>
  <c r="I20" i="29"/>
  <c r="J20" i="29" s="1"/>
  <c r="I19" i="29"/>
  <c r="J19" i="29" s="1"/>
  <c r="I18" i="29"/>
  <c r="J18" i="29" s="1"/>
  <c r="I17" i="29"/>
  <c r="I16" i="29"/>
  <c r="I15" i="29"/>
  <c r="J15" i="29" s="1"/>
  <c r="I14" i="29"/>
  <c r="J14" i="29" s="1"/>
  <c r="I13" i="29"/>
  <c r="J13" i="29" s="1"/>
  <c r="I12" i="29"/>
  <c r="J12" i="29" s="1"/>
  <c r="I11" i="29"/>
  <c r="J11" i="29" s="1"/>
  <c r="I10" i="29"/>
  <c r="J10" i="29" s="1"/>
  <c r="I9" i="29"/>
  <c r="J9" i="29" s="1"/>
  <c r="I8" i="29"/>
  <c r="J8" i="29" s="1"/>
  <c r="I7" i="29"/>
  <c r="J7" i="29" s="1"/>
  <c r="I6" i="29"/>
  <c r="J6" i="29" s="1"/>
  <c r="I5" i="29"/>
  <c r="F6" i="29"/>
  <c r="G6" i="29" s="1"/>
  <c r="F7" i="29"/>
  <c r="G7" i="29" s="1"/>
  <c r="F8" i="29"/>
  <c r="G8" i="29" s="1"/>
  <c r="F9" i="29"/>
  <c r="G9" i="29" s="1"/>
  <c r="F10" i="29"/>
  <c r="G10" i="29" s="1"/>
  <c r="F11" i="29"/>
  <c r="G11" i="29" s="1"/>
  <c r="F12" i="29"/>
  <c r="G12" i="29" s="1"/>
  <c r="F13" i="29"/>
  <c r="G13" i="29" s="1"/>
  <c r="F14" i="29"/>
  <c r="G14" i="29" s="1"/>
  <c r="F15" i="29"/>
  <c r="G15" i="29" s="1"/>
  <c r="F16" i="29"/>
  <c r="G16" i="29" s="1"/>
  <c r="F17" i="29"/>
  <c r="G17" i="29" s="1"/>
  <c r="F18" i="29"/>
  <c r="F19" i="29"/>
  <c r="G19" i="29" s="1"/>
  <c r="F20" i="29"/>
  <c r="G20" i="29" s="1"/>
  <c r="F21" i="29"/>
  <c r="G21" i="29" s="1"/>
  <c r="F22" i="29"/>
  <c r="G22" i="29" s="1"/>
  <c r="F23" i="29"/>
  <c r="G23" i="29" s="1"/>
  <c r="F24" i="29"/>
  <c r="G24" i="29" s="1"/>
  <c r="F25" i="29"/>
  <c r="G25" i="29" s="1"/>
  <c r="F26" i="29"/>
  <c r="F27" i="29"/>
  <c r="G27" i="29" s="1"/>
  <c r="F28" i="29"/>
  <c r="G28" i="29" s="1"/>
  <c r="F30" i="29"/>
  <c r="F31" i="29"/>
  <c r="F33" i="29"/>
  <c r="G33" i="29" s="1"/>
  <c r="F34" i="29"/>
  <c r="G34" i="29" s="1"/>
  <c r="F35" i="29"/>
  <c r="G35" i="29" s="1"/>
  <c r="F36" i="29"/>
  <c r="G36" i="29" s="1"/>
  <c r="F38" i="29"/>
  <c r="G38" i="29" s="1"/>
  <c r="F39" i="29"/>
  <c r="G39" i="29" s="1"/>
  <c r="F40" i="29"/>
  <c r="F41" i="29"/>
  <c r="G41" i="29" s="1"/>
  <c r="F42" i="29"/>
  <c r="G42" i="29" s="1"/>
  <c r="F43" i="29"/>
  <c r="G43" i="29" s="1"/>
  <c r="F45" i="29"/>
  <c r="G45" i="29" s="1"/>
  <c r="F47" i="29"/>
  <c r="G47" i="29" s="1"/>
  <c r="F48" i="29"/>
  <c r="G48" i="29" s="1"/>
  <c r="F50" i="29"/>
  <c r="G50" i="29" s="1"/>
  <c r="F51" i="29"/>
  <c r="G51" i="29" s="1"/>
  <c r="F52" i="29"/>
  <c r="F53" i="29"/>
  <c r="G53" i="29" s="1"/>
  <c r="F54" i="29"/>
  <c r="G54" i="29" s="1"/>
  <c r="F55" i="29"/>
  <c r="G55" i="29" s="1"/>
  <c r="F56" i="29"/>
  <c r="G56" i="29" s="1"/>
  <c r="F57" i="29"/>
  <c r="G57" i="29" s="1"/>
  <c r="F58" i="29"/>
  <c r="G58" i="29" s="1"/>
  <c r="F59" i="29"/>
  <c r="F60" i="29"/>
  <c r="F62" i="29"/>
  <c r="F63" i="29"/>
  <c r="G63" i="29" s="1"/>
  <c r="F64" i="29"/>
  <c r="G64" i="29" s="1"/>
  <c r="F5" i="29"/>
  <c r="AT65" i="29"/>
  <c r="AP65" i="29"/>
  <c r="AD65" i="29"/>
  <c r="Z65" i="29"/>
  <c r="W65" i="29"/>
  <c r="T65" i="29"/>
  <c r="Q65" i="29"/>
  <c r="N65" i="29"/>
  <c r="K65" i="29"/>
  <c r="E65" i="29"/>
  <c r="AB64" i="29"/>
  <c r="V64" i="29"/>
  <c r="V63" i="29"/>
  <c r="V60" i="29"/>
  <c r="G60" i="29"/>
  <c r="AV59" i="29"/>
  <c r="AW59" i="29" s="1"/>
  <c r="G59" i="29"/>
  <c r="Y58" i="29"/>
  <c r="J58" i="29"/>
  <c r="AV57" i="29"/>
  <c r="AW57" i="29" s="1"/>
  <c r="S56" i="29"/>
  <c r="S55" i="29"/>
  <c r="AV54" i="29"/>
  <c r="AW54" i="29" s="1"/>
  <c r="AR54" i="29"/>
  <c r="AS54" i="29" s="1"/>
  <c r="AN54" i="29"/>
  <c r="AO54" i="29" s="1"/>
  <c r="AJ54" i="29"/>
  <c r="AK54" i="29" s="1"/>
  <c r="AF54" i="29"/>
  <c r="AG54" i="29" s="1"/>
  <c r="AB53" i="29"/>
  <c r="AJ51" i="29"/>
  <c r="AK51" i="29" s="1"/>
  <c r="V51" i="29"/>
  <c r="V50" i="29"/>
  <c r="AJ49" i="29"/>
  <c r="AK49" i="29" s="1"/>
  <c r="P48" i="29"/>
  <c r="P47" i="29"/>
  <c r="AN46" i="29"/>
  <c r="AO46" i="29" s="1"/>
  <c r="J45" i="29"/>
  <c r="Y42" i="29"/>
  <c r="AR41" i="29"/>
  <c r="AS41" i="29" s="1"/>
  <c r="S41" i="29"/>
  <c r="M39" i="29"/>
  <c r="AR38" i="29"/>
  <c r="AS38" i="29" s="1"/>
  <c r="AB38" i="29"/>
  <c r="AV35" i="29"/>
  <c r="AW35" i="29" s="1"/>
  <c r="AF35" i="29"/>
  <c r="AG35" i="29" s="1"/>
  <c r="V35" i="29"/>
  <c r="P31" i="29"/>
  <c r="G31" i="29"/>
  <c r="AJ30" i="29"/>
  <c r="AK30" i="29" s="1"/>
  <c r="J30" i="29"/>
  <c r="G30" i="29"/>
  <c r="Y28" i="29"/>
  <c r="J28" i="29"/>
  <c r="Y27" i="29"/>
  <c r="M24" i="29"/>
  <c r="AN23" i="29"/>
  <c r="AO23" i="29" s="1"/>
  <c r="AB23" i="29"/>
  <c r="AB22" i="29"/>
  <c r="V21" i="29"/>
  <c r="P19" i="29"/>
  <c r="AR18" i="29"/>
  <c r="AS18" i="29" s="1"/>
  <c r="G18" i="29"/>
  <c r="P17" i="29"/>
  <c r="J17" i="29"/>
  <c r="Y16" i="29"/>
  <c r="J16" i="29"/>
  <c r="Y15" i="29"/>
  <c r="S14" i="29"/>
  <c r="AV12" i="29"/>
  <c r="AW12" i="29" s="1"/>
  <c r="AF12" i="29"/>
  <c r="AG12" i="29" s="1"/>
  <c r="M12" i="29"/>
  <c r="AB11" i="29"/>
  <c r="Y11" i="29"/>
  <c r="M11" i="29"/>
  <c r="P7" i="29"/>
  <c r="AU61" i="28"/>
  <c r="AV61" i="28" s="1"/>
  <c r="AW61" i="28" s="1"/>
  <c r="AU59" i="28"/>
  <c r="AV59" i="28" s="1"/>
  <c r="AW59" i="28" s="1"/>
  <c r="AU56" i="28"/>
  <c r="AV56" i="28" s="1"/>
  <c r="AW56" i="28" s="1"/>
  <c r="AU54" i="28"/>
  <c r="AV54" i="28" s="1"/>
  <c r="AW54" i="28" s="1"/>
  <c r="AU51" i="28"/>
  <c r="AV51" i="28" s="1"/>
  <c r="AW51" i="28" s="1"/>
  <c r="AU49" i="28"/>
  <c r="AV49" i="28" s="1"/>
  <c r="AW49" i="28" s="1"/>
  <c r="AU48" i="28"/>
  <c r="AV48" i="28" s="1"/>
  <c r="AW48" i="28" s="1"/>
  <c r="AU46" i="28"/>
  <c r="AV46" i="28" s="1"/>
  <c r="AW46" i="28" s="1"/>
  <c r="AU44" i="28"/>
  <c r="AV44" i="28" s="1"/>
  <c r="AW44" i="28" s="1"/>
  <c r="AU43" i="28"/>
  <c r="AV43" i="28" s="1"/>
  <c r="AW43" i="28" s="1"/>
  <c r="AU41" i="28"/>
  <c r="AV41" i="28" s="1"/>
  <c r="AW41" i="28" s="1"/>
  <c r="AU38" i="28"/>
  <c r="AV38" i="28" s="1"/>
  <c r="AW38" i="28" s="1"/>
  <c r="AU37" i="28"/>
  <c r="AV37" i="28" s="1"/>
  <c r="AW37" i="28" s="1"/>
  <c r="AU35" i="28"/>
  <c r="AV35" i="28" s="1"/>
  <c r="AW35" i="28" s="1"/>
  <c r="AU34" i="28"/>
  <c r="AV34" i="28" s="1"/>
  <c r="AW34" i="28" s="1"/>
  <c r="AU32" i="28"/>
  <c r="AV32" i="28" s="1"/>
  <c r="AW32" i="28" s="1"/>
  <c r="AU30" i="28"/>
  <c r="AV30" i="28" s="1"/>
  <c r="AW30" i="28" s="1"/>
  <c r="AU29" i="28"/>
  <c r="AV29" i="28" s="1"/>
  <c r="AW29" i="28" s="1"/>
  <c r="AU27" i="28"/>
  <c r="AV27" i="28" s="1"/>
  <c r="AW27" i="28" s="1"/>
  <c r="AU25" i="28"/>
  <c r="AV25" i="28" s="1"/>
  <c r="AW25" i="28" s="1"/>
  <c r="AU23" i="28"/>
  <c r="AV23" i="28" s="1"/>
  <c r="AW23" i="28" s="1"/>
  <c r="AU20" i="28"/>
  <c r="AV20" i="28" s="1"/>
  <c r="AW20" i="28" s="1"/>
  <c r="AU18" i="28"/>
  <c r="AV18" i="28" s="1"/>
  <c r="AW18" i="28" s="1"/>
  <c r="AU14" i="28"/>
  <c r="AV14" i="28" s="1"/>
  <c r="AW14" i="28" s="1"/>
  <c r="AU12" i="28"/>
  <c r="AV12" i="28" s="1"/>
  <c r="AW12" i="28" s="1"/>
  <c r="AU7" i="28"/>
  <c r="AV7" i="28" s="1"/>
  <c r="AQ61" i="28"/>
  <c r="AR61" i="28" s="1"/>
  <c r="AS61" i="28" s="1"/>
  <c r="AQ59" i="28"/>
  <c r="AR59" i="28" s="1"/>
  <c r="AS59" i="28" s="1"/>
  <c r="AQ56" i="28"/>
  <c r="AR56" i="28" s="1"/>
  <c r="AS56" i="28" s="1"/>
  <c r="AQ54" i="28"/>
  <c r="AR54" i="28" s="1"/>
  <c r="AS54" i="28" s="1"/>
  <c r="AQ51" i="28"/>
  <c r="AR51" i="28" s="1"/>
  <c r="AS51" i="28" s="1"/>
  <c r="AQ49" i="28"/>
  <c r="AR49" i="28" s="1"/>
  <c r="AS49" i="28" s="1"/>
  <c r="AQ48" i="28"/>
  <c r="AR48" i="28" s="1"/>
  <c r="AS48" i="28" s="1"/>
  <c r="AQ46" i="28"/>
  <c r="AR46" i="28" s="1"/>
  <c r="AS46" i="28" s="1"/>
  <c r="AQ44" i="28"/>
  <c r="AR44" i="28" s="1"/>
  <c r="AS44" i="28" s="1"/>
  <c r="AQ43" i="28"/>
  <c r="AR43" i="28" s="1"/>
  <c r="AS43" i="28" s="1"/>
  <c r="AQ41" i="28"/>
  <c r="AR41" i="28" s="1"/>
  <c r="AS41" i="28" s="1"/>
  <c r="AQ38" i="28"/>
  <c r="AR38" i="28" s="1"/>
  <c r="AS38" i="28" s="1"/>
  <c r="AQ37" i="28"/>
  <c r="AR37" i="28" s="1"/>
  <c r="AS37" i="28" s="1"/>
  <c r="AQ35" i="28"/>
  <c r="AR35" i="28" s="1"/>
  <c r="AS35" i="28" s="1"/>
  <c r="AQ34" i="28"/>
  <c r="AR34" i="28" s="1"/>
  <c r="AS34" i="28" s="1"/>
  <c r="AQ32" i="28"/>
  <c r="AR32" i="28" s="1"/>
  <c r="AS32" i="28" s="1"/>
  <c r="AQ30" i="28"/>
  <c r="AR30" i="28" s="1"/>
  <c r="AS30" i="28" s="1"/>
  <c r="AQ29" i="28"/>
  <c r="AR29" i="28" s="1"/>
  <c r="AS29" i="28" s="1"/>
  <c r="AQ27" i="28"/>
  <c r="AR27" i="28" s="1"/>
  <c r="AS27" i="28" s="1"/>
  <c r="AQ25" i="28"/>
  <c r="AR25" i="28" s="1"/>
  <c r="AS25" i="28" s="1"/>
  <c r="AQ23" i="28"/>
  <c r="AR23" i="28" s="1"/>
  <c r="AS23" i="28" s="1"/>
  <c r="AQ20" i="28"/>
  <c r="AR20" i="28" s="1"/>
  <c r="AS20" i="28" s="1"/>
  <c r="AQ18" i="28"/>
  <c r="AR18" i="28" s="1"/>
  <c r="AS18" i="28" s="1"/>
  <c r="AQ14" i="28"/>
  <c r="AR14" i="28" s="1"/>
  <c r="AS14" i="28" s="1"/>
  <c r="AQ12" i="28"/>
  <c r="AR12" i="28" s="1"/>
  <c r="AS12" i="28" s="1"/>
  <c r="AQ7" i="28"/>
  <c r="AR7" i="28" s="1"/>
  <c r="AM61" i="28"/>
  <c r="AN61" i="28" s="1"/>
  <c r="AO61" i="28" s="1"/>
  <c r="AM59" i="28"/>
  <c r="AN59" i="28" s="1"/>
  <c r="AO59" i="28" s="1"/>
  <c r="AM56" i="28"/>
  <c r="AN56" i="28" s="1"/>
  <c r="AO56" i="28" s="1"/>
  <c r="AM54" i="28"/>
  <c r="AN54" i="28" s="1"/>
  <c r="AO54" i="28" s="1"/>
  <c r="AM51" i="28"/>
  <c r="AN51" i="28" s="1"/>
  <c r="AO51" i="28" s="1"/>
  <c r="AM49" i="28"/>
  <c r="AN49" i="28" s="1"/>
  <c r="AO49" i="28" s="1"/>
  <c r="AM48" i="28"/>
  <c r="AN48" i="28" s="1"/>
  <c r="AO48" i="28" s="1"/>
  <c r="AM46" i="28"/>
  <c r="AN46" i="28" s="1"/>
  <c r="AO46" i="28" s="1"/>
  <c r="AM44" i="28"/>
  <c r="AN44" i="28" s="1"/>
  <c r="AO44" i="28" s="1"/>
  <c r="AM43" i="28"/>
  <c r="AN43" i="28" s="1"/>
  <c r="AO43" i="28" s="1"/>
  <c r="AM41" i="28"/>
  <c r="AN41" i="28" s="1"/>
  <c r="AO41" i="28" s="1"/>
  <c r="AM38" i="28"/>
  <c r="AN38" i="28" s="1"/>
  <c r="AO38" i="28" s="1"/>
  <c r="AM37" i="28"/>
  <c r="AN37" i="28" s="1"/>
  <c r="AO37" i="28" s="1"/>
  <c r="AM35" i="28"/>
  <c r="AN35" i="28" s="1"/>
  <c r="AO35" i="28" s="1"/>
  <c r="AM34" i="28"/>
  <c r="AN34" i="28" s="1"/>
  <c r="AO34" i="28" s="1"/>
  <c r="AM32" i="28"/>
  <c r="AN32" i="28" s="1"/>
  <c r="AO32" i="28" s="1"/>
  <c r="AM30" i="28"/>
  <c r="AN30" i="28" s="1"/>
  <c r="AO30" i="28" s="1"/>
  <c r="AM29" i="28"/>
  <c r="AN29" i="28" s="1"/>
  <c r="AO29" i="28" s="1"/>
  <c r="AM27" i="28"/>
  <c r="AN27" i="28" s="1"/>
  <c r="AO27" i="28" s="1"/>
  <c r="AM25" i="28"/>
  <c r="AN25" i="28" s="1"/>
  <c r="AO25" i="28" s="1"/>
  <c r="AM23" i="28"/>
  <c r="AN23" i="28" s="1"/>
  <c r="AO23" i="28" s="1"/>
  <c r="AM20" i="28"/>
  <c r="AN20" i="28" s="1"/>
  <c r="AO20" i="28" s="1"/>
  <c r="AM18" i="28"/>
  <c r="AN18" i="28" s="1"/>
  <c r="AO18" i="28" s="1"/>
  <c r="AM14" i="28"/>
  <c r="AN14" i="28" s="1"/>
  <c r="AO14" i="28" s="1"/>
  <c r="AM12" i="28"/>
  <c r="AM7" i="28"/>
  <c r="AN7" i="28" s="1"/>
  <c r="AI61" i="28"/>
  <c r="AJ61" i="28" s="1"/>
  <c r="AK61" i="28" s="1"/>
  <c r="AI59" i="28"/>
  <c r="AJ59" i="28" s="1"/>
  <c r="AK59" i="28" s="1"/>
  <c r="AI56" i="28"/>
  <c r="AJ56" i="28" s="1"/>
  <c r="AK56" i="28" s="1"/>
  <c r="AI54" i="28"/>
  <c r="AJ54" i="28" s="1"/>
  <c r="AK54" i="28" s="1"/>
  <c r="AI51" i="28"/>
  <c r="AJ51" i="28" s="1"/>
  <c r="AK51" i="28" s="1"/>
  <c r="AI49" i="28"/>
  <c r="AJ49" i="28" s="1"/>
  <c r="AK49" i="28" s="1"/>
  <c r="AI48" i="28"/>
  <c r="AJ48" i="28" s="1"/>
  <c r="AK48" i="28" s="1"/>
  <c r="AI46" i="28"/>
  <c r="AJ46" i="28" s="1"/>
  <c r="AK46" i="28" s="1"/>
  <c r="AI44" i="28"/>
  <c r="AJ44" i="28" s="1"/>
  <c r="AK44" i="28" s="1"/>
  <c r="AI43" i="28"/>
  <c r="AJ43" i="28" s="1"/>
  <c r="AK43" i="28" s="1"/>
  <c r="AI41" i="28"/>
  <c r="AJ41" i="28" s="1"/>
  <c r="AK41" i="28" s="1"/>
  <c r="AI38" i="28"/>
  <c r="AJ38" i="28" s="1"/>
  <c r="AK38" i="28" s="1"/>
  <c r="AI37" i="28"/>
  <c r="AJ37" i="28" s="1"/>
  <c r="AK37" i="28" s="1"/>
  <c r="AI35" i="28"/>
  <c r="AJ35" i="28" s="1"/>
  <c r="AK35" i="28" s="1"/>
  <c r="AI34" i="28"/>
  <c r="AJ34" i="28" s="1"/>
  <c r="AK34" i="28" s="1"/>
  <c r="AI32" i="28"/>
  <c r="AJ32" i="28" s="1"/>
  <c r="AK32" i="28" s="1"/>
  <c r="AI30" i="28"/>
  <c r="AJ30" i="28" s="1"/>
  <c r="AK30" i="28" s="1"/>
  <c r="AI29" i="28"/>
  <c r="AJ29" i="28" s="1"/>
  <c r="AK29" i="28" s="1"/>
  <c r="AI27" i="28"/>
  <c r="AJ27" i="28" s="1"/>
  <c r="AK27" i="28" s="1"/>
  <c r="AI25" i="28"/>
  <c r="AJ25" i="28" s="1"/>
  <c r="AK25" i="28" s="1"/>
  <c r="AI23" i="28"/>
  <c r="AJ23" i="28" s="1"/>
  <c r="AK23" i="28" s="1"/>
  <c r="AI20" i="28"/>
  <c r="AJ20" i="28" s="1"/>
  <c r="AK20" i="28" s="1"/>
  <c r="AI18" i="28"/>
  <c r="AJ18" i="28" s="1"/>
  <c r="AK18" i="28" s="1"/>
  <c r="AI14" i="28"/>
  <c r="AJ14" i="28" s="1"/>
  <c r="AK14" i="28" s="1"/>
  <c r="AI12" i="28"/>
  <c r="AJ12" i="28" s="1"/>
  <c r="AK12" i="28" s="1"/>
  <c r="AI7" i="28"/>
  <c r="AJ7" i="28" s="1"/>
  <c r="AE61" i="28"/>
  <c r="AF61" i="28" s="1"/>
  <c r="AG61" i="28" s="1"/>
  <c r="AE59" i="28"/>
  <c r="AF59" i="28" s="1"/>
  <c r="AG59" i="28" s="1"/>
  <c r="AE56" i="28"/>
  <c r="AF56" i="28" s="1"/>
  <c r="AG56" i="28" s="1"/>
  <c r="AE54" i="28"/>
  <c r="AF54" i="28" s="1"/>
  <c r="AG54" i="28" s="1"/>
  <c r="AE51" i="28"/>
  <c r="AF51" i="28" s="1"/>
  <c r="AG51" i="28" s="1"/>
  <c r="AE49" i="28"/>
  <c r="AF49" i="28" s="1"/>
  <c r="AG49" i="28" s="1"/>
  <c r="AE48" i="28"/>
  <c r="AF48" i="28" s="1"/>
  <c r="AG48" i="28" s="1"/>
  <c r="AE46" i="28"/>
  <c r="AF46" i="28" s="1"/>
  <c r="AG46" i="28" s="1"/>
  <c r="AE44" i="28"/>
  <c r="AF44" i="28" s="1"/>
  <c r="AG44" i="28" s="1"/>
  <c r="AE43" i="28"/>
  <c r="AF43" i="28" s="1"/>
  <c r="AG43" i="28" s="1"/>
  <c r="AE41" i="28"/>
  <c r="AF41" i="28" s="1"/>
  <c r="AG41" i="28" s="1"/>
  <c r="AE38" i="28"/>
  <c r="AF38" i="28" s="1"/>
  <c r="AG38" i="28" s="1"/>
  <c r="AE37" i="28"/>
  <c r="AF37" i="28" s="1"/>
  <c r="AG37" i="28" s="1"/>
  <c r="AE35" i="28"/>
  <c r="AF35" i="28" s="1"/>
  <c r="AG35" i="28" s="1"/>
  <c r="AE34" i="28"/>
  <c r="AF34" i="28" s="1"/>
  <c r="AG34" i="28" s="1"/>
  <c r="AE32" i="28"/>
  <c r="AE30" i="28"/>
  <c r="AF30" i="28" s="1"/>
  <c r="AG30" i="28" s="1"/>
  <c r="AE29" i="28"/>
  <c r="AF29" i="28" s="1"/>
  <c r="AG29" i="28" s="1"/>
  <c r="AE27" i="28"/>
  <c r="AF27" i="28" s="1"/>
  <c r="AG27" i="28" s="1"/>
  <c r="AE25" i="28"/>
  <c r="AF25" i="28" s="1"/>
  <c r="AG25" i="28" s="1"/>
  <c r="AE23" i="28"/>
  <c r="AF23" i="28" s="1"/>
  <c r="AG23" i="28" s="1"/>
  <c r="AE20" i="28"/>
  <c r="AF20" i="28" s="1"/>
  <c r="AG20" i="28" s="1"/>
  <c r="AE18" i="28"/>
  <c r="AF18" i="28" s="1"/>
  <c r="AG18" i="28" s="1"/>
  <c r="AE14" i="28"/>
  <c r="AF14" i="28" s="1"/>
  <c r="AG14" i="28" s="1"/>
  <c r="AE12" i="28"/>
  <c r="AF12" i="28" s="1"/>
  <c r="AG12" i="28" s="1"/>
  <c r="AE7" i="28"/>
  <c r="AF7" i="28" s="1"/>
  <c r="AA6" i="28"/>
  <c r="AB6" i="28" s="1"/>
  <c r="AA7" i="28"/>
  <c r="AB7" i="28" s="1"/>
  <c r="AA8" i="28"/>
  <c r="AB8" i="28" s="1"/>
  <c r="AA9" i="28"/>
  <c r="AB9" i="28" s="1"/>
  <c r="AA10" i="28"/>
  <c r="AB10" i="28" s="1"/>
  <c r="AA11" i="28"/>
  <c r="AB11" i="28" s="1"/>
  <c r="AA12" i="28"/>
  <c r="AB12" i="28" s="1"/>
  <c r="AA13" i="28"/>
  <c r="AB13" i="28" s="1"/>
  <c r="AA14" i="28"/>
  <c r="AB14" i="28" s="1"/>
  <c r="AA15" i="28"/>
  <c r="AB15" i="28" s="1"/>
  <c r="AA16" i="28"/>
  <c r="AB16" i="28" s="1"/>
  <c r="AA17" i="28"/>
  <c r="AB17" i="28" s="1"/>
  <c r="AA18" i="28"/>
  <c r="AB18" i="28" s="1"/>
  <c r="AA19" i="28"/>
  <c r="AB19" i="28" s="1"/>
  <c r="AA20" i="28"/>
  <c r="AB20" i="28" s="1"/>
  <c r="AA21" i="28"/>
  <c r="AB21" i="28" s="1"/>
  <c r="AA22" i="28"/>
  <c r="AB22" i="28" s="1"/>
  <c r="AA23" i="28"/>
  <c r="AB23" i="28" s="1"/>
  <c r="AA24" i="28"/>
  <c r="AB24" i="28" s="1"/>
  <c r="AA25" i="28"/>
  <c r="AB25" i="28" s="1"/>
  <c r="AA27" i="28"/>
  <c r="AB27" i="28" s="1"/>
  <c r="AA28" i="28"/>
  <c r="AB28" i="28" s="1"/>
  <c r="AA30" i="28"/>
  <c r="AB30" i="28" s="1"/>
  <c r="AA31" i="28"/>
  <c r="AB31" i="28" s="1"/>
  <c r="AA33" i="28"/>
  <c r="AB33" i="28" s="1"/>
  <c r="AA34" i="28"/>
  <c r="AB34" i="28" s="1"/>
  <c r="AA35" i="28"/>
  <c r="AB35" i="28" s="1"/>
  <c r="AA36" i="28"/>
  <c r="AB36" i="28" s="1"/>
  <c r="AA38" i="28"/>
  <c r="AB38" i="28" s="1"/>
  <c r="AA39" i="28"/>
  <c r="AB39" i="28" s="1"/>
  <c r="AA41" i="28"/>
  <c r="AB41" i="28" s="1"/>
  <c r="AA42" i="28"/>
  <c r="AB42" i="28" s="1"/>
  <c r="AA43" i="28"/>
  <c r="AB43" i="28" s="1"/>
  <c r="AA45" i="28"/>
  <c r="AB45" i="28" s="1"/>
  <c r="AA47" i="28"/>
  <c r="AB47" i="28" s="1"/>
  <c r="AA48" i="28"/>
  <c r="AB48" i="28" s="1"/>
  <c r="AA50" i="28"/>
  <c r="AB50" i="28" s="1"/>
  <c r="AA51" i="28"/>
  <c r="AB51" i="28" s="1"/>
  <c r="AA53" i="28"/>
  <c r="AB53" i="28" s="1"/>
  <c r="AA54" i="28"/>
  <c r="AB54" i="28" s="1"/>
  <c r="AA55" i="28"/>
  <c r="AB55" i="28" s="1"/>
  <c r="AA56" i="28"/>
  <c r="AB56" i="28" s="1"/>
  <c r="AA57" i="28"/>
  <c r="AB57" i="28" s="1"/>
  <c r="AA58" i="28"/>
  <c r="AB58" i="28" s="1"/>
  <c r="AA59" i="28"/>
  <c r="AB59" i="28" s="1"/>
  <c r="AA60" i="28"/>
  <c r="AB60" i="28" s="1"/>
  <c r="AA63" i="28"/>
  <c r="AB63" i="28" s="1"/>
  <c r="AA64" i="28"/>
  <c r="AB64" i="28" s="1"/>
  <c r="AA5" i="28"/>
  <c r="X6" i="28"/>
  <c r="Y6" i="28" s="1"/>
  <c r="X7" i="28"/>
  <c r="Y7" i="28" s="1"/>
  <c r="X8" i="28"/>
  <c r="Y8" i="28" s="1"/>
  <c r="X9" i="28"/>
  <c r="Y9" i="28" s="1"/>
  <c r="X10" i="28"/>
  <c r="X11" i="28"/>
  <c r="Y11" i="28" s="1"/>
  <c r="X12" i="28"/>
  <c r="Y12" i="28" s="1"/>
  <c r="X13" i="28"/>
  <c r="Y13" i="28" s="1"/>
  <c r="X14" i="28"/>
  <c r="Y14" i="28" s="1"/>
  <c r="X15" i="28"/>
  <c r="Y15" i="28" s="1"/>
  <c r="X16" i="28"/>
  <c r="Y16" i="28" s="1"/>
  <c r="X17" i="28"/>
  <c r="Y17" i="28" s="1"/>
  <c r="X18" i="28"/>
  <c r="Y18" i="28" s="1"/>
  <c r="X19" i="28"/>
  <c r="Y19" i="28" s="1"/>
  <c r="X20" i="28"/>
  <c r="Y20" i="28" s="1"/>
  <c r="X21" i="28"/>
  <c r="Y21" i="28" s="1"/>
  <c r="X22" i="28"/>
  <c r="Y22" i="28" s="1"/>
  <c r="X23" i="28"/>
  <c r="Y23" i="28" s="1"/>
  <c r="X24" i="28"/>
  <c r="Y24" i="28" s="1"/>
  <c r="X25" i="28"/>
  <c r="Y25" i="28" s="1"/>
  <c r="X27" i="28"/>
  <c r="Y27" i="28" s="1"/>
  <c r="X28" i="28"/>
  <c r="Y28" i="28" s="1"/>
  <c r="X30" i="28"/>
  <c r="Y30" i="28" s="1"/>
  <c r="X31" i="28"/>
  <c r="Y31" i="28" s="1"/>
  <c r="X33" i="28"/>
  <c r="Y33" i="28" s="1"/>
  <c r="X34" i="28"/>
  <c r="Y34" i="28" s="1"/>
  <c r="X35" i="28"/>
  <c r="Y35" i="28" s="1"/>
  <c r="X36" i="28"/>
  <c r="Y36" i="28" s="1"/>
  <c r="X38" i="28"/>
  <c r="Y38" i="28" s="1"/>
  <c r="X39" i="28"/>
  <c r="Y39" i="28" s="1"/>
  <c r="X41" i="28"/>
  <c r="Y41" i="28" s="1"/>
  <c r="X42" i="28"/>
  <c r="Y42" i="28" s="1"/>
  <c r="X43" i="28"/>
  <c r="Y43" i="28" s="1"/>
  <c r="X45" i="28"/>
  <c r="Y45" i="28" s="1"/>
  <c r="X47" i="28"/>
  <c r="Y47" i="28" s="1"/>
  <c r="X48" i="28"/>
  <c r="Y48" i="28" s="1"/>
  <c r="X50" i="28"/>
  <c r="Y50" i="28" s="1"/>
  <c r="X51" i="28"/>
  <c r="Y51" i="28" s="1"/>
  <c r="X53" i="28"/>
  <c r="Y53" i="28" s="1"/>
  <c r="X54" i="28"/>
  <c r="Y54" i="28" s="1"/>
  <c r="X55" i="28"/>
  <c r="Y55" i="28" s="1"/>
  <c r="X56" i="28"/>
  <c r="Y56" i="28" s="1"/>
  <c r="X57" i="28"/>
  <c r="Y57" i="28" s="1"/>
  <c r="X58" i="28"/>
  <c r="Y58" i="28" s="1"/>
  <c r="X59" i="28"/>
  <c r="Y59" i="28" s="1"/>
  <c r="X60" i="28"/>
  <c r="Y60" i="28" s="1"/>
  <c r="X63" i="28"/>
  <c r="Y63" i="28" s="1"/>
  <c r="X64" i="28"/>
  <c r="Y64" i="28" s="1"/>
  <c r="X5" i="28"/>
  <c r="Y5" i="28" s="1"/>
  <c r="U6" i="28"/>
  <c r="V6" i="28" s="1"/>
  <c r="U7" i="28"/>
  <c r="V7" i="28" s="1"/>
  <c r="U8" i="28"/>
  <c r="V8" i="28" s="1"/>
  <c r="U9" i="28"/>
  <c r="V9" i="28" s="1"/>
  <c r="U10" i="28"/>
  <c r="V10" i="28" s="1"/>
  <c r="U11" i="28"/>
  <c r="V11" i="28" s="1"/>
  <c r="U12" i="28"/>
  <c r="V12" i="28" s="1"/>
  <c r="U13" i="28"/>
  <c r="V13" i="28" s="1"/>
  <c r="U14" i="28"/>
  <c r="V14" i="28" s="1"/>
  <c r="U15" i="28"/>
  <c r="V15" i="28" s="1"/>
  <c r="U16" i="28"/>
  <c r="V16" i="28" s="1"/>
  <c r="U17" i="28"/>
  <c r="V17" i="28" s="1"/>
  <c r="U18" i="28"/>
  <c r="V18" i="28" s="1"/>
  <c r="U19" i="28"/>
  <c r="V19" i="28" s="1"/>
  <c r="U20" i="28"/>
  <c r="V20" i="28" s="1"/>
  <c r="U21" i="28"/>
  <c r="V21" i="28" s="1"/>
  <c r="U22" i="28"/>
  <c r="V22" i="28" s="1"/>
  <c r="U23" i="28"/>
  <c r="V23" i="28" s="1"/>
  <c r="U24" i="28"/>
  <c r="V24" i="28" s="1"/>
  <c r="U25" i="28"/>
  <c r="V25" i="28" s="1"/>
  <c r="U27" i="28"/>
  <c r="V27" i="28" s="1"/>
  <c r="U28" i="28"/>
  <c r="V28" i="28" s="1"/>
  <c r="U30" i="28"/>
  <c r="V30" i="28" s="1"/>
  <c r="U31" i="28"/>
  <c r="U33" i="28"/>
  <c r="V33" i="28" s="1"/>
  <c r="U34" i="28"/>
  <c r="V34" i="28" s="1"/>
  <c r="U35" i="28"/>
  <c r="V35" i="28" s="1"/>
  <c r="U36" i="28"/>
  <c r="V36" i="28" s="1"/>
  <c r="U38" i="28"/>
  <c r="V38" i="28" s="1"/>
  <c r="U39" i="28"/>
  <c r="V39" i="28" s="1"/>
  <c r="U41" i="28"/>
  <c r="V41" i="28" s="1"/>
  <c r="U42" i="28"/>
  <c r="V42" i="28" s="1"/>
  <c r="U43" i="28"/>
  <c r="V43" i="28" s="1"/>
  <c r="U45" i="28"/>
  <c r="V45" i="28" s="1"/>
  <c r="U47" i="28"/>
  <c r="V47" i="28" s="1"/>
  <c r="U48" i="28"/>
  <c r="V48" i="28" s="1"/>
  <c r="U50" i="28"/>
  <c r="V50" i="28" s="1"/>
  <c r="U51" i="28"/>
  <c r="V51" i="28" s="1"/>
  <c r="U53" i="28"/>
  <c r="V53" i="28" s="1"/>
  <c r="U54" i="28"/>
  <c r="V54" i="28" s="1"/>
  <c r="U55" i="28"/>
  <c r="V55" i="28" s="1"/>
  <c r="U56" i="28"/>
  <c r="V56" i="28" s="1"/>
  <c r="U57" i="28"/>
  <c r="V57" i="28" s="1"/>
  <c r="U58" i="28"/>
  <c r="V58" i="28" s="1"/>
  <c r="U59" i="28"/>
  <c r="V59" i="28" s="1"/>
  <c r="U60" i="28"/>
  <c r="V60" i="28" s="1"/>
  <c r="U63" i="28"/>
  <c r="V63" i="28" s="1"/>
  <c r="U64" i="28"/>
  <c r="V64" i="28" s="1"/>
  <c r="U5" i="28"/>
  <c r="V5" i="28" s="1"/>
  <c r="R6" i="28"/>
  <c r="S6" i="28" s="1"/>
  <c r="R7" i="28"/>
  <c r="R8" i="28"/>
  <c r="S8" i="28" s="1"/>
  <c r="R9" i="28"/>
  <c r="S9" i="28" s="1"/>
  <c r="R10" i="28"/>
  <c r="S10" i="28" s="1"/>
  <c r="R11" i="28"/>
  <c r="S11" i="28" s="1"/>
  <c r="R12" i="28"/>
  <c r="S12" i="28" s="1"/>
  <c r="R13" i="28"/>
  <c r="S13" i="28" s="1"/>
  <c r="R14" i="28"/>
  <c r="S14" i="28" s="1"/>
  <c r="R15" i="28"/>
  <c r="S15" i="28" s="1"/>
  <c r="R16" i="28"/>
  <c r="S16" i="28" s="1"/>
  <c r="R17" i="28"/>
  <c r="S17" i="28" s="1"/>
  <c r="R18" i="28"/>
  <c r="S18" i="28" s="1"/>
  <c r="R19" i="28"/>
  <c r="S19" i="28" s="1"/>
  <c r="R20" i="28"/>
  <c r="S20" i="28" s="1"/>
  <c r="R21" i="28"/>
  <c r="S21" i="28" s="1"/>
  <c r="R22" i="28"/>
  <c r="S22" i="28" s="1"/>
  <c r="R23" i="28"/>
  <c r="S23" i="28" s="1"/>
  <c r="R24" i="28"/>
  <c r="S24" i="28" s="1"/>
  <c r="R25" i="28"/>
  <c r="S25" i="28" s="1"/>
  <c r="R27" i="28"/>
  <c r="S27" i="28" s="1"/>
  <c r="R28" i="28"/>
  <c r="S28" i="28" s="1"/>
  <c r="R30" i="28"/>
  <c r="S30" i="28" s="1"/>
  <c r="R31" i="28"/>
  <c r="S31" i="28" s="1"/>
  <c r="R33" i="28"/>
  <c r="S33" i="28" s="1"/>
  <c r="R34" i="28"/>
  <c r="S34" i="28" s="1"/>
  <c r="R35" i="28"/>
  <c r="S35" i="28" s="1"/>
  <c r="R36" i="28"/>
  <c r="S36" i="28" s="1"/>
  <c r="R38" i="28"/>
  <c r="S38" i="28" s="1"/>
  <c r="R39" i="28"/>
  <c r="S39" i="28" s="1"/>
  <c r="R41" i="28"/>
  <c r="S41" i="28" s="1"/>
  <c r="R42" i="28"/>
  <c r="S42" i="28" s="1"/>
  <c r="R43" i="28"/>
  <c r="S43" i="28" s="1"/>
  <c r="R45" i="28"/>
  <c r="S45" i="28" s="1"/>
  <c r="R47" i="28"/>
  <c r="S47" i="28" s="1"/>
  <c r="R48" i="28"/>
  <c r="R50" i="28"/>
  <c r="S50" i="28" s="1"/>
  <c r="R51" i="28"/>
  <c r="S51" i="28" s="1"/>
  <c r="R53" i="28"/>
  <c r="S53" i="28" s="1"/>
  <c r="R54" i="28"/>
  <c r="S54" i="28" s="1"/>
  <c r="R55" i="28"/>
  <c r="S55" i="28" s="1"/>
  <c r="R56" i="28"/>
  <c r="S56" i="28" s="1"/>
  <c r="R57" i="28"/>
  <c r="S57" i="28" s="1"/>
  <c r="R58" i="28"/>
  <c r="S58" i="28" s="1"/>
  <c r="R59" i="28"/>
  <c r="S59" i="28" s="1"/>
  <c r="R60" i="28"/>
  <c r="S60" i="28" s="1"/>
  <c r="R63" i="28"/>
  <c r="S63" i="28" s="1"/>
  <c r="R64" i="28"/>
  <c r="S64" i="28" s="1"/>
  <c r="R5" i="28"/>
  <c r="S5" i="28" s="1"/>
  <c r="O45" i="28"/>
  <c r="P45" i="28" s="1"/>
  <c r="O6" i="28"/>
  <c r="P6" i="28" s="1"/>
  <c r="O7" i="28"/>
  <c r="P7" i="28" s="1"/>
  <c r="O8" i="28"/>
  <c r="P8" i="28" s="1"/>
  <c r="O9" i="28"/>
  <c r="P9" i="28" s="1"/>
  <c r="O10" i="28"/>
  <c r="P10" i="28" s="1"/>
  <c r="O11" i="28"/>
  <c r="P11" i="28" s="1"/>
  <c r="O12" i="28"/>
  <c r="P12" i="28" s="1"/>
  <c r="O13" i="28"/>
  <c r="P13" i="28" s="1"/>
  <c r="O14" i="28"/>
  <c r="P14" i="28" s="1"/>
  <c r="O15" i="28"/>
  <c r="P15" i="28" s="1"/>
  <c r="O16" i="28"/>
  <c r="P16" i="28" s="1"/>
  <c r="O17" i="28"/>
  <c r="P17" i="28" s="1"/>
  <c r="O18" i="28"/>
  <c r="P18" i="28" s="1"/>
  <c r="O19" i="28"/>
  <c r="P19" i="28" s="1"/>
  <c r="O20" i="28"/>
  <c r="P20" i="28" s="1"/>
  <c r="O21" i="28"/>
  <c r="P21" i="28" s="1"/>
  <c r="O22" i="28"/>
  <c r="P22" i="28" s="1"/>
  <c r="O23" i="28"/>
  <c r="P23" i="28" s="1"/>
  <c r="O24" i="28"/>
  <c r="P24" i="28" s="1"/>
  <c r="O25" i="28"/>
  <c r="P25" i="28" s="1"/>
  <c r="O27" i="28"/>
  <c r="P27" i="28" s="1"/>
  <c r="O28" i="28"/>
  <c r="P28" i="28" s="1"/>
  <c r="O30" i="28"/>
  <c r="P30" i="28" s="1"/>
  <c r="O31" i="28"/>
  <c r="P31" i="28" s="1"/>
  <c r="O33" i="28"/>
  <c r="P33" i="28" s="1"/>
  <c r="O34" i="28"/>
  <c r="P34" i="28" s="1"/>
  <c r="O35" i="28"/>
  <c r="P35" i="28" s="1"/>
  <c r="O36" i="28"/>
  <c r="P36" i="28" s="1"/>
  <c r="O38" i="28"/>
  <c r="P38" i="28" s="1"/>
  <c r="O39" i="28"/>
  <c r="P39" i="28" s="1"/>
  <c r="O41" i="28"/>
  <c r="P41" i="28" s="1"/>
  <c r="O42" i="28"/>
  <c r="P42" i="28" s="1"/>
  <c r="O43" i="28"/>
  <c r="P43" i="28" s="1"/>
  <c r="O47" i="28"/>
  <c r="P47" i="28" s="1"/>
  <c r="O48" i="28"/>
  <c r="P48" i="28" s="1"/>
  <c r="O50" i="28"/>
  <c r="P50" i="28" s="1"/>
  <c r="O51" i="28"/>
  <c r="P51" i="28" s="1"/>
  <c r="O53" i="28"/>
  <c r="P53" i="28" s="1"/>
  <c r="O54" i="28"/>
  <c r="P54" i="28" s="1"/>
  <c r="O55" i="28"/>
  <c r="P55" i="28" s="1"/>
  <c r="O56" i="28"/>
  <c r="P56" i="28" s="1"/>
  <c r="O57" i="28"/>
  <c r="P57" i="28" s="1"/>
  <c r="O58" i="28"/>
  <c r="P58" i="28" s="1"/>
  <c r="O59" i="28"/>
  <c r="P59" i="28" s="1"/>
  <c r="O60" i="28"/>
  <c r="P60" i="28" s="1"/>
  <c r="O63" i="28"/>
  <c r="P63" i="28" s="1"/>
  <c r="O64" i="28"/>
  <c r="P64" i="28" s="1"/>
  <c r="O5" i="28"/>
  <c r="P5" i="28" s="1"/>
  <c r="L60" i="28"/>
  <c r="M60" i="28" s="1"/>
  <c r="L50" i="28"/>
  <c r="M50" i="28" s="1"/>
  <c r="L39" i="28"/>
  <c r="M39" i="28" s="1"/>
  <c r="L41" i="28"/>
  <c r="M41" i="28" s="1"/>
  <c r="L42" i="28"/>
  <c r="M42" i="28" s="1"/>
  <c r="L43" i="28"/>
  <c r="M43" i="28" s="1"/>
  <c r="L45" i="28"/>
  <c r="M45" i="28" s="1"/>
  <c r="L47" i="28"/>
  <c r="M47" i="28" s="1"/>
  <c r="L48" i="28"/>
  <c r="M48" i="28" s="1"/>
  <c r="L51" i="28"/>
  <c r="M51" i="28" s="1"/>
  <c r="L53" i="28"/>
  <c r="M53" i="28" s="1"/>
  <c r="L54" i="28"/>
  <c r="M54" i="28" s="1"/>
  <c r="L55" i="28"/>
  <c r="M55" i="28" s="1"/>
  <c r="L56" i="28"/>
  <c r="M56" i="28" s="1"/>
  <c r="L57" i="28"/>
  <c r="M57" i="28" s="1"/>
  <c r="L58" i="28"/>
  <c r="M58" i="28" s="1"/>
  <c r="L59" i="28"/>
  <c r="M59" i="28" s="1"/>
  <c r="L63" i="28"/>
  <c r="M63" i="28" s="1"/>
  <c r="L64" i="28"/>
  <c r="M64" i="28" s="1"/>
  <c r="L30" i="28"/>
  <c r="M30" i="28" s="1"/>
  <c r="L31" i="28"/>
  <c r="M31" i="28" s="1"/>
  <c r="L33" i="28"/>
  <c r="M33" i="28" s="1"/>
  <c r="L34" i="28"/>
  <c r="M34" i="28" s="1"/>
  <c r="L35" i="28"/>
  <c r="M35" i="28" s="1"/>
  <c r="L36" i="28"/>
  <c r="M36" i="28" s="1"/>
  <c r="L38" i="28"/>
  <c r="M38" i="28" s="1"/>
  <c r="L6" i="28"/>
  <c r="M6" i="28" s="1"/>
  <c r="L7" i="28"/>
  <c r="M7" i="28" s="1"/>
  <c r="L8" i="28"/>
  <c r="M8" i="28" s="1"/>
  <c r="L9" i="28"/>
  <c r="M9" i="28" s="1"/>
  <c r="L10" i="28"/>
  <c r="M10" i="28" s="1"/>
  <c r="L11" i="28"/>
  <c r="M11" i="28" s="1"/>
  <c r="L12" i="28"/>
  <c r="M12" i="28" s="1"/>
  <c r="L13" i="28"/>
  <c r="M13" i="28" s="1"/>
  <c r="L14" i="28"/>
  <c r="M14" i="28" s="1"/>
  <c r="L15" i="28"/>
  <c r="M15" i="28" s="1"/>
  <c r="L16" i="28"/>
  <c r="M16" i="28" s="1"/>
  <c r="L17" i="28"/>
  <c r="M17" i="28" s="1"/>
  <c r="L18" i="28"/>
  <c r="M18" i="28" s="1"/>
  <c r="L19" i="28"/>
  <c r="M19" i="28" s="1"/>
  <c r="L20" i="28"/>
  <c r="M20" i="28" s="1"/>
  <c r="L21" i="28"/>
  <c r="M21" i="28" s="1"/>
  <c r="L22" i="28"/>
  <c r="M22" i="28" s="1"/>
  <c r="L23" i="28"/>
  <c r="M23" i="28" s="1"/>
  <c r="L24" i="28"/>
  <c r="M24" i="28" s="1"/>
  <c r="L25" i="28"/>
  <c r="M25" i="28" s="1"/>
  <c r="L27" i="28"/>
  <c r="M27" i="28" s="1"/>
  <c r="L28" i="28"/>
  <c r="M28" i="28" s="1"/>
  <c r="L5" i="28"/>
  <c r="I6" i="28"/>
  <c r="J6" i="28" s="1"/>
  <c r="I7" i="28"/>
  <c r="J7" i="28" s="1"/>
  <c r="I8" i="28"/>
  <c r="J8" i="28" s="1"/>
  <c r="I9" i="28"/>
  <c r="J9" i="28" s="1"/>
  <c r="I10" i="28"/>
  <c r="J10" i="28" s="1"/>
  <c r="I11" i="28"/>
  <c r="J11" i="28" s="1"/>
  <c r="I12" i="28"/>
  <c r="J12" i="28" s="1"/>
  <c r="I13" i="28"/>
  <c r="J13" i="28" s="1"/>
  <c r="I14" i="28"/>
  <c r="J14" i="28" s="1"/>
  <c r="I15" i="28"/>
  <c r="J15" i="28" s="1"/>
  <c r="I16" i="28"/>
  <c r="J16" i="28" s="1"/>
  <c r="I17" i="28"/>
  <c r="J17" i="28" s="1"/>
  <c r="I18" i="28"/>
  <c r="J18" i="28" s="1"/>
  <c r="I19" i="28"/>
  <c r="J19" i="28" s="1"/>
  <c r="I20" i="28"/>
  <c r="J20" i="28" s="1"/>
  <c r="I21" i="28"/>
  <c r="J21" i="28" s="1"/>
  <c r="I22" i="28"/>
  <c r="J22" i="28" s="1"/>
  <c r="I23" i="28"/>
  <c r="J23" i="28" s="1"/>
  <c r="I24" i="28"/>
  <c r="J24" i="28" s="1"/>
  <c r="I25" i="28"/>
  <c r="J25" i="28" s="1"/>
  <c r="I27" i="28"/>
  <c r="J27" i="28" s="1"/>
  <c r="I28" i="28"/>
  <c r="J28" i="28" s="1"/>
  <c r="I30" i="28"/>
  <c r="J30" i="28" s="1"/>
  <c r="I31" i="28"/>
  <c r="J31" i="28" s="1"/>
  <c r="I33" i="28"/>
  <c r="J33" i="28" s="1"/>
  <c r="I34" i="28"/>
  <c r="J34" i="28" s="1"/>
  <c r="I35" i="28"/>
  <c r="J35" i="28" s="1"/>
  <c r="I36" i="28"/>
  <c r="J36" i="28" s="1"/>
  <c r="I38" i="28"/>
  <c r="J38" i="28" s="1"/>
  <c r="I39" i="28"/>
  <c r="J39" i="28" s="1"/>
  <c r="I41" i="28"/>
  <c r="J41" i="28" s="1"/>
  <c r="I42" i="28"/>
  <c r="J42" i="28" s="1"/>
  <c r="I43" i="28"/>
  <c r="J43" i="28" s="1"/>
  <c r="I45" i="28"/>
  <c r="J45" i="28" s="1"/>
  <c r="I47" i="28"/>
  <c r="J47" i="28" s="1"/>
  <c r="I48" i="28"/>
  <c r="J48" i="28" s="1"/>
  <c r="I50" i="28"/>
  <c r="J50" i="28" s="1"/>
  <c r="I51" i="28"/>
  <c r="J51" i="28" s="1"/>
  <c r="I54" i="28"/>
  <c r="J54" i="28" s="1"/>
  <c r="I55" i="28"/>
  <c r="J55" i="28" s="1"/>
  <c r="I56" i="28"/>
  <c r="J56" i="28" s="1"/>
  <c r="I57" i="28"/>
  <c r="J57" i="28" s="1"/>
  <c r="I58" i="28"/>
  <c r="J58" i="28" s="1"/>
  <c r="I59" i="28"/>
  <c r="J59" i="28" s="1"/>
  <c r="I60" i="28"/>
  <c r="J60" i="28" s="1"/>
  <c r="I63" i="28"/>
  <c r="J63" i="28" s="1"/>
  <c r="I64" i="28"/>
  <c r="J64" i="28" s="1"/>
  <c r="I5" i="28"/>
  <c r="F27" i="28"/>
  <c r="G27" i="28" s="1"/>
  <c r="F28" i="28"/>
  <c r="G28" i="28" s="1"/>
  <c r="F30" i="28"/>
  <c r="G30" i="28" s="1"/>
  <c r="F31" i="28"/>
  <c r="G31" i="28" s="1"/>
  <c r="F33" i="28"/>
  <c r="G33" i="28" s="1"/>
  <c r="F34" i="28"/>
  <c r="G34" i="28" s="1"/>
  <c r="F35" i="28"/>
  <c r="G35" i="28" s="1"/>
  <c r="F36" i="28"/>
  <c r="F38" i="28"/>
  <c r="G38" i="28" s="1"/>
  <c r="F39" i="28"/>
  <c r="G39" i="28" s="1"/>
  <c r="F41" i="28"/>
  <c r="G41" i="28" s="1"/>
  <c r="F42" i="28"/>
  <c r="G42" i="28" s="1"/>
  <c r="F43" i="28"/>
  <c r="G43" i="28" s="1"/>
  <c r="F45" i="28"/>
  <c r="G45" i="28" s="1"/>
  <c r="F47" i="28"/>
  <c r="G47" i="28" s="1"/>
  <c r="F48" i="28"/>
  <c r="G48" i="28" s="1"/>
  <c r="F50" i="28"/>
  <c r="G50" i="28" s="1"/>
  <c r="F51" i="28"/>
  <c r="G51" i="28" s="1"/>
  <c r="F53" i="28"/>
  <c r="G53" i="28" s="1"/>
  <c r="F54" i="28"/>
  <c r="G54" i="28" s="1"/>
  <c r="F55" i="28"/>
  <c r="G55" i="28" s="1"/>
  <c r="F56" i="28"/>
  <c r="G56" i="28" s="1"/>
  <c r="F57" i="28"/>
  <c r="G57" i="28" s="1"/>
  <c r="F58" i="28"/>
  <c r="G58" i="28" s="1"/>
  <c r="F59" i="28"/>
  <c r="G59" i="28" s="1"/>
  <c r="F60" i="28"/>
  <c r="G60" i="28" s="1"/>
  <c r="F63" i="28"/>
  <c r="G63" i="28" s="1"/>
  <c r="F64" i="28"/>
  <c r="G64" i="28" s="1"/>
  <c r="F6" i="28"/>
  <c r="G6" i="28" s="1"/>
  <c r="F7" i="28"/>
  <c r="G7" i="28" s="1"/>
  <c r="F8" i="28"/>
  <c r="G8" i="28" s="1"/>
  <c r="F9" i="28"/>
  <c r="G9" i="28" s="1"/>
  <c r="F10" i="28"/>
  <c r="G10" i="28" s="1"/>
  <c r="F11" i="28"/>
  <c r="G11" i="28" s="1"/>
  <c r="F12" i="28"/>
  <c r="G12" i="28" s="1"/>
  <c r="F13" i="28"/>
  <c r="G13" i="28" s="1"/>
  <c r="F14" i="28"/>
  <c r="G14" i="28" s="1"/>
  <c r="F15" i="28"/>
  <c r="G15" i="28" s="1"/>
  <c r="F16" i="28"/>
  <c r="G16" i="28" s="1"/>
  <c r="F17" i="28"/>
  <c r="G17" i="28" s="1"/>
  <c r="F18" i="28"/>
  <c r="G18" i="28" s="1"/>
  <c r="F19" i="28"/>
  <c r="G19" i="28" s="1"/>
  <c r="F20" i="28"/>
  <c r="G20" i="28" s="1"/>
  <c r="F21" i="28"/>
  <c r="G21" i="28" s="1"/>
  <c r="F22" i="28"/>
  <c r="G22" i="28" s="1"/>
  <c r="F23" i="28"/>
  <c r="G23" i="28" s="1"/>
  <c r="F24" i="28"/>
  <c r="G24" i="28" s="1"/>
  <c r="F25" i="28"/>
  <c r="G25" i="28" s="1"/>
  <c r="AT65" i="28"/>
  <c r="AP65" i="28"/>
  <c r="AL65" i="28"/>
  <c r="AD65" i="28"/>
  <c r="Z65" i="28"/>
  <c r="W65" i="28"/>
  <c r="T65" i="28"/>
  <c r="Q65" i="28"/>
  <c r="N65" i="28"/>
  <c r="K65" i="28"/>
  <c r="E65" i="28"/>
  <c r="AV57" i="28"/>
  <c r="AW57" i="28" s="1"/>
  <c r="AR57" i="28"/>
  <c r="AS57" i="28" s="1"/>
  <c r="AN57" i="28"/>
  <c r="AO57" i="28" s="1"/>
  <c r="AJ57" i="28"/>
  <c r="AK57" i="28" s="1"/>
  <c r="AF57" i="28"/>
  <c r="AG57" i="28" s="1"/>
  <c r="G36" i="28"/>
  <c r="AF32" i="28"/>
  <c r="AG32" i="28" s="1"/>
  <c r="V31" i="28"/>
  <c r="AV16" i="28"/>
  <c r="AW16" i="28" s="1"/>
  <c r="AR16" i="28"/>
  <c r="AS16" i="28" s="1"/>
  <c r="AN16" i="28"/>
  <c r="AO16" i="28" s="1"/>
  <c r="AJ16" i="28"/>
  <c r="AK16" i="28" s="1"/>
  <c r="AF16" i="28"/>
  <c r="AG16" i="28" s="1"/>
  <c r="S56" i="27"/>
  <c r="Y9" i="27"/>
  <c r="AU65" i="27"/>
  <c r="AT65" i="27"/>
  <c r="AQ65" i="27"/>
  <c r="AP65" i="27"/>
  <c r="AM65" i="27"/>
  <c r="AL65" i="27"/>
  <c r="AI65" i="27"/>
  <c r="AE65" i="27"/>
  <c r="AD65" i="27"/>
  <c r="AA65" i="27"/>
  <c r="Z65" i="27"/>
  <c r="X65" i="27"/>
  <c r="W65" i="27"/>
  <c r="U65" i="27"/>
  <c r="T65" i="27"/>
  <c r="R65" i="27"/>
  <c r="Q65" i="27"/>
  <c r="O65" i="27"/>
  <c r="N65" i="27"/>
  <c r="K65" i="27"/>
  <c r="F65" i="27"/>
  <c r="E65" i="27"/>
  <c r="AB64" i="27"/>
  <c r="Y64" i="27"/>
  <c r="V64" i="27"/>
  <c r="S64" i="27"/>
  <c r="P64" i="27"/>
  <c r="M64" i="27"/>
  <c r="J64" i="27"/>
  <c r="G64" i="27"/>
  <c r="AB63" i="27"/>
  <c r="Y63" i="27"/>
  <c r="V63" i="27"/>
  <c r="S63" i="27"/>
  <c r="P63" i="27"/>
  <c r="M63" i="27"/>
  <c r="J63" i="27"/>
  <c r="G63" i="27"/>
  <c r="AV61" i="27"/>
  <c r="AW61" i="27" s="1"/>
  <c r="AR61" i="27"/>
  <c r="AS61" i="27" s="1"/>
  <c r="AN61" i="27"/>
  <c r="AO61" i="27" s="1"/>
  <c r="AJ61" i="27"/>
  <c r="AK61" i="27" s="1"/>
  <c r="AF61" i="27"/>
  <c r="AG61" i="27" s="1"/>
  <c r="AB60" i="27"/>
  <c r="Y60" i="27"/>
  <c r="V60" i="27"/>
  <c r="S60" i="27"/>
  <c r="P60" i="27"/>
  <c r="M60" i="27"/>
  <c r="J60" i="27"/>
  <c r="G60" i="27"/>
  <c r="AV59" i="27"/>
  <c r="AW59" i="27" s="1"/>
  <c r="AR59" i="27"/>
  <c r="AS59" i="27" s="1"/>
  <c r="AN59" i="27"/>
  <c r="AO59" i="27" s="1"/>
  <c r="AJ59" i="27"/>
  <c r="AK59" i="27" s="1"/>
  <c r="AF59" i="27"/>
  <c r="AG59" i="27" s="1"/>
  <c r="AB59" i="27"/>
  <c r="Y59" i="27"/>
  <c r="V59" i="27"/>
  <c r="S59" i="27"/>
  <c r="P59" i="27"/>
  <c r="M59" i="27"/>
  <c r="J59" i="27"/>
  <c r="G59" i="27"/>
  <c r="AB58" i="27"/>
  <c r="Y58" i="27"/>
  <c r="V58" i="27"/>
  <c r="S58" i="27"/>
  <c r="P58" i="27"/>
  <c r="M58" i="27"/>
  <c r="J58" i="27"/>
  <c r="G58" i="27"/>
  <c r="AV57" i="27"/>
  <c r="AW57" i="27" s="1"/>
  <c r="AR57" i="27"/>
  <c r="AS57" i="27" s="1"/>
  <c r="AN57" i="27"/>
  <c r="AO57" i="27" s="1"/>
  <c r="AJ57" i="27"/>
  <c r="AK57" i="27" s="1"/>
  <c r="AF57" i="27"/>
  <c r="AG57" i="27" s="1"/>
  <c r="AB57" i="27"/>
  <c r="Y57" i="27"/>
  <c r="V57" i="27"/>
  <c r="S57" i="27"/>
  <c r="P57" i="27"/>
  <c r="M57" i="27"/>
  <c r="J57" i="27"/>
  <c r="G57" i="27"/>
  <c r="AV56" i="27"/>
  <c r="AW56" i="27" s="1"/>
  <c r="AR56" i="27"/>
  <c r="AS56" i="27" s="1"/>
  <c r="AN56" i="27"/>
  <c r="AO56" i="27" s="1"/>
  <c r="AJ56" i="27"/>
  <c r="AK56" i="27" s="1"/>
  <c r="AF56" i="27"/>
  <c r="AG56" i="27" s="1"/>
  <c r="AB56" i="27"/>
  <c r="Y56" i="27"/>
  <c r="V56" i="27"/>
  <c r="P56" i="27"/>
  <c r="M56" i="27"/>
  <c r="J56" i="27"/>
  <c r="G56" i="27"/>
  <c r="AB55" i="27"/>
  <c r="Y55" i="27"/>
  <c r="V55" i="27"/>
  <c r="S55" i="27"/>
  <c r="P55" i="27"/>
  <c r="M55" i="27"/>
  <c r="J55" i="27"/>
  <c r="G55" i="27"/>
  <c r="AV54" i="27"/>
  <c r="AW54" i="27" s="1"/>
  <c r="AR54" i="27"/>
  <c r="AS54" i="27" s="1"/>
  <c r="AN54" i="27"/>
  <c r="AO54" i="27" s="1"/>
  <c r="AJ54" i="27"/>
  <c r="AK54" i="27" s="1"/>
  <c r="AF54" i="27"/>
  <c r="AG54" i="27" s="1"/>
  <c r="AB54" i="27"/>
  <c r="Y54" i="27"/>
  <c r="V54" i="27"/>
  <c r="S54" i="27"/>
  <c r="P54" i="27"/>
  <c r="M54" i="27"/>
  <c r="J54" i="27"/>
  <c r="G54" i="27"/>
  <c r="AB53" i="27"/>
  <c r="Y53" i="27"/>
  <c r="V53" i="27"/>
  <c r="S53" i="27"/>
  <c r="P53" i="27"/>
  <c r="M53" i="27"/>
  <c r="G53" i="27"/>
  <c r="AV51" i="27"/>
  <c r="AW51" i="27" s="1"/>
  <c r="AR51" i="27"/>
  <c r="AS51" i="27" s="1"/>
  <c r="AN51" i="27"/>
  <c r="AO51" i="27" s="1"/>
  <c r="AJ51" i="27"/>
  <c r="AK51" i="27" s="1"/>
  <c r="AF51" i="27"/>
  <c r="AG51" i="27" s="1"/>
  <c r="AB51" i="27"/>
  <c r="Y51" i="27"/>
  <c r="V51" i="27"/>
  <c r="S51" i="27"/>
  <c r="P51" i="27"/>
  <c r="M51" i="27"/>
  <c r="J51" i="27"/>
  <c r="G51" i="27"/>
  <c r="AB50" i="27"/>
  <c r="Y50" i="27"/>
  <c r="V50" i="27"/>
  <c r="S50" i="27"/>
  <c r="P50" i="27"/>
  <c r="M50" i="27"/>
  <c r="J50" i="27"/>
  <c r="G50" i="27"/>
  <c r="AV49" i="27"/>
  <c r="AW49" i="27" s="1"/>
  <c r="AR49" i="27"/>
  <c r="AS49" i="27" s="1"/>
  <c r="AN49" i="27"/>
  <c r="AO49" i="27" s="1"/>
  <c r="AJ49" i="27"/>
  <c r="AK49" i="27" s="1"/>
  <c r="AF49" i="27"/>
  <c r="AG49" i="27" s="1"/>
  <c r="AV48" i="27"/>
  <c r="AW48" i="27" s="1"/>
  <c r="AR48" i="27"/>
  <c r="AS48" i="27" s="1"/>
  <c r="AN48" i="27"/>
  <c r="AO48" i="27" s="1"/>
  <c r="AJ48" i="27"/>
  <c r="AK48" i="27" s="1"/>
  <c r="AF48" i="27"/>
  <c r="AG48" i="27" s="1"/>
  <c r="AB48" i="27"/>
  <c r="Y48" i="27"/>
  <c r="V48" i="27"/>
  <c r="P48" i="27"/>
  <c r="M48" i="27"/>
  <c r="J48" i="27"/>
  <c r="G48" i="27"/>
  <c r="AB47" i="27"/>
  <c r="Y47" i="27"/>
  <c r="V47" i="27"/>
  <c r="S47" i="27"/>
  <c r="P47" i="27"/>
  <c r="M47" i="27"/>
  <c r="J47" i="27"/>
  <c r="G47" i="27"/>
  <c r="AV46" i="27"/>
  <c r="AW46" i="27" s="1"/>
  <c r="AR46" i="27"/>
  <c r="AS46" i="27" s="1"/>
  <c r="AN46" i="27"/>
  <c r="AO46" i="27" s="1"/>
  <c r="AJ46" i="27"/>
  <c r="AK46" i="27" s="1"/>
  <c r="AF46" i="27"/>
  <c r="AG46" i="27" s="1"/>
  <c r="AB45" i="27"/>
  <c r="Y45" i="27"/>
  <c r="V45" i="27"/>
  <c r="S45" i="27"/>
  <c r="P45" i="27"/>
  <c r="M45" i="27"/>
  <c r="J45" i="27"/>
  <c r="G45" i="27"/>
  <c r="AV44" i="27"/>
  <c r="AW44" i="27" s="1"/>
  <c r="AR44" i="27"/>
  <c r="AS44" i="27" s="1"/>
  <c r="AN44" i="27"/>
  <c r="AO44" i="27" s="1"/>
  <c r="AJ44" i="27"/>
  <c r="AK44" i="27" s="1"/>
  <c r="AF44" i="27"/>
  <c r="AG44" i="27" s="1"/>
  <c r="AV43" i="27"/>
  <c r="AW43" i="27" s="1"/>
  <c r="AR43" i="27"/>
  <c r="AS43" i="27" s="1"/>
  <c r="AN43" i="27"/>
  <c r="AO43" i="27" s="1"/>
  <c r="AJ43" i="27"/>
  <c r="AK43" i="27" s="1"/>
  <c r="AF43" i="27"/>
  <c r="AG43" i="27" s="1"/>
  <c r="AB43" i="27"/>
  <c r="Y43" i="27"/>
  <c r="V43" i="27"/>
  <c r="S43" i="27"/>
  <c r="P43" i="27"/>
  <c r="M43" i="27"/>
  <c r="J43" i="27"/>
  <c r="G43" i="27"/>
  <c r="AB42" i="27"/>
  <c r="Y42" i="27"/>
  <c r="V42" i="27"/>
  <c r="S42" i="27"/>
  <c r="P42" i="27"/>
  <c r="M42" i="27"/>
  <c r="J42" i="27"/>
  <c r="G42" i="27"/>
  <c r="AV41" i="27"/>
  <c r="AW41" i="27" s="1"/>
  <c r="AR41" i="27"/>
  <c r="AS41" i="27" s="1"/>
  <c r="AN41" i="27"/>
  <c r="AO41" i="27" s="1"/>
  <c r="AJ41" i="27"/>
  <c r="AK41" i="27" s="1"/>
  <c r="AF41" i="27"/>
  <c r="AG41" i="27" s="1"/>
  <c r="AB41" i="27"/>
  <c r="Y41" i="27"/>
  <c r="V41" i="27"/>
  <c r="S41" i="27"/>
  <c r="P41" i="27"/>
  <c r="M41" i="27"/>
  <c r="J41" i="27"/>
  <c r="G41" i="27"/>
  <c r="AB39" i="27"/>
  <c r="Y39" i="27"/>
  <c r="V39" i="27"/>
  <c r="S39" i="27"/>
  <c r="P39" i="27"/>
  <c r="M39" i="27"/>
  <c r="J39" i="27"/>
  <c r="G39" i="27"/>
  <c r="AV38" i="27"/>
  <c r="AW38" i="27" s="1"/>
  <c r="AR38" i="27"/>
  <c r="AS38" i="27" s="1"/>
  <c r="AN38" i="27"/>
  <c r="AO38" i="27" s="1"/>
  <c r="AJ38" i="27"/>
  <c r="AK38" i="27" s="1"/>
  <c r="AF38" i="27"/>
  <c r="AG38" i="27" s="1"/>
  <c r="AB38" i="27"/>
  <c r="Y38" i="27"/>
  <c r="V38" i="27"/>
  <c r="S38" i="27"/>
  <c r="P38" i="27"/>
  <c r="M38" i="27"/>
  <c r="J38" i="27"/>
  <c r="G38" i="27"/>
  <c r="AV37" i="27"/>
  <c r="AW37" i="27" s="1"/>
  <c r="AR37" i="27"/>
  <c r="AS37" i="27" s="1"/>
  <c r="AN37" i="27"/>
  <c r="AO37" i="27" s="1"/>
  <c r="AJ37" i="27"/>
  <c r="AK37" i="27" s="1"/>
  <c r="AF37" i="27"/>
  <c r="AG37" i="27" s="1"/>
  <c r="AB36" i="27"/>
  <c r="Y36" i="27"/>
  <c r="V36" i="27"/>
  <c r="S36" i="27"/>
  <c r="P36" i="27"/>
  <c r="M36" i="27"/>
  <c r="J36" i="27"/>
  <c r="G36" i="27"/>
  <c r="AV35" i="27"/>
  <c r="AW35" i="27" s="1"/>
  <c r="AR35" i="27"/>
  <c r="AS35" i="27" s="1"/>
  <c r="AN35" i="27"/>
  <c r="AO35" i="27" s="1"/>
  <c r="AJ35" i="27"/>
  <c r="AK35" i="27" s="1"/>
  <c r="AF35" i="27"/>
  <c r="AG35" i="27" s="1"/>
  <c r="AB35" i="27"/>
  <c r="Y35" i="27"/>
  <c r="V35" i="27"/>
  <c r="S35" i="27"/>
  <c r="P35" i="27"/>
  <c r="M35" i="27"/>
  <c r="J35" i="27"/>
  <c r="G35" i="27"/>
  <c r="AV34" i="27"/>
  <c r="AW34" i="27" s="1"/>
  <c r="AR34" i="27"/>
  <c r="AS34" i="27" s="1"/>
  <c r="AN34" i="27"/>
  <c r="AO34" i="27" s="1"/>
  <c r="AJ34" i="27"/>
  <c r="AK34" i="27" s="1"/>
  <c r="AF34" i="27"/>
  <c r="AG34" i="27" s="1"/>
  <c r="AB34" i="27"/>
  <c r="Y34" i="27"/>
  <c r="V34" i="27"/>
  <c r="S34" i="27"/>
  <c r="P34" i="27"/>
  <c r="M34" i="27"/>
  <c r="J34" i="27"/>
  <c r="G34" i="27"/>
  <c r="AB33" i="27"/>
  <c r="Y33" i="27"/>
  <c r="V33" i="27"/>
  <c r="S33" i="27"/>
  <c r="P33" i="27"/>
  <c r="M33" i="27"/>
  <c r="J33" i="27"/>
  <c r="G33" i="27"/>
  <c r="AV32" i="27"/>
  <c r="AW32" i="27" s="1"/>
  <c r="AR32" i="27"/>
  <c r="AS32" i="27" s="1"/>
  <c r="AN32" i="27"/>
  <c r="AO32" i="27" s="1"/>
  <c r="AJ32" i="27"/>
  <c r="AK32" i="27" s="1"/>
  <c r="AF32" i="27"/>
  <c r="AG32" i="27" s="1"/>
  <c r="AB31" i="27"/>
  <c r="Y31" i="27"/>
  <c r="V31" i="27"/>
  <c r="S31" i="27"/>
  <c r="P31" i="27"/>
  <c r="M31" i="27"/>
  <c r="J31" i="27"/>
  <c r="G31" i="27"/>
  <c r="AV30" i="27"/>
  <c r="AW30" i="27" s="1"/>
  <c r="AR30" i="27"/>
  <c r="AS30" i="27" s="1"/>
  <c r="AN30" i="27"/>
  <c r="AO30" i="27" s="1"/>
  <c r="AJ30" i="27"/>
  <c r="AK30" i="27" s="1"/>
  <c r="AF30" i="27"/>
  <c r="AG30" i="27" s="1"/>
  <c r="AB30" i="27"/>
  <c r="Y30" i="27"/>
  <c r="V30" i="27"/>
  <c r="S30" i="27"/>
  <c r="P30" i="27"/>
  <c r="M30" i="27"/>
  <c r="J30" i="27"/>
  <c r="G30" i="27"/>
  <c r="AV29" i="27"/>
  <c r="AW29" i="27" s="1"/>
  <c r="AR29" i="27"/>
  <c r="AS29" i="27" s="1"/>
  <c r="AN29" i="27"/>
  <c r="AO29" i="27" s="1"/>
  <c r="AJ29" i="27"/>
  <c r="AK29" i="27" s="1"/>
  <c r="AF29" i="27"/>
  <c r="AG29" i="27" s="1"/>
  <c r="AB28" i="27"/>
  <c r="Y28" i="27"/>
  <c r="V28" i="27"/>
  <c r="S28" i="27"/>
  <c r="P28" i="27"/>
  <c r="M28" i="27"/>
  <c r="J28" i="27"/>
  <c r="G28" i="27"/>
  <c r="AV27" i="27"/>
  <c r="AW27" i="27" s="1"/>
  <c r="AR27" i="27"/>
  <c r="AS27" i="27" s="1"/>
  <c r="AN27" i="27"/>
  <c r="AO27" i="27" s="1"/>
  <c r="AJ27" i="27"/>
  <c r="AK27" i="27" s="1"/>
  <c r="AF27" i="27"/>
  <c r="AG27" i="27" s="1"/>
  <c r="AB27" i="27"/>
  <c r="Y27" i="27"/>
  <c r="V27" i="27"/>
  <c r="S27" i="27"/>
  <c r="P27" i="27"/>
  <c r="M27" i="27"/>
  <c r="J27" i="27"/>
  <c r="G27" i="27"/>
  <c r="AV25" i="27"/>
  <c r="AW25" i="27" s="1"/>
  <c r="AR25" i="27"/>
  <c r="AS25" i="27" s="1"/>
  <c r="AN25" i="27"/>
  <c r="AO25" i="27" s="1"/>
  <c r="AJ25" i="27"/>
  <c r="AK25" i="27" s="1"/>
  <c r="AF25" i="27"/>
  <c r="AG25" i="27" s="1"/>
  <c r="AB25" i="27"/>
  <c r="Y25" i="27"/>
  <c r="V25" i="27"/>
  <c r="S25" i="27"/>
  <c r="P25" i="27"/>
  <c r="M25" i="27"/>
  <c r="J25" i="27"/>
  <c r="G25" i="27"/>
  <c r="AB24" i="27"/>
  <c r="Y24" i="27"/>
  <c r="V24" i="27"/>
  <c r="S24" i="27"/>
  <c r="P24" i="27"/>
  <c r="M24" i="27"/>
  <c r="J24" i="27"/>
  <c r="G24" i="27"/>
  <c r="AV23" i="27"/>
  <c r="AW23" i="27" s="1"/>
  <c r="AR23" i="27"/>
  <c r="AS23" i="27" s="1"/>
  <c r="AN23" i="27"/>
  <c r="AO23" i="27" s="1"/>
  <c r="AJ23" i="27"/>
  <c r="AK23" i="27" s="1"/>
  <c r="AF23" i="27"/>
  <c r="AG23" i="27" s="1"/>
  <c r="AB23" i="27"/>
  <c r="Y23" i="27"/>
  <c r="V23" i="27"/>
  <c r="S23" i="27"/>
  <c r="P23" i="27"/>
  <c r="J23" i="27"/>
  <c r="G23" i="27"/>
  <c r="AB22" i="27"/>
  <c r="Y22" i="27"/>
  <c r="V22" i="27"/>
  <c r="S22" i="27"/>
  <c r="P22" i="27"/>
  <c r="M22" i="27"/>
  <c r="J22" i="27"/>
  <c r="G22" i="27"/>
  <c r="AB21" i="27"/>
  <c r="Y21" i="27"/>
  <c r="V21" i="27"/>
  <c r="S21" i="27"/>
  <c r="P21" i="27"/>
  <c r="M21" i="27"/>
  <c r="J21" i="27"/>
  <c r="G21" i="27"/>
  <c r="AV20" i="27"/>
  <c r="AW20" i="27" s="1"/>
  <c r="AR20" i="27"/>
  <c r="AS20" i="27" s="1"/>
  <c r="AN20" i="27"/>
  <c r="AO20" i="27" s="1"/>
  <c r="AJ20" i="27"/>
  <c r="AK20" i="27" s="1"/>
  <c r="AF20" i="27"/>
  <c r="AG20" i="27" s="1"/>
  <c r="AB20" i="27"/>
  <c r="Y20" i="27"/>
  <c r="V20" i="27"/>
  <c r="S20" i="27"/>
  <c r="P20" i="27"/>
  <c r="M20" i="27"/>
  <c r="J20" i="27"/>
  <c r="G20" i="27"/>
  <c r="AB19" i="27"/>
  <c r="Y19" i="27"/>
  <c r="V19" i="27"/>
  <c r="S19" i="27"/>
  <c r="P19" i="27"/>
  <c r="M19" i="27"/>
  <c r="J19" i="27"/>
  <c r="G19" i="27"/>
  <c r="AV18" i="27"/>
  <c r="AW18" i="27" s="1"/>
  <c r="AR18" i="27"/>
  <c r="AS18" i="27" s="1"/>
  <c r="AN18" i="27"/>
  <c r="AO18" i="27" s="1"/>
  <c r="AJ18" i="27"/>
  <c r="AK18" i="27" s="1"/>
  <c r="AF18" i="27"/>
  <c r="AG18" i="27" s="1"/>
  <c r="AB18" i="27"/>
  <c r="Y18" i="27"/>
  <c r="V18" i="27"/>
  <c r="S18" i="27"/>
  <c r="P18" i="27"/>
  <c r="M18" i="27"/>
  <c r="J18" i="27"/>
  <c r="G18" i="27"/>
  <c r="AB17" i="27"/>
  <c r="Y17" i="27"/>
  <c r="V17" i="27"/>
  <c r="S17" i="27"/>
  <c r="P17" i="27"/>
  <c r="M17" i="27"/>
  <c r="J17" i="27"/>
  <c r="G17" i="27"/>
  <c r="AV16" i="27"/>
  <c r="AW16" i="27" s="1"/>
  <c r="AR16" i="27"/>
  <c r="AS16" i="27" s="1"/>
  <c r="AN16" i="27"/>
  <c r="AO16" i="27" s="1"/>
  <c r="AJ16" i="27"/>
  <c r="AK16" i="27" s="1"/>
  <c r="AF16" i="27"/>
  <c r="AG16" i="27" s="1"/>
  <c r="AB16" i="27"/>
  <c r="Y16" i="27"/>
  <c r="V16" i="27"/>
  <c r="S16" i="27"/>
  <c r="P16" i="27"/>
  <c r="M16" i="27"/>
  <c r="J16" i="27"/>
  <c r="G16" i="27"/>
  <c r="AB15" i="27"/>
  <c r="Y15" i="27"/>
  <c r="V15" i="27"/>
  <c r="S15" i="27"/>
  <c r="P15" i="27"/>
  <c r="M15" i="27"/>
  <c r="J15" i="27"/>
  <c r="G15" i="27"/>
  <c r="AV14" i="27"/>
  <c r="AW14" i="27" s="1"/>
  <c r="AR14" i="27"/>
  <c r="AS14" i="27" s="1"/>
  <c r="AN14" i="27"/>
  <c r="AO14" i="27" s="1"/>
  <c r="AJ14" i="27"/>
  <c r="AK14" i="27" s="1"/>
  <c r="AF14" i="27"/>
  <c r="AG14" i="27" s="1"/>
  <c r="AB14" i="27"/>
  <c r="Y14" i="27"/>
  <c r="V14" i="27"/>
  <c r="S14" i="27"/>
  <c r="P14" i="27"/>
  <c r="M14" i="27"/>
  <c r="G14" i="27"/>
  <c r="AB13" i="27"/>
  <c r="Y13" i="27"/>
  <c r="V13" i="27"/>
  <c r="S13" i="27"/>
  <c r="P13" i="27"/>
  <c r="M13" i="27"/>
  <c r="J13" i="27"/>
  <c r="G13" i="27"/>
  <c r="AV12" i="27"/>
  <c r="AW12" i="27" s="1"/>
  <c r="AR12" i="27"/>
  <c r="AS12" i="27" s="1"/>
  <c r="AN12" i="27"/>
  <c r="AO12" i="27" s="1"/>
  <c r="AJ12" i="27"/>
  <c r="AK12" i="27" s="1"/>
  <c r="AF12" i="27"/>
  <c r="AG12" i="27" s="1"/>
  <c r="AB12" i="27"/>
  <c r="Y12" i="27"/>
  <c r="V12" i="27"/>
  <c r="S12" i="27"/>
  <c r="P12" i="27"/>
  <c r="M12" i="27"/>
  <c r="J12" i="27"/>
  <c r="G12" i="27"/>
  <c r="AB11" i="27"/>
  <c r="Y11" i="27"/>
  <c r="V11" i="27"/>
  <c r="S11" i="27"/>
  <c r="P11" i="27"/>
  <c r="M11" i="27"/>
  <c r="J11" i="27"/>
  <c r="G11" i="27"/>
  <c r="AB10" i="27"/>
  <c r="Y10" i="27"/>
  <c r="V10" i="27"/>
  <c r="S10" i="27"/>
  <c r="P10" i="27"/>
  <c r="M10" i="27"/>
  <c r="J10" i="27"/>
  <c r="G10" i="27"/>
  <c r="AB9" i="27"/>
  <c r="V9" i="27"/>
  <c r="S9" i="27"/>
  <c r="P9" i="27"/>
  <c r="M9" i="27"/>
  <c r="J9" i="27"/>
  <c r="G9" i="27"/>
  <c r="AB8" i="27"/>
  <c r="Y8" i="27"/>
  <c r="V8" i="27"/>
  <c r="S8" i="27"/>
  <c r="P8" i="27"/>
  <c r="M8" i="27"/>
  <c r="J8" i="27"/>
  <c r="G8" i="27"/>
  <c r="AV7" i="27"/>
  <c r="AR7" i="27"/>
  <c r="AN7" i="27"/>
  <c r="AJ7" i="27"/>
  <c r="AF7" i="27"/>
  <c r="AB7" i="27"/>
  <c r="Y7" i="27"/>
  <c r="V7" i="27"/>
  <c r="S7" i="27"/>
  <c r="P7" i="27"/>
  <c r="M7" i="27"/>
  <c r="J7" i="27"/>
  <c r="G7" i="27"/>
  <c r="AB6" i="27"/>
  <c r="Y6" i="27"/>
  <c r="V6" i="27"/>
  <c r="S6" i="27"/>
  <c r="P6" i="27"/>
  <c r="M6" i="27"/>
  <c r="J6" i="27"/>
  <c r="G6" i="27"/>
  <c r="AB5" i="27"/>
  <c r="Y5" i="27"/>
  <c r="V5" i="27"/>
  <c r="S5" i="27"/>
  <c r="P5" i="27"/>
  <c r="M5" i="27"/>
  <c r="J5" i="27"/>
  <c r="G5" i="27"/>
  <c r="G14" i="37" l="1"/>
  <c r="F14" i="38"/>
  <c r="G14" i="38" s="1"/>
  <c r="I24" i="38"/>
  <c r="J24" i="38" s="1"/>
  <c r="J14" i="37"/>
  <c r="I14" i="38"/>
  <c r="J14" i="38" s="1"/>
  <c r="AC14" i="38" s="1"/>
  <c r="I22" i="38"/>
  <c r="J22" i="38" s="1"/>
  <c r="J22" i="37"/>
  <c r="G22" i="37"/>
  <c r="F22" i="38"/>
  <c r="G22" i="38" s="1"/>
  <c r="J15" i="37"/>
  <c r="I15" i="38"/>
  <c r="J15" i="38" s="1"/>
  <c r="G21" i="37"/>
  <c r="F21" i="38"/>
  <c r="G21" i="38" s="1"/>
  <c r="H65" i="35"/>
  <c r="J53" i="32"/>
  <c r="H65" i="32"/>
  <c r="I53" i="33"/>
  <c r="J53" i="33" s="1"/>
  <c r="J53" i="29"/>
  <c r="X65" i="28"/>
  <c r="L65" i="27"/>
  <c r="Y10" i="28"/>
  <c r="AC10" i="28" s="1"/>
  <c r="AY10" i="28" s="1"/>
  <c r="AQ65" i="28"/>
  <c r="Y65" i="27"/>
  <c r="O65" i="28"/>
  <c r="AU65" i="28"/>
  <c r="U65" i="28"/>
  <c r="J14" i="27"/>
  <c r="AC14" i="27" s="1"/>
  <c r="P65" i="28"/>
  <c r="V65" i="28"/>
  <c r="AM65" i="28"/>
  <c r="AN12" i="28"/>
  <c r="AO12" i="28" s="1"/>
  <c r="AX12" i="28" s="1"/>
  <c r="S65" i="27"/>
  <c r="J5" i="28"/>
  <c r="J65" i="28" s="1"/>
  <c r="I65" i="28"/>
  <c r="M5" i="28"/>
  <c r="M65" i="28" s="1"/>
  <c r="L65" i="28"/>
  <c r="V65" i="27"/>
  <c r="R65" i="28"/>
  <c r="AB5" i="28"/>
  <c r="AB65" i="28" s="1"/>
  <c r="AA65" i="28"/>
  <c r="AE65" i="28"/>
  <c r="S7" i="28"/>
  <c r="S65" i="28" s="1"/>
  <c r="AI65" i="28"/>
  <c r="M65" i="27"/>
  <c r="P65" i="27"/>
  <c r="V22" i="38"/>
  <c r="T65" i="38"/>
  <c r="Q65" i="38"/>
  <c r="N65" i="38"/>
  <c r="P22" i="38"/>
  <c r="AV59" i="38"/>
  <c r="AW59" i="38" s="1"/>
  <c r="AX59" i="38" s="1"/>
  <c r="AT65" i="38"/>
  <c r="AT65" i="37"/>
  <c r="AV12" i="37"/>
  <c r="AW12" i="37" s="1"/>
  <c r="AP65" i="37"/>
  <c r="AQ12" i="38"/>
  <c r="AR12" i="38" s="1"/>
  <c r="AS12" i="38" s="1"/>
  <c r="AL65" i="37"/>
  <c r="AN12" i="37"/>
  <c r="AO12" i="37" s="1"/>
  <c r="AM12" i="38"/>
  <c r="AN12" i="38" s="1"/>
  <c r="AO12" i="38" s="1"/>
  <c r="AJ12" i="37"/>
  <c r="AK12" i="37" s="1"/>
  <c r="AI12" i="38"/>
  <c r="N65" i="37"/>
  <c r="O5" i="38"/>
  <c r="K65" i="37"/>
  <c r="M24" i="37"/>
  <c r="J21" i="37"/>
  <c r="I21" i="38"/>
  <c r="J21" i="38" s="1"/>
  <c r="G15" i="37"/>
  <c r="F15" i="38"/>
  <c r="G15" i="38" s="1"/>
  <c r="E65" i="37"/>
  <c r="G24" i="37"/>
  <c r="AC24" i="37" s="1"/>
  <c r="AY24" i="37" s="1"/>
  <c r="F24" i="38"/>
  <c r="G24" i="38" s="1"/>
  <c r="AC24" i="38" s="1"/>
  <c r="AY24" i="38" s="1"/>
  <c r="Z65" i="37"/>
  <c r="AB15" i="37"/>
  <c r="W65" i="37"/>
  <c r="Y15" i="37"/>
  <c r="X15" i="38"/>
  <c r="Y15" i="38" s="1"/>
  <c r="R15" i="38"/>
  <c r="S15" i="37"/>
  <c r="AV38" i="37"/>
  <c r="AW38" i="37" s="1"/>
  <c r="AX38" i="37" s="1"/>
  <c r="T65" i="37"/>
  <c r="V21" i="37"/>
  <c r="AC21" i="37" s="1"/>
  <c r="AY21" i="37" s="1"/>
  <c r="Q65" i="37"/>
  <c r="S21" i="37"/>
  <c r="R21" i="38"/>
  <c r="S21" i="38" s="1"/>
  <c r="H65" i="37"/>
  <c r="J53" i="37"/>
  <c r="G5" i="38"/>
  <c r="J5" i="38"/>
  <c r="L65" i="38"/>
  <c r="M5" i="38"/>
  <c r="M65" i="38" s="1"/>
  <c r="O65" i="38"/>
  <c r="P5" i="38"/>
  <c r="P65" i="38" s="1"/>
  <c r="S5" i="38"/>
  <c r="U65" i="38"/>
  <c r="V5" i="38"/>
  <c r="Y5" i="38"/>
  <c r="AA65" i="38"/>
  <c r="AB5" i="38"/>
  <c r="AC6" i="38"/>
  <c r="AY6" i="38" s="1"/>
  <c r="AC7" i="38"/>
  <c r="AE65" i="38"/>
  <c r="AF7" i="38"/>
  <c r="AJ7" i="38"/>
  <c r="AN7" i="38"/>
  <c r="AR7" i="38"/>
  <c r="AU65" i="38"/>
  <c r="AV7" i="38"/>
  <c r="AC8" i="38"/>
  <c r="AY8" i="38" s="1"/>
  <c r="AC9" i="38"/>
  <c r="AY9" i="38" s="1"/>
  <c r="AC10" i="38"/>
  <c r="AY10" i="38" s="1"/>
  <c r="AC11" i="38"/>
  <c r="AY11" i="38" s="1"/>
  <c r="AC12" i="38"/>
  <c r="AC13" i="38"/>
  <c r="AY13" i="38" s="1"/>
  <c r="AX14" i="38"/>
  <c r="AC16" i="38"/>
  <c r="AX16" i="38"/>
  <c r="AC17" i="38"/>
  <c r="AY17" i="38" s="1"/>
  <c r="AC18" i="38"/>
  <c r="AX18" i="38"/>
  <c r="AC19" i="38"/>
  <c r="AY19" i="38" s="1"/>
  <c r="AC20" i="38"/>
  <c r="AX20" i="38"/>
  <c r="AC23" i="38"/>
  <c r="AX23" i="38"/>
  <c r="AC25" i="38"/>
  <c r="AX25" i="38"/>
  <c r="AC27" i="38"/>
  <c r="AX27" i="38"/>
  <c r="AC28" i="38"/>
  <c r="AY28" i="38" s="1"/>
  <c r="AX29" i="38"/>
  <c r="AY29" i="38" s="1"/>
  <c r="AC30" i="38"/>
  <c r="AX30" i="38"/>
  <c r="AC31" i="38"/>
  <c r="AY31" i="38" s="1"/>
  <c r="AX32" i="38"/>
  <c r="AY32" i="38" s="1"/>
  <c r="AC33" i="38"/>
  <c r="AY33" i="38" s="1"/>
  <c r="AC34" i="38"/>
  <c r="AX34" i="38"/>
  <c r="AC35" i="38"/>
  <c r="AX35" i="38"/>
  <c r="AC36" i="38"/>
  <c r="AY36" i="38" s="1"/>
  <c r="AX37" i="38"/>
  <c r="AY37" i="38" s="1"/>
  <c r="AC38" i="38"/>
  <c r="AX38" i="38"/>
  <c r="AC39" i="38"/>
  <c r="AY39" i="38" s="1"/>
  <c r="AC41" i="38"/>
  <c r="AX41" i="38"/>
  <c r="AC42" i="38"/>
  <c r="AY42" i="38" s="1"/>
  <c r="AC43" i="38"/>
  <c r="AX43" i="38"/>
  <c r="AX44" i="38"/>
  <c r="AY44" i="38" s="1"/>
  <c r="AC45" i="38"/>
  <c r="AY45" i="38" s="1"/>
  <c r="AX46" i="38"/>
  <c r="AY46" i="38" s="1"/>
  <c r="AC47" i="38"/>
  <c r="AY47" i="38" s="1"/>
  <c r="AC48" i="38"/>
  <c r="AX48" i="38"/>
  <c r="AX49" i="38"/>
  <c r="AY49" i="38" s="1"/>
  <c r="AC50" i="38"/>
  <c r="AY50" i="38" s="1"/>
  <c r="AC51" i="38"/>
  <c r="AX51" i="38"/>
  <c r="AC53" i="38"/>
  <c r="AY53" i="38" s="1"/>
  <c r="AC54" i="38"/>
  <c r="AX54" i="38"/>
  <c r="AC55" i="38"/>
  <c r="AY55" i="38" s="1"/>
  <c r="AC56" i="38"/>
  <c r="AX56" i="38"/>
  <c r="AC57" i="38"/>
  <c r="AX57" i="38"/>
  <c r="AC58" i="38"/>
  <c r="AY58" i="38" s="1"/>
  <c r="AC59" i="38"/>
  <c r="AC60" i="38"/>
  <c r="AY60" i="38" s="1"/>
  <c r="AX61" i="38"/>
  <c r="AY61" i="38" s="1"/>
  <c r="AC63" i="38"/>
  <c r="AY63" i="38" s="1"/>
  <c r="AC64" i="38"/>
  <c r="AY64" i="38" s="1"/>
  <c r="F65" i="37"/>
  <c r="G5" i="37"/>
  <c r="I65" i="37"/>
  <c r="J5" i="37"/>
  <c r="L65" i="37"/>
  <c r="M5" i="37"/>
  <c r="M65" i="37" s="1"/>
  <c r="O65" i="37"/>
  <c r="P5" i="37"/>
  <c r="P65" i="37" s="1"/>
  <c r="R65" i="37"/>
  <c r="S5" i="37"/>
  <c r="U65" i="37"/>
  <c r="V5" i="37"/>
  <c r="X65" i="37"/>
  <c r="Y5" i="37"/>
  <c r="AA65" i="37"/>
  <c r="AB5" i="37"/>
  <c r="AC6" i="37"/>
  <c r="AY6" i="37" s="1"/>
  <c r="AC7" i="37"/>
  <c r="AE65" i="37"/>
  <c r="AF7" i="37"/>
  <c r="AI65" i="37"/>
  <c r="AJ7" i="37"/>
  <c r="AM65" i="37"/>
  <c r="AN7" i="37"/>
  <c r="AQ65" i="37"/>
  <c r="AR7" i="37"/>
  <c r="AU65" i="37"/>
  <c r="AV7" i="37"/>
  <c r="AC8" i="37"/>
  <c r="AY8" i="37" s="1"/>
  <c r="AC9" i="37"/>
  <c r="AY9" i="37" s="1"/>
  <c r="AC10" i="37"/>
  <c r="AY10" i="37" s="1"/>
  <c r="AC11" i="37"/>
  <c r="AY11" i="37" s="1"/>
  <c r="AC12" i="37"/>
  <c r="AC13" i="37"/>
  <c r="AY13" i="37" s="1"/>
  <c r="AC14" i="37"/>
  <c r="AX14" i="37"/>
  <c r="AC16" i="37"/>
  <c r="AX16" i="37"/>
  <c r="AC17" i="37"/>
  <c r="AY17" i="37" s="1"/>
  <c r="AC18" i="37"/>
  <c r="AX18" i="37"/>
  <c r="AC19" i="37"/>
  <c r="AY19" i="37" s="1"/>
  <c r="AC20" i="37"/>
  <c r="AX20" i="37"/>
  <c r="AC22" i="37"/>
  <c r="AY22" i="37" s="1"/>
  <c r="AC23" i="37"/>
  <c r="AX23" i="37"/>
  <c r="AC25" i="37"/>
  <c r="AX25" i="37"/>
  <c r="AC27" i="37"/>
  <c r="AX27" i="37"/>
  <c r="AC28" i="37"/>
  <c r="AY28" i="37" s="1"/>
  <c r="AX29" i="37"/>
  <c r="AY29" i="37" s="1"/>
  <c r="AC30" i="37"/>
  <c r="AX30" i="37"/>
  <c r="AC31" i="37"/>
  <c r="AY31" i="37" s="1"/>
  <c r="AX32" i="37"/>
  <c r="AY32" i="37" s="1"/>
  <c r="AC33" i="37"/>
  <c r="AY33" i="37" s="1"/>
  <c r="AC34" i="37"/>
  <c r="AX34" i="37"/>
  <c r="AC35" i="37"/>
  <c r="AX35" i="37"/>
  <c r="AC36" i="37"/>
  <c r="AY36" i="37" s="1"/>
  <c r="AX37" i="37"/>
  <c r="AY37" i="37" s="1"/>
  <c r="AC38" i="37"/>
  <c r="AC39" i="37"/>
  <c r="AY39" i="37" s="1"/>
  <c r="AC41" i="37"/>
  <c r="AX41" i="37"/>
  <c r="AC42" i="37"/>
  <c r="AY42" i="37" s="1"/>
  <c r="AC43" i="37"/>
  <c r="AX43" i="37"/>
  <c r="AX44" i="37"/>
  <c r="AY44" i="37" s="1"/>
  <c r="AC45" i="37"/>
  <c r="AY45" i="37" s="1"/>
  <c r="AX46" i="37"/>
  <c r="AY46" i="37" s="1"/>
  <c r="AC47" i="37"/>
  <c r="AY47" i="37" s="1"/>
  <c r="AC48" i="37"/>
  <c r="AX48" i="37"/>
  <c r="AX49" i="37"/>
  <c r="AY49" i="37" s="1"/>
  <c r="AC50" i="37"/>
  <c r="AY50" i="37" s="1"/>
  <c r="AC51" i="37"/>
  <c r="AX51" i="37"/>
  <c r="AC53" i="37"/>
  <c r="AY53" i="37" s="1"/>
  <c r="AC54" i="37"/>
  <c r="AX54" i="37"/>
  <c r="AC55" i="37"/>
  <c r="AY55" i="37" s="1"/>
  <c r="AC56" i="37"/>
  <c r="AX56" i="37"/>
  <c r="AC57" i="37"/>
  <c r="AX57" i="37"/>
  <c r="AC58" i="37"/>
  <c r="AY58" i="37" s="1"/>
  <c r="AC59" i="37"/>
  <c r="AX59" i="37"/>
  <c r="AC60" i="37"/>
  <c r="AY60" i="37" s="1"/>
  <c r="AX61" i="37"/>
  <c r="AY61" i="37" s="1"/>
  <c r="AC63" i="37"/>
  <c r="AY63" i="37" s="1"/>
  <c r="AC64" i="37"/>
  <c r="AY64" i="37" s="1"/>
  <c r="F65" i="36"/>
  <c r="G5" i="36"/>
  <c r="G65" i="36" s="1"/>
  <c r="I65" i="36"/>
  <c r="J5" i="36"/>
  <c r="J65" i="36" s="1"/>
  <c r="L65" i="36"/>
  <c r="M5" i="36"/>
  <c r="M65" i="36" s="1"/>
  <c r="O65" i="36"/>
  <c r="P5" i="36"/>
  <c r="P65" i="36" s="1"/>
  <c r="R65" i="36"/>
  <c r="S5" i="36"/>
  <c r="S65" i="36" s="1"/>
  <c r="U65" i="36"/>
  <c r="V5" i="36"/>
  <c r="V65" i="36" s="1"/>
  <c r="X65" i="36"/>
  <c r="Y5" i="36"/>
  <c r="Y65" i="36" s="1"/>
  <c r="AA65" i="36"/>
  <c r="AB5" i="36"/>
  <c r="AC6" i="36"/>
  <c r="AY6" i="36" s="1"/>
  <c r="AC7" i="36"/>
  <c r="AE65" i="36"/>
  <c r="AF7" i="36"/>
  <c r="AI65" i="36"/>
  <c r="AJ7" i="36"/>
  <c r="AM65" i="36"/>
  <c r="AN7" i="36"/>
  <c r="AQ65" i="36"/>
  <c r="AR7" i="36"/>
  <c r="AU65" i="36"/>
  <c r="AV7" i="36"/>
  <c r="AC8" i="36"/>
  <c r="AY8" i="36" s="1"/>
  <c r="AC9" i="36"/>
  <c r="AY9" i="36" s="1"/>
  <c r="AC10" i="36"/>
  <c r="AY10" i="36" s="1"/>
  <c r="AC11" i="36"/>
  <c r="AY11" i="36" s="1"/>
  <c r="AC12" i="36"/>
  <c r="AX12" i="36"/>
  <c r="AY12" i="36" s="1"/>
  <c r="AC13" i="36"/>
  <c r="AY13" i="36" s="1"/>
  <c r="AC14" i="36"/>
  <c r="AX14" i="36"/>
  <c r="AY14" i="36" s="1"/>
  <c r="AC15" i="36"/>
  <c r="AY15" i="36" s="1"/>
  <c r="AC16" i="36"/>
  <c r="AX16" i="36"/>
  <c r="AY16" i="36" s="1"/>
  <c r="AC17" i="36"/>
  <c r="AY17" i="36" s="1"/>
  <c r="AC18" i="36"/>
  <c r="AX18" i="36"/>
  <c r="AC19" i="36"/>
  <c r="AY19" i="36" s="1"/>
  <c r="AC20" i="36"/>
  <c r="AX20" i="36"/>
  <c r="AY20" i="36" s="1"/>
  <c r="AC21" i="36"/>
  <c r="AY21" i="36" s="1"/>
  <c r="AC22" i="36"/>
  <c r="AY22" i="36" s="1"/>
  <c r="AC23" i="36"/>
  <c r="AX23" i="36"/>
  <c r="AY23" i="36" s="1"/>
  <c r="AC24" i="36"/>
  <c r="AY24" i="36" s="1"/>
  <c r="AC25" i="36"/>
  <c r="AX25" i="36"/>
  <c r="AY25" i="36" s="1"/>
  <c r="AC27" i="36"/>
  <c r="AX27" i="36"/>
  <c r="AC28" i="36"/>
  <c r="AY28" i="36" s="1"/>
  <c r="AX29" i="36"/>
  <c r="AY29" i="36" s="1"/>
  <c r="AC30" i="36"/>
  <c r="AX30" i="36"/>
  <c r="AY30" i="36" s="1"/>
  <c r="AC31" i="36"/>
  <c r="AY31" i="36" s="1"/>
  <c r="AX32" i="36"/>
  <c r="AY32" i="36" s="1"/>
  <c r="AC33" i="36"/>
  <c r="AY33" i="36" s="1"/>
  <c r="AC34" i="36"/>
  <c r="AX34" i="36"/>
  <c r="AY34" i="36" s="1"/>
  <c r="AC35" i="36"/>
  <c r="AX35" i="36"/>
  <c r="AC36" i="36"/>
  <c r="AY36" i="36" s="1"/>
  <c r="AX37" i="36"/>
  <c r="AY37" i="36" s="1"/>
  <c r="AC38" i="36"/>
  <c r="AX38" i="36"/>
  <c r="AY38" i="36" s="1"/>
  <c r="AC39" i="36"/>
  <c r="AY39" i="36" s="1"/>
  <c r="AC41" i="36"/>
  <c r="AX41" i="36"/>
  <c r="AY41" i="36" s="1"/>
  <c r="AC42" i="36"/>
  <c r="AY42" i="36" s="1"/>
  <c r="AC43" i="36"/>
  <c r="AX43" i="36"/>
  <c r="AY43" i="36" s="1"/>
  <c r="AX44" i="36"/>
  <c r="AY44" i="36" s="1"/>
  <c r="AC45" i="36"/>
  <c r="AY45" i="36" s="1"/>
  <c r="AX46" i="36"/>
  <c r="AY46" i="36" s="1"/>
  <c r="AC47" i="36"/>
  <c r="AY47" i="36" s="1"/>
  <c r="AC48" i="36"/>
  <c r="AX48" i="36"/>
  <c r="AY48" i="36" s="1"/>
  <c r="AX49" i="36"/>
  <c r="AY49" i="36" s="1"/>
  <c r="AC50" i="36"/>
  <c r="AY50" i="36" s="1"/>
  <c r="AC51" i="36"/>
  <c r="AX51" i="36"/>
  <c r="AY51" i="36" s="1"/>
  <c r="AC53" i="36"/>
  <c r="AY53" i="36" s="1"/>
  <c r="AC54" i="36"/>
  <c r="AX54" i="36"/>
  <c r="AY54" i="36" s="1"/>
  <c r="AC55" i="36"/>
  <c r="AY55" i="36" s="1"/>
  <c r="AC56" i="36"/>
  <c r="AX56" i="36"/>
  <c r="AC57" i="36"/>
  <c r="AX57" i="36"/>
  <c r="AY57" i="36" s="1"/>
  <c r="AC58" i="36"/>
  <c r="AY58" i="36" s="1"/>
  <c r="AC59" i="36"/>
  <c r="AX59" i="36"/>
  <c r="AY59" i="36" s="1"/>
  <c r="AC60" i="36"/>
  <c r="AY60" i="36" s="1"/>
  <c r="AX61" i="36"/>
  <c r="AY61" i="36" s="1"/>
  <c r="AC63" i="36"/>
  <c r="AY63" i="36" s="1"/>
  <c r="AC64" i="36"/>
  <c r="AY64" i="36" s="1"/>
  <c r="F65" i="35"/>
  <c r="G5" i="35"/>
  <c r="G65" i="35" s="1"/>
  <c r="I65" i="35"/>
  <c r="J5" i="35"/>
  <c r="J65" i="35" s="1"/>
  <c r="L65" i="35"/>
  <c r="M5" i="35"/>
  <c r="M65" i="35" s="1"/>
  <c r="O65" i="35"/>
  <c r="P5" i="35"/>
  <c r="P65" i="35" s="1"/>
  <c r="R65" i="35"/>
  <c r="S5" i="35"/>
  <c r="S65" i="35" s="1"/>
  <c r="U65" i="35"/>
  <c r="V5" i="35"/>
  <c r="V65" i="35" s="1"/>
  <c r="X65" i="35"/>
  <c r="Y5" i="35"/>
  <c r="Y65" i="35" s="1"/>
  <c r="AA65" i="35"/>
  <c r="AB5" i="35"/>
  <c r="AC6" i="35"/>
  <c r="AY6" i="35" s="1"/>
  <c r="AC7" i="35"/>
  <c r="AE65" i="35"/>
  <c r="AF7" i="35"/>
  <c r="AI65" i="35"/>
  <c r="AJ7" i="35"/>
  <c r="AM65" i="35"/>
  <c r="AN7" i="35"/>
  <c r="AQ65" i="35"/>
  <c r="AR7" i="35"/>
  <c r="AU65" i="35"/>
  <c r="AV7" i="35"/>
  <c r="AC8" i="35"/>
  <c r="AY8" i="35" s="1"/>
  <c r="AC9" i="35"/>
  <c r="AY9" i="35" s="1"/>
  <c r="AC10" i="35"/>
  <c r="AY10" i="35" s="1"/>
  <c r="AC11" i="35"/>
  <c r="AY11" i="35" s="1"/>
  <c r="AC12" i="35"/>
  <c r="AX12" i="35"/>
  <c r="AY12" i="35" s="1"/>
  <c r="AC13" i="35"/>
  <c r="AY13" i="35" s="1"/>
  <c r="AC14" i="35"/>
  <c r="AX14" i="35"/>
  <c r="AC15" i="35"/>
  <c r="AY15" i="35" s="1"/>
  <c r="AC16" i="35"/>
  <c r="AX16" i="35"/>
  <c r="AY16" i="35" s="1"/>
  <c r="AC17" i="35"/>
  <c r="AY17" i="35" s="1"/>
  <c r="AC18" i="35"/>
  <c r="AX18" i="35"/>
  <c r="AY18" i="35" s="1"/>
  <c r="AC19" i="35"/>
  <c r="AY19" i="35" s="1"/>
  <c r="AC20" i="35"/>
  <c r="AX20" i="35"/>
  <c r="AY20" i="35" s="1"/>
  <c r="AC21" i="35"/>
  <c r="AY21" i="35" s="1"/>
  <c r="AC22" i="35"/>
  <c r="AY22" i="35" s="1"/>
  <c r="AC23" i="35"/>
  <c r="AX23" i="35"/>
  <c r="AC24" i="35"/>
  <c r="AY24" i="35" s="1"/>
  <c r="AC25" i="35"/>
  <c r="AX25" i="35"/>
  <c r="AC27" i="35"/>
  <c r="AX27" i="35"/>
  <c r="AY27" i="35" s="1"/>
  <c r="AC28" i="35"/>
  <c r="AY28" i="35" s="1"/>
  <c r="AX29" i="35"/>
  <c r="AY29" i="35" s="1"/>
  <c r="AC30" i="35"/>
  <c r="AX30" i="35"/>
  <c r="AY30" i="35" s="1"/>
  <c r="AC31" i="35"/>
  <c r="AY31" i="35" s="1"/>
  <c r="AX32" i="35"/>
  <c r="AY32" i="35" s="1"/>
  <c r="AC33" i="35"/>
  <c r="AY33" i="35" s="1"/>
  <c r="AC34" i="35"/>
  <c r="AX34" i="35"/>
  <c r="AY34" i="35" s="1"/>
  <c r="AC35" i="35"/>
  <c r="AX35" i="35"/>
  <c r="AY35" i="35" s="1"/>
  <c r="AC36" i="35"/>
  <c r="AY36" i="35" s="1"/>
  <c r="AX37" i="35"/>
  <c r="AY37" i="35" s="1"/>
  <c r="AC38" i="35"/>
  <c r="AX38" i="35"/>
  <c r="AY38" i="35" s="1"/>
  <c r="AC39" i="35"/>
  <c r="AY39" i="35" s="1"/>
  <c r="AC41" i="35"/>
  <c r="AX41" i="35"/>
  <c r="AC42" i="35"/>
  <c r="AY42" i="35" s="1"/>
  <c r="AC43" i="35"/>
  <c r="AX43" i="35"/>
  <c r="AY43" i="35" s="1"/>
  <c r="AX44" i="35"/>
  <c r="AY44" i="35" s="1"/>
  <c r="AC45" i="35"/>
  <c r="AY45" i="35" s="1"/>
  <c r="AX46" i="35"/>
  <c r="AY46" i="35" s="1"/>
  <c r="AC47" i="35"/>
  <c r="AY47" i="35" s="1"/>
  <c r="AC48" i="35"/>
  <c r="AX48" i="35"/>
  <c r="AY48" i="35" s="1"/>
  <c r="AX49" i="35"/>
  <c r="AY49" i="35" s="1"/>
  <c r="AC50" i="35"/>
  <c r="AY50" i="35" s="1"/>
  <c r="AC51" i="35"/>
  <c r="AX51" i="35"/>
  <c r="AC53" i="35"/>
  <c r="AY53" i="35" s="1"/>
  <c r="AC54" i="35"/>
  <c r="AX54" i="35"/>
  <c r="AY54" i="35" s="1"/>
  <c r="AC55" i="35"/>
  <c r="AY55" i="35" s="1"/>
  <c r="AC56" i="35"/>
  <c r="AX56" i="35"/>
  <c r="AY56" i="35" s="1"/>
  <c r="AC57" i="35"/>
  <c r="AX57" i="35"/>
  <c r="AY57" i="35" s="1"/>
  <c r="AC58" i="35"/>
  <c r="AY58" i="35" s="1"/>
  <c r="AC59" i="35"/>
  <c r="AX59" i="35"/>
  <c r="AC60" i="35"/>
  <c r="AY60" i="35" s="1"/>
  <c r="AX61" i="35"/>
  <c r="AY61" i="35" s="1"/>
  <c r="AC63" i="35"/>
  <c r="AY63" i="35" s="1"/>
  <c r="AC64" i="35"/>
  <c r="AY64" i="35" s="1"/>
  <c r="F65" i="34"/>
  <c r="G5" i="34"/>
  <c r="G65" i="34" s="1"/>
  <c r="I65" i="34"/>
  <c r="J5" i="34"/>
  <c r="J65" i="34" s="1"/>
  <c r="L65" i="34"/>
  <c r="M5" i="34"/>
  <c r="M65" i="34" s="1"/>
  <c r="O65" i="34"/>
  <c r="P5" i="34"/>
  <c r="P65" i="34" s="1"/>
  <c r="R65" i="34"/>
  <c r="S5" i="34"/>
  <c r="S65" i="34" s="1"/>
  <c r="U65" i="34"/>
  <c r="V5" i="34"/>
  <c r="V65" i="34" s="1"/>
  <c r="X65" i="34"/>
  <c r="Y5" i="34"/>
  <c r="Y65" i="34" s="1"/>
  <c r="AA65" i="34"/>
  <c r="AB5" i="34"/>
  <c r="AC6" i="34"/>
  <c r="AY6" i="34" s="1"/>
  <c r="AC7" i="34"/>
  <c r="AE65" i="34"/>
  <c r="AF7" i="34"/>
  <c r="AI65" i="34"/>
  <c r="AJ7" i="34"/>
  <c r="AM65" i="34"/>
  <c r="AN7" i="34"/>
  <c r="AQ65" i="34"/>
  <c r="AR7" i="34"/>
  <c r="AU65" i="34"/>
  <c r="AV7" i="34"/>
  <c r="AC8" i="34"/>
  <c r="AY8" i="34" s="1"/>
  <c r="AC9" i="34"/>
  <c r="AY9" i="34" s="1"/>
  <c r="AC10" i="34"/>
  <c r="AY10" i="34" s="1"/>
  <c r="AC11" i="34"/>
  <c r="AY11" i="34" s="1"/>
  <c r="AC12" i="34"/>
  <c r="AX12" i="34"/>
  <c r="AY12" i="34" s="1"/>
  <c r="AC13" i="34"/>
  <c r="AY13" i="34" s="1"/>
  <c r="AC14" i="34"/>
  <c r="AX14" i="34"/>
  <c r="AY14" i="34" s="1"/>
  <c r="AC15" i="34"/>
  <c r="AY15" i="34" s="1"/>
  <c r="AC16" i="34"/>
  <c r="AX16" i="34"/>
  <c r="AY16" i="34" s="1"/>
  <c r="AC17" i="34"/>
  <c r="AY17" i="34" s="1"/>
  <c r="AC18" i="34"/>
  <c r="AX18" i="34"/>
  <c r="AY18" i="34" s="1"/>
  <c r="AC19" i="34"/>
  <c r="AY19" i="34" s="1"/>
  <c r="AC20" i="34"/>
  <c r="AX20" i="34"/>
  <c r="AY20" i="34" s="1"/>
  <c r="AC21" i="34"/>
  <c r="AY21" i="34" s="1"/>
  <c r="AC22" i="34"/>
  <c r="AY22" i="34" s="1"/>
  <c r="AC23" i="34"/>
  <c r="AX23" i="34"/>
  <c r="AY23" i="34" s="1"/>
  <c r="AC24" i="34"/>
  <c r="AY24" i="34" s="1"/>
  <c r="AC25" i="34"/>
  <c r="AX25" i="34"/>
  <c r="AY25" i="34" s="1"/>
  <c r="AC27" i="34"/>
  <c r="AX27" i="34"/>
  <c r="AY27" i="34" s="1"/>
  <c r="AC28" i="34"/>
  <c r="AY28" i="34" s="1"/>
  <c r="AX29" i="34"/>
  <c r="AY29" i="34" s="1"/>
  <c r="AC30" i="34"/>
  <c r="AX30" i="34"/>
  <c r="AC31" i="34"/>
  <c r="AY31" i="34" s="1"/>
  <c r="AX32" i="34"/>
  <c r="AY32" i="34" s="1"/>
  <c r="AC33" i="34"/>
  <c r="AY33" i="34" s="1"/>
  <c r="AC34" i="34"/>
  <c r="AX34" i="34"/>
  <c r="AY34" i="34" s="1"/>
  <c r="AC35" i="34"/>
  <c r="AX35" i="34"/>
  <c r="AY35" i="34" s="1"/>
  <c r="AC36" i="34"/>
  <c r="AY36" i="34" s="1"/>
  <c r="AX37" i="34"/>
  <c r="AY37" i="34" s="1"/>
  <c r="AC38" i="34"/>
  <c r="AX38" i="34"/>
  <c r="AY38" i="34" s="1"/>
  <c r="AC39" i="34"/>
  <c r="AY39" i="34" s="1"/>
  <c r="AC41" i="34"/>
  <c r="AX41" i="34"/>
  <c r="AY41" i="34" s="1"/>
  <c r="AC42" i="34"/>
  <c r="AY42" i="34" s="1"/>
  <c r="AC43" i="34"/>
  <c r="AX43" i="34"/>
  <c r="AY43" i="34" s="1"/>
  <c r="AX44" i="34"/>
  <c r="AY44" i="34" s="1"/>
  <c r="AC45" i="34"/>
  <c r="AY45" i="34" s="1"/>
  <c r="AX46" i="34"/>
  <c r="AY46" i="34" s="1"/>
  <c r="AC47" i="34"/>
  <c r="AY47" i="34" s="1"/>
  <c r="AC48" i="34"/>
  <c r="AX48" i="34"/>
  <c r="AY48" i="34" s="1"/>
  <c r="AX49" i="34"/>
  <c r="AY49" i="34" s="1"/>
  <c r="AC50" i="34"/>
  <c r="AY50" i="34" s="1"/>
  <c r="AC51" i="34"/>
  <c r="AX51" i="34"/>
  <c r="AY51" i="34" s="1"/>
  <c r="AC53" i="34"/>
  <c r="AY53" i="34" s="1"/>
  <c r="AC54" i="34"/>
  <c r="AX54" i="34"/>
  <c r="AY54" i="34" s="1"/>
  <c r="AC55" i="34"/>
  <c r="AY55" i="34" s="1"/>
  <c r="AC56" i="34"/>
  <c r="AX56" i="34"/>
  <c r="AY56" i="34" s="1"/>
  <c r="AC57" i="34"/>
  <c r="AX57" i="34"/>
  <c r="AY57" i="34" s="1"/>
  <c r="AC58" i="34"/>
  <c r="AY58" i="34" s="1"/>
  <c r="AC59" i="34"/>
  <c r="AX59" i="34"/>
  <c r="AY59" i="34" s="1"/>
  <c r="AC60" i="34"/>
  <c r="AY60" i="34" s="1"/>
  <c r="AX61" i="34"/>
  <c r="AY61" i="34" s="1"/>
  <c r="AC63" i="34"/>
  <c r="AY63" i="34" s="1"/>
  <c r="AC64" i="34"/>
  <c r="AY64" i="34" s="1"/>
  <c r="F65" i="33"/>
  <c r="G5" i="33"/>
  <c r="G65" i="33" s="1"/>
  <c r="I65" i="33"/>
  <c r="J5" i="33"/>
  <c r="J65" i="33" s="1"/>
  <c r="L65" i="33"/>
  <c r="M5" i="33"/>
  <c r="M65" i="33" s="1"/>
  <c r="O65" i="33"/>
  <c r="P5" i="33"/>
  <c r="P65" i="33" s="1"/>
  <c r="R65" i="33"/>
  <c r="S5" i="33"/>
  <c r="S65" i="33" s="1"/>
  <c r="U65" i="33"/>
  <c r="V5" i="33"/>
  <c r="V65" i="33" s="1"/>
  <c r="X65" i="33"/>
  <c r="Y5" i="33"/>
  <c r="Y65" i="33" s="1"/>
  <c r="AA65" i="33"/>
  <c r="AB5" i="33"/>
  <c r="AC6" i="33"/>
  <c r="AY6" i="33" s="1"/>
  <c r="AC7" i="33"/>
  <c r="AE65" i="33"/>
  <c r="AF7" i="33"/>
  <c r="AI65" i="33"/>
  <c r="AJ7" i="33"/>
  <c r="AM65" i="33"/>
  <c r="AN7" i="33"/>
  <c r="AQ65" i="33"/>
  <c r="AR7" i="33"/>
  <c r="AU65" i="33"/>
  <c r="AV7" i="33"/>
  <c r="AC8" i="33"/>
  <c r="AY8" i="33" s="1"/>
  <c r="AC9" i="33"/>
  <c r="AY9" i="33" s="1"/>
  <c r="AC10" i="33"/>
  <c r="AY10" i="33" s="1"/>
  <c r="AC11" i="33"/>
  <c r="AY11" i="33" s="1"/>
  <c r="AC12" i="33"/>
  <c r="AX12" i="33"/>
  <c r="AY12" i="33" s="1"/>
  <c r="AC13" i="33"/>
  <c r="AY13" i="33" s="1"/>
  <c r="AC14" i="33"/>
  <c r="AX14" i="33"/>
  <c r="AY14" i="33" s="1"/>
  <c r="AC15" i="33"/>
  <c r="AY15" i="33" s="1"/>
  <c r="AC16" i="33"/>
  <c r="AX16" i="33"/>
  <c r="AC17" i="33"/>
  <c r="AY17" i="33" s="1"/>
  <c r="AC18" i="33"/>
  <c r="AX18" i="33"/>
  <c r="AY18" i="33" s="1"/>
  <c r="AC19" i="33"/>
  <c r="AY19" i="33" s="1"/>
  <c r="AC20" i="33"/>
  <c r="AX20" i="33"/>
  <c r="AY20" i="33" s="1"/>
  <c r="AC21" i="33"/>
  <c r="AY21" i="33" s="1"/>
  <c r="AC22" i="33"/>
  <c r="AY22" i="33" s="1"/>
  <c r="AC23" i="33"/>
  <c r="AX23" i="33"/>
  <c r="AY23" i="33" s="1"/>
  <c r="AC24" i="33"/>
  <c r="AY24" i="33" s="1"/>
  <c r="AC25" i="33"/>
  <c r="AX25" i="33"/>
  <c r="AY25" i="33" s="1"/>
  <c r="AC27" i="33"/>
  <c r="AX27" i="33"/>
  <c r="AY27" i="33" s="1"/>
  <c r="AC28" i="33"/>
  <c r="AY28" i="33" s="1"/>
  <c r="AX29" i="33"/>
  <c r="AY29" i="33" s="1"/>
  <c r="AC30" i="33"/>
  <c r="AX30" i="33"/>
  <c r="AY30" i="33" s="1"/>
  <c r="AC31" i="33"/>
  <c r="AY31" i="33" s="1"/>
  <c r="AX32" i="33"/>
  <c r="AY32" i="33" s="1"/>
  <c r="AC33" i="33"/>
  <c r="AY33" i="33" s="1"/>
  <c r="AC34" i="33"/>
  <c r="AX34" i="33"/>
  <c r="AC35" i="33"/>
  <c r="AX35" i="33"/>
  <c r="AC36" i="33"/>
  <c r="AY36" i="33" s="1"/>
  <c r="AX37" i="33"/>
  <c r="AY37" i="33" s="1"/>
  <c r="AC38" i="33"/>
  <c r="AX38" i="33"/>
  <c r="AY38" i="33" s="1"/>
  <c r="AC39" i="33"/>
  <c r="AY39" i="33" s="1"/>
  <c r="AC41" i="33"/>
  <c r="AX41" i="33"/>
  <c r="AY41" i="33" s="1"/>
  <c r="AC42" i="33"/>
  <c r="AY42" i="33" s="1"/>
  <c r="AC43" i="33"/>
  <c r="AX43" i="33"/>
  <c r="AX44" i="33"/>
  <c r="AY44" i="33" s="1"/>
  <c r="AC45" i="33"/>
  <c r="AY45" i="33" s="1"/>
  <c r="AX46" i="33"/>
  <c r="AY46" i="33" s="1"/>
  <c r="AC47" i="33"/>
  <c r="AY47" i="33" s="1"/>
  <c r="AC48" i="33"/>
  <c r="AX48" i="33"/>
  <c r="AY48" i="33" s="1"/>
  <c r="AX49" i="33"/>
  <c r="AY49" i="33" s="1"/>
  <c r="AC50" i="33"/>
  <c r="AY50" i="33" s="1"/>
  <c r="AC51" i="33"/>
  <c r="AX51" i="33"/>
  <c r="AY51" i="33" s="1"/>
  <c r="AC53" i="33"/>
  <c r="AY53" i="33" s="1"/>
  <c r="AC54" i="33"/>
  <c r="AX54" i="33"/>
  <c r="AY54" i="33" s="1"/>
  <c r="AC55" i="33"/>
  <c r="AY55" i="33" s="1"/>
  <c r="AC56" i="33"/>
  <c r="AX56" i="33"/>
  <c r="AY56" i="33" s="1"/>
  <c r="AC57" i="33"/>
  <c r="AX57" i="33"/>
  <c r="AY57" i="33" s="1"/>
  <c r="AC58" i="33"/>
  <c r="AY58" i="33" s="1"/>
  <c r="AC59" i="33"/>
  <c r="AX59" i="33"/>
  <c r="AY59" i="33" s="1"/>
  <c r="AC60" i="33"/>
  <c r="AY60" i="33" s="1"/>
  <c r="AX61" i="33"/>
  <c r="AY61" i="33" s="1"/>
  <c r="AC63" i="33"/>
  <c r="AY63" i="33" s="1"/>
  <c r="AC64" i="33"/>
  <c r="AY64" i="33" s="1"/>
  <c r="F65" i="32"/>
  <c r="G5" i="32"/>
  <c r="G65" i="32" s="1"/>
  <c r="I65" i="32"/>
  <c r="J5" i="32"/>
  <c r="J65" i="32" s="1"/>
  <c r="L65" i="32"/>
  <c r="M5" i="32"/>
  <c r="M65" i="32" s="1"/>
  <c r="O65" i="32"/>
  <c r="P5" i="32"/>
  <c r="P65" i="32" s="1"/>
  <c r="R65" i="32"/>
  <c r="S5" i="32"/>
  <c r="S65" i="32" s="1"/>
  <c r="U65" i="32"/>
  <c r="V5" i="32"/>
  <c r="V65" i="32" s="1"/>
  <c r="X65" i="32"/>
  <c r="Y5" i="32"/>
  <c r="Y65" i="32" s="1"/>
  <c r="AA65" i="32"/>
  <c r="AB5" i="32"/>
  <c r="AC6" i="32"/>
  <c r="AY6" i="32" s="1"/>
  <c r="AC7" i="32"/>
  <c r="AE65" i="32"/>
  <c r="AF7" i="32"/>
  <c r="AI65" i="32"/>
  <c r="AJ7" i="32"/>
  <c r="AM65" i="32"/>
  <c r="AN7" i="32"/>
  <c r="AQ65" i="32"/>
  <c r="AR7" i="32"/>
  <c r="AU65" i="32"/>
  <c r="AV7" i="32"/>
  <c r="AC8" i="32"/>
  <c r="AY8" i="32" s="1"/>
  <c r="AC9" i="32"/>
  <c r="AY9" i="32" s="1"/>
  <c r="AC10" i="32"/>
  <c r="AY10" i="32" s="1"/>
  <c r="AC11" i="32"/>
  <c r="AY11" i="32" s="1"/>
  <c r="AC12" i="32"/>
  <c r="AX12" i="32"/>
  <c r="AY12" i="32" s="1"/>
  <c r="AC13" i="32"/>
  <c r="AY13" i="32" s="1"/>
  <c r="AC14" i="32"/>
  <c r="AX14" i="32"/>
  <c r="AC15" i="32"/>
  <c r="AY15" i="32" s="1"/>
  <c r="AC16" i="32"/>
  <c r="AX16" i="32"/>
  <c r="AY16" i="32" s="1"/>
  <c r="AC17" i="32"/>
  <c r="AY17" i="32" s="1"/>
  <c r="AC18" i="32"/>
  <c r="AX18" i="32"/>
  <c r="AY18" i="32" s="1"/>
  <c r="AC19" i="32"/>
  <c r="AY19" i="32" s="1"/>
  <c r="AC20" i="32"/>
  <c r="AX20" i="32"/>
  <c r="AY20" i="32" s="1"/>
  <c r="AC21" i="32"/>
  <c r="AY21" i="32" s="1"/>
  <c r="AC22" i="32"/>
  <c r="AY22" i="32" s="1"/>
  <c r="AC23" i="32"/>
  <c r="AX23" i="32"/>
  <c r="AY23" i="32" s="1"/>
  <c r="AC24" i="32"/>
  <c r="AY24" i="32" s="1"/>
  <c r="AC25" i="32"/>
  <c r="AX25" i="32"/>
  <c r="AY25" i="32" s="1"/>
  <c r="AC27" i="32"/>
  <c r="AX27" i="32"/>
  <c r="AY27" i="32" s="1"/>
  <c r="AC28" i="32"/>
  <c r="AY28" i="32" s="1"/>
  <c r="AX29" i="32"/>
  <c r="AY29" i="32" s="1"/>
  <c r="AC30" i="32"/>
  <c r="AX30" i="32"/>
  <c r="AC31" i="32"/>
  <c r="AY31" i="32" s="1"/>
  <c r="AX32" i="32"/>
  <c r="AY32" i="32" s="1"/>
  <c r="AC33" i="32"/>
  <c r="AY33" i="32" s="1"/>
  <c r="AC34" i="32"/>
  <c r="AX34" i="32"/>
  <c r="AY34" i="32" s="1"/>
  <c r="AC35" i="32"/>
  <c r="AX35" i="32"/>
  <c r="AY35" i="32" s="1"/>
  <c r="AC36" i="32"/>
  <c r="AY36" i="32" s="1"/>
  <c r="AX37" i="32"/>
  <c r="AY37" i="32" s="1"/>
  <c r="AC38" i="32"/>
  <c r="AX38" i="32"/>
  <c r="AY38" i="32" s="1"/>
  <c r="AC39" i="32"/>
  <c r="AY39" i="32" s="1"/>
  <c r="AC41" i="32"/>
  <c r="AX41" i="32"/>
  <c r="AC42" i="32"/>
  <c r="AY42" i="32" s="1"/>
  <c r="AC43" i="32"/>
  <c r="AX43" i="32"/>
  <c r="AY43" i="32" s="1"/>
  <c r="AX44" i="32"/>
  <c r="AY44" i="32" s="1"/>
  <c r="AC45" i="32"/>
  <c r="AY45" i="32" s="1"/>
  <c r="AX46" i="32"/>
  <c r="AY46" i="32" s="1"/>
  <c r="AC47" i="32"/>
  <c r="AY47" i="32" s="1"/>
  <c r="AC48" i="32"/>
  <c r="AX48" i="32"/>
  <c r="AY48" i="32" s="1"/>
  <c r="AX49" i="32"/>
  <c r="AY49" i="32" s="1"/>
  <c r="AC50" i="32"/>
  <c r="AY50" i="32" s="1"/>
  <c r="AC51" i="32"/>
  <c r="AX51" i="32"/>
  <c r="AY51" i="32" s="1"/>
  <c r="AC53" i="32"/>
  <c r="AY53" i="32" s="1"/>
  <c r="AC54" i="32"/>
  <c r="AX54" i="32"/>
  <c r="AY54" i="32" s="1"/>
  <c r="AC55" i="32"/>
  <c r="AY55" i="32" s="1"/>
  <c r="AC56" i="32"/>
  <c r="AX56" i="32"/>
  <c r="AY56" i="32" s="1"/>
  <c r="AC57" i="32"/>
  <c r="AX57" i="32"/>
  <c r="AY57" i="32" s="1"/>
  <c r="AC58" i="32"/>
  <c r="AY58" i="32" s="1"/>
  <c r="AC59" i="32"/>
  <c r="AX59" i="32"/>
  <c r="AC60" i="32"/>
  <c r="AY60" i="32" s="1"/>
  <c r="AX61" i="32"/>
  <c r="AY61" i="32" s="1"/>
  <c r="AC63" i="32"/>
  <c r="AY63" i="32" s="1"/>
  <c r="AC64" i="32"/>
  <c r="AY64" i="32" s="1"/>
  <c r="F65" i="31"/>
  <c r="G5" i="31"/>
  <c r="G65" i="31" s="1"/>
  <c r="I65" i="31"/>
  <c r="J5" i="31"/>
  <c r="J65" i="31" s="1"/>
  <c r="L65" i="31"/>
  <c r="M5" i="31"/>
  <c r="M65" i="31" s="1"/>
  <c r="O65" i="31"/>
  <c r="P5" i="31"/>
  <c r="P65" i="31" s="1"/>
  <c r="R65" i="31"/>
  <c r="S5" i="31"/>
  <c r="S65" i="31" s="1"/>
  <c r="U65" i="31"/>
  <c r="V5" i="31"/>
  <c r="V65" i="31" s="1"/>
  <c r="X65" i="31"/>
  <c r="Y5" i="31"/>
  <c r="Y65" i="31" s="1"/>
  <c r="AA65" i="31"/>
  <c r="AB5" i="31"/>
  <c r="AC6" i="31"/>
  <c r="AY6" i="31" s="1"/>
  <c r="AC7" i="31"/>
  <c r="AE65" i="31"/>
  <c r="AF7" i="31"/>
  <c r="AI65" i="31"/>
  <c r="AJ7" i="31"/>
  <c r="AM65" i="31"/>
  <c r="AN7" i="31"/>
  <c r="AQ65" i="31"/>
  <c r="AR7" i="31"/>
  <c r="AU65" i="31"/>
  <c r="AV7" i="31"/>
  <c r="AC8" i="31"/>
  <c r="AY8" i="31" s="1"/>
  <c r="AC9" i="31"/>
  <c r="AY9" i="31" s="1"/>
  <c r="AC10" i="31"/>
  <c r="AY10" i="31" s="1"/>
  <c r="AC11" i="31"/>
  <c r="AY11" i="31" s="1"/>
  <c r="AC12" i="31"/>
  <c r="AX12" i="31"/>
  <c r="AC13" i="31"/>
  <c r="AY13" i="31" s="1"/>
  <c r="AC14" i="31"/>
  <c r="AX14" i="31"/>
  <c r="AY14" i="31" s="1"/>
  <c r="AC15" i="31"/>
  <c r="AY15" i="31" s="1"/>
  <c r="AC16" i="31"/>
  <c r="AX16" i="31"/>
  <c r="AY16" i="31" s="1"/>
  <c r="AC17" i="31"/>
  <c r="AY17" i="31" s="1"/>
  <c r="AC18" i="31"/>
  <c r="AX18" i="31"/>
  <c r="AC19" i="31"/>
  <c r="AY19" i="31" s="1"/>
  <c r="AC20" i="31"/>
  <c r="AX20" i="31"/>
  <c r="AC21" i="31"/>
  <c r="AY21" i="31" s="1"/>
  <c r="AC22" i="31"/>
  <c r="AY22" i="31" s="1"/>
  <c r="AC23" i="31"/>
  <c r="AX23" i="31"/>
  <c r="AY23" i="31" s="1"/>
  <c r="AC24" i="31"/>
  <c r="AY24" i="31" s="1"/>
  <c r="AC25" i="31"/>
  <c r="AX25" i="31"/>
  <c r="AY25" i="31" s="1"/>
  <c r="AC27" i="31"/>
  <c r="AX27" i="31"/>
  <c r="AC28" i="31"/>
  <c r="AY28" i="31" s="1"/>
  <c r="AX29" i="31"/>
  <c r="AY29" i="31" s="1"/>
  <c r="AC30" i="31"/>
  <c r="AX30" i="31"/>
  <c r="AY30" i="31" s="1"/>
  <c r="AC31" i="31"/>
  <c r="AY31" i="31" s="1"/>
  <c r="AX32" i="31"/>
  <c r="AY32" i="31" s="1"/>
  <c r="AC33" i="31"/>
  <c r="AY33" i="31" s="1"/>
  <c r="AC34" i="31"/>
  <c r="AX34" i="31"/>
  <c r="AY34" i="31" s="1"/>
  <c r="AC35" i="31"/>
  <c r="AX35" i="31"/>
  <c r="AY35" i="31" s="1"/>
  <c r="AC36" i="31"/>
  <c r="AY36" i="31" s="1"/>
  <c r="AX37" i="31"/>
  <c r="AY37" i="31" s="1"/>
  <c r="AC38" i="31"/>
  <c r="AX38" i="31"/>
  <c r="AC39" i="31"/>
  <c r="AY39" i="31" s="1"/>
  <c r="AC41" i="31"/>
  <c r="AX41" i="31"/>
  <c r="AY41" i="31" s="1"/>
  <c r="AC42" i="31"/>
  <c r="AY42" i="31" s="1"/>
  <c r="AC43" i="31"/>
  <c r="AX43" i="31"/>
  <c r="AY43" i="31" s="1"/>
  <c r="AX44" i="31"/>
  <c r="AY44" i="31" s="1"/>
  <c r="AC45" i="31"/>
  <c r="AY45" i="31" s="1"/>
  <c r="AX46" i="31"/>
  <c r="AY46" i="31" s="1"/>
  <c r="AC47" i="31"/>
  <c r="AY47" i="31" s="1"/>
  <c r="AC48" i="31"/>
  <c r="AX48" i="31"/>
  <c r="AX49" i="31"/>
  <c r="AY49" i="31" s="1"/>
  <c r="AC50" i="31"/>
  <c r="AY50" i="31" s="1"/>
  <c r="AC51" i="31"/>
  <c r="AX51" i="31"/>
  <c r="AY51" i="31" s="1"/>
  <c r="AC53" i="31"/>
  <c r="AY53" i="31" s="1"/>
  <c r="AC54" i="31"/>
  <c r="AX54" i="31"/>
  <c r="AY54" i="31" s="1"/>
  <c r="AC55" i="31"/>
  <c r="AY55" i="31" s="1"/>
  <c r="AC56" i="31"/>
  <c r="AX56" i="31"/>
  <c r="AC57" i="31"/>
  <c r="AX57" i="31"/>
  <c r="AC58" i="31"/>
  <c r="AY58" i="31" s="1"/>
  <c r="AC59" i="31"/>
  <c r="AX59" i="31"/>
  <c r="AY59" i="31" s="1"/>
  <c r="AC60" i="31"/>
  <c r="AY60" i="31" s="1"/>
  <c r="AX61" i="31"/>
  <c r="AY61" i="31" s="1"/>
  <c r="AC63" i="31"/>
  <c r="AY63" i="31" s="1"/>
  <c r="AC64" i="31"/>
  <c r="AY64" i="31" s="1"/>
  <c r="F65" i="30"/>
  <c r="G5" i="30"/>
  <c r="G65" i="30" s="1"/>
  <c r="I65" i="30"/>
  <c r="J5" i="30"/>
  <c r="J65" i="30" s="1"/>
  <c r="L65" i="30"/>
  <c r="M5" i="30"/>
  <c r="M65" i="30" s="1"/>
  <c r="O65" i="30"/>
  <c r="P5" i="30"/>
  <c r="P65" i="30" s="1"/>
  <c r="R65" i="30"/>
  <c r="S5" i="30"/>
  <c r="S65" i="30" s="1"/>
  <c r="U65" i="30"/>
  <c r="V5" i="30"/>
  <c r="V65" i="30" s="1"/>
  <c r="X65" i="30"/>
  <c r="Y5" i="30"/>
  <c r="Y65" i="30" s="1"/>
  <c r="AA65" i="30"/>
  <c r="AB5" i="30"/>
  <c r="AC6" i="30"/>
  <c r="AY6" i="30" s="1"/>
  <c r="AC7" i="30"/>
  <c r="AE65" i="30"/>
  <c r="AF7" i="30"/>
  <c r="AI65" i="30"/>
  <c r="AJ7" i="30"/>
  <c r="AM65" i="30"/>
  <c r="AN7" i="30"/>
  <c r="AQ65" i="30"/>
  <c r="AR7" i="30"/>
  <c r="AU65" i="30"/>
  <c r="AV7" i="30"/>
  <c r="AC8" i="30"/>
  <c r="AY8" i="30" s="1"/>
  <c r="AC9" i="30"/>
  <c r="AY9" i="30" s="1"/>
  <c r="AC10" i="30"/>
  <c r="AY10" i="30" s="1"/>
  <c r="AC11" i="30"/>
  <c r="AY11" i="30" s="1"/>
  <c r="AC12" i="30"/>
  <c r="AX12" i="30"/>
  <c r="AY12" i="30" s="1"/>
  <c r="AC13" i="30"/>
  <c r="AY13" i="30" s="1"/>
  <c r="AC14" i="30"/>
  <c r="AX14" i="30"/>
  <c r="AY14" i="30" s="1"/>
  <c r="AC15" i="30"/>
  <c r="AY15" i="30" s="1"/>
  <c r="AC16" i="30"/>
  <c r="AX16" i="30"/>
  <c r="AC17" i="30"/>
  <c r="AY17" i="30" s="1"/>
  <c r="AC18" i="30"/>
  <c r="AX18" i="30"/>
  <c r="AC19" i="30"/>
  <c r="AY19" i="30" s="1"/>
  <c r="AC20" i="30"/>
  <c r="AX20" i="30"/>
  <c r="AY20" i="30" s="1"/>
  <c r="AC21" i="30"/>
  <c r="AY21" i="30" s="1"/>
  <c r="AC22" i="30"/>
  <c r="AY22" i="30" s="1"/>
  <c r="AC23" i="30"/>
  <c r="AX23" i="30"/>
  <c r="AY23" i="30" s="1"/>
  <c r="AC24" i="30"/>
  <c r="AY24" i="30" s="1"/>
  <c r="AC25" i="30"/>
  <c r="AX25" i="30"/>
  <c r="AC27" i="30"/>
  <c r="AX27" i="30"/>
  <c r="AC28" i="30"/>
  <c r="AY28" i="30" s="1"/>
  <c r="AX29" i="30"/>
  <c r="AY29" i="30" s="1"/>
  <c r="AC30" i="30"/>
  <c r="AX30" i="30"/>
  <c r="AY30" i="30" s="1"/>
  <c r="AC31" i="30"/>
  <c r="AY31" i="30" s="1"/>
  <c r="AX32" i="30"/>
  <c r="AY32" i="30" s="1"/>
  <c r="AC33" i="30"/>
  <c r="AY33" i="30" s="1"/>
  <c r="AC34" i="30"/>
  <c r="AX34" i="30"/>
  <c r="AC35" i="30"/>
  <c r="AX35" i="30"/>
  <c r="AC36" i="30"/>
  <c r="AY36" i="30" s="1"/>
  <c r="AX37" i="30"/>
  <c r="AY37" i="30" s="1"/>
  <c r="AC38" i="30"/>
  <c r="AX38" i="30"/>
  <c r="AY38" i="30" s="1"/>
  <c r="AC39" i="30"/>
  <c r="AY39" i="30" s="1"/>
  <c r="AC41" i="30"/>
  <c r="AX41" i="30"/>
  <c r="AY41" i="30" s="1"/>
  <c r="AC42" i="30"/>
  <c r="AY42" i="30" s="1"/>
  <c r="AC43" i="30"/>
  <c r="AX43" i="30"/>
  <c r="AX44" i="30"/>
  <c r="AY44" i="30" s="1"/>
  <c r="AC45" i="30"/>
  <c r="AY45" i="30" s="1"/>
  <c r="AX46" i="30"/>
  <c r="AY46" i="30" s="1"/>
  <c r="AC47" i="30"/>
  <c r="AY47" i="30" s="1"/>
  <c r="AC48" i="30"/>
  <c r="AX48" i="30"/>
  <c r="AY48" i="30" s="1"/>
  <c r="AX49" i="30"/>
  <c r="AY49" i="30" s="1"/>
  <c r="AC50" i="30"/>
  <c r="AY50" i="30" s="1"/>
  <c r="AC51" i="30"/>
  <c r="AX51" i="30"/>
  <c r="AY51" i="30" s="1"/>
  <c r="AC53" i="30"/>
  <c r="AY53" i="30" s="1"/>
  <c r="AC54" i="30"/>
  <c r="AX54" i="30"/>
  <c r="AC55" i="30"/>
  <c r="AY55" i="30" s="1"/>
  <c r="AC56" i="30"/>
  <c r="AX56" i="30"/>
  <c r="AY56" i="30" s="1"/>
  <c r="AC57" i="30"/>
  <c r="AX57" i="30"/>
  <c r="AY57" i="30" s="1"/>
  <c r="AC58" i="30"/>
  <c r="AY58" i="30" s="1"/>
  <c r="AC59" i="30"/>
  <c r="AX59" i="30"/>
  <c r="AY59" i="30" s="1"/>
  <c r="AC60" i="30"/>
  <c r="AY60" i="30" s="1"/>
  <c r="AX61" i="30"/>
  <c r="AY61" i="30" s="1"/>
  <c r="AC63" i="30"/>
  <c r="AY63" i="30" s="1"/>
  <c r="AC64" i="30"/>
  <c r="AY64" i="30" s="1"/>
  <c r="F65" i="29"/>
  <c r="G5" i="29"/>
  <c r="G65" i="29" s="1"/>
  <c r="I65" i="29"/>
  <c r="J5" i="29"/>
  <c r="J65" i="29" s="1"/>
  <c r="L65" i="29"/>
  <c r="M5" i="29"/>
  <c r="M65" i="29" s="1"/>
  <c r="O65" i="29"/>
  <c r="P5" i="29"/>
  <c r="P65" i="29" s="1"/>
  <c r="R65" i="29"/>
  <c r="S5" i="29"/>
  <c r="S65" i="29" s="1"/>
  <c r="U65" i="29"/>
  <c r="V5" i="29"/>
  <c r="V65" i="29" s="1"/>
  <c r="X65" i="29"/>
  <c r="Y5" i="29"/>
  <c r="Y65" i="29" s="1"/>
  <c r="AA65" i="29"/>
  <c r="AB5" i="29"/>
  <c r="AC6" i="29"/>
  <c r="AY6" i="29" s="1"/>
  <c r="AC7" i="29"/>
  <c r="AE65" i="29"/>
  <c r="AF7" i="29"/>
  <c r="AI65" i="29"/>
  <c r="AJ7" i="29"/>
  <c r="AM65" i="29"/>
  <c r="AN7" i="29"/>
  <c r="AQ65" i="29"/>
  <c r="AR7" i="29"/>
  <c r="AU65" i="29"/>
  <c r="AV7" i="29"/>
  <c r="AC8" i="29"/>
  <c r="AY8" i="29" s="1"/>
  <c r="AC9" i="29"/>
  <c r="AY9" i="29" s="1"/>
  <c r="AC10" i="29"/>
  <c r="AY10" i="29" s="1"/>
  <c r="AC11" i="29"/>
  <c r="AY11" i="29" s="1"/>
  <c r="AC12" i="29"/>
  <c r="AX12" i="29"/>
  <c r="AY12" i="29" s="1"/>
  <c r="AC13" i="29"/>
  <c r="AY13" i="29" s="1"/>
  <c r="AC14" i="29"/>
  <c r="AX14" i="29"/>
  <c r="AC15" i="29"/>
  <c r="AY15" i="29" s="1"/>
  <c r="AC16" i="29"/>
  <c r="AX16" i="29"/>
  <c r="AY16" i="29" s="1"/>
  <c r="AC17" i="29"/>
  <c r="AY17" i="29" s="1"/>
  <c r="AC18" i="29"/>
  <c r="AX18" i="29"/>
  <c r="AY18" i="29" s="1"/>
  <c r="AC19" i="29"/>
  <c r="AY19" i="29" s="1"/>
  <c r="AC20" i="29"/>
  <c r="AX20" i="29"/>
  <c r="AY20" i="29" s="1"/>
  <c r="AC21" i="29"/>
  <c r="AY21" i="29" s="1"/>
  <c r="AC22" i="29"/>
  <c r="AY22" i="29" s="1"/>
  <c r="AC23" i="29"/>
  <c r="AX23" i="29"/>
  <c r="AC24" i="29"/>
  <c r="AY24" i="29" s="1"/>
  <c r="AC25" i="29"/>
  <c r="AX25" i="29"/>
  <c r="AC27" i="29"/>
  <c r="AX27" i="29"/>
  <c r="AY27" i="29" s="1"/>
  <c r="AC28" i="29"/>
  <c r="AY28" i="29" s="1"/>
  <c r="AX29" i="29"/>
  <c r="AY29" i="29" s="1"/>
  <c r="AC30" i="29"/>
  <c r="AX30" i="29"/>
  <c r="AC31" i="29"/>
  <c r="AY31" i="29" s="1"/>
  <c r="AX32" i="29"/>
  <c r="AY32" i="29" s="1"/>
  <c r="AC33" i="29"/>
  <c r="AY33" i="29" s="1"/>
  <c r="AC34" i="29"/>
  <c r="AX34" i="29"/>
  <c r="AY34" i="29" s="1"/>
  <c r="AC35" i="29"/>
  <c r="AX35" i="29"/>
  <c r="AC36" i="29"/>
  <c r="AY36" i="29" s="1"/>
  <c r="AX37" i="29"/>
  <c r="AY37" i="29" s="1"/>
  <c r="AC38" i="29"/>
  <c r="AX38" i="29"/>
  <c r="AY38" i="29" s="1"/>
  <c r="AC39" i="29"/>
  <c r="AY39" i="29" s="1"/>
  <c r="AC41" i="29"/>
  <c r="AX41" i="29"/>
  <c r="AC42" i="29"/>
  <c r="AY42" i="29" s="1"/>
  <c r="AC43" i="29"/>
  <c r="AX43" i="29"/>
  <c r="AY43" i="29" s="1"/>
  <c r="AX44" i="29"/>
  <c r="AY44" i="29" s="1"/>
  <c r="AC45" i="29"/>
  <c r="AY45" i="29" s="1"/>
  <c r="AX46" i="29"/>
  <c r="AY46" i="29" s="1"/>
  <c r="AC47" i="29"/>
  <c r="AY47" i="29" s="1"/>
  <c r="AC48" i="29"/>
  <c r="AX48" i="29"/>
  <c r="AY48" i="29" s="1"/>
  <c r="AX49" i="29"/>
  <c r="AY49" i="29" s="1"/>
  <c r="AC50" i="29"/>
  <c r="AY50" i="29" s="1"/>
  <c r="AC51" i="29"/>
  <c r="AX51" i="29"/>
  <c r="AC53" i="29"/>
  <c r="AY53" i="29" s="1"/>
  <c r="AC54" i="29"/>
  <c r="AX54" i="29"/>
  <c r="AC55" i="29"/>
  <c r="AY55" i="29" s="1"/>
  <c r="AC56" i="29"/>
  <c r="AX56" i="29"/>
  <c r="AY56" i="29" s="1"/>
  <c r="AC57" i="29"/>
  <c r="AX57" i="29"/>
  <c r="AY57" i="29" s="1"/>
  <c r="AC58" i="29"/>
  <c r="AY58" i="29" s="1"/>
  <c r="AC59" i="29"/>
  <c r="AX59" i="29"/>
  <c r="AC60" i="29"/>
  <c r="AY60" i="29" s="1"/>
  <c r="AX61" i="29"/>
  <c r="AY61" i="29" s="1"/>
  <c r="AC63" i="29"/>
  <c r="AY63" i="29" s="1"/>
  <c r="AC64" i="29"/>
  <c r="AY64" i="29" s="1"/>
  <c r="G65" i="27"/>
  <c r="AC6" i="28"/>
  <c r="AY6" i="28" s="1"/>
  <c r="AF65" i="28"/>
  <c r="AG7" i="28"/>
  <c r="AG65" i="28" s="1"/>
  <c r="AJ65" i="28"/>
  <c r="AK7" i="28"/>
  <c r="AK65" i="28" s="1"/>
  <c r="AO7" i="28"/>
  <c r="AR65" i="28"/>
  <c r="AS7" i="28"/>
  <c r="AS65" i="28" s="1"/>
  <c r="AV65" i="28"/>
  <c r="AW7" i="28"/>
  <c r="AC8" i="28"/>
  <c r="AY8" i="28" s="1"/>
  <c r="AC9" i="28"/>
  <c r="AY9" i="28" s="1"/>
  <c r="AC11" i="28"/>
  <c r="AY11" i="28" s="1"/>
  <c r="AC12" i="28"/>
  <c r="AC13" i="28"/>
  <c r="AY13" i="28" s="1"/>
  <c r="AC14" i="28"/>
  <c r="AX14" i="28"/>
  <c r="AC15" i="28"/>
  <c r="AY15" i="28" s="1"/>
  <c r="AC16" i="28"/>
  <c r="AX16" i="28"/>
  <c r="AC17" i="28"/>
  <c r="AY17" i="28" s="1"/>
  <c r="AC18" i="28"/>
  <c r="AX18" i="28"/>
  <c r="AC19" i="28"/>
  <c r="AY19" i="28" s="1"/>
  <c r="AC20" i="28"/>
  <c r="AX20" i="28"/>
  <c r="AY20" i="28" s="1"/>
  <c r="AC21" i="28"/>
  <c r="AY21" i="28" s="1"/>
  <c r="AC22" i="28"/>
  <c r="AY22" i="28" s="1"/>
  <c r="AC23" i="28"/>
  <c r="AX23" i="28"/>
  <c r="AC24" i="28"/>
  <c r="AY24" i="28" s="1"/>
  <c r="AC25" i="28"/>
  <c r="AX25" i="28"/>
  <c r="AC27" i="28"/>
  <c r="AX27" i="28"/>
  <c r="AC28" i="28"/>
  <c r="AY28" i="28" s="1"/>
  <c r="AX29" i="28"/>
  <c r="AY29" i="28" s="1"/>
  <c r="AC30" i="28"/>
  <c r="AX30" i="28"/>
  <c r="AC31" i="28"/>
  <c r="AY31" i="28" s="1"/>
  <c r="AX32" i="28"/>
  <c r="AY32" i="28" s="1"/>
  <c r="AC33" i="28"/>
  <c r="AY33" i="28" s="1"/>
  <c r="AC34" i="28"/>
  <c r="AX34" i="28"/>
  <c r="AC35" i="28"/>
  <c r="AX35" i="28"/>
  <c r="AC36" i="28"/>
  <c r="AY36" i="28" s="1"/>
  <c r="AX37" i="28"/>
  <c r="AY37" i="28" s="1"/>
  <c r="AC38" i="28"/>
  <c r="AX38" i="28"/>
  <c r="AY38" i="28" s="1"/>
  <c r="AC39" i="28"/>
  <c r="AY39" i="28" s="1"/>
  <c r="AC41" i="28"/>
  <c r="AX41" i="28"/>
  <c r="AC42" i="28"/>
  <c r="AY42" i="28" s="1"/>
  <c r="AC43" i="28"/>
  <c r="AX43" i="28"/>
  <c r="AX44" i="28"/>
  <c r="AY44" i="28" s="1"/>
  <c r="AC45" i="28"/>
  <c r="AY45" i="28" s="1"/>
  <c r="AX46" i="28"/>
  <c r="AY46" i="28" s="1"/>
  <c r="AC47" i="28"/>
  <c r="AY47" i="28" s="1"/>
  <c r="AC48" i="28"/>
  <c r="AX48" i="28"/>
  <c r="AY48" i="28" s="1"/>
  <c r="AX49" i="28"/>
  <c r="AY49" i="28" s="1"/>
  <c r="AC50" i="28"/>
  <c r="AY50" i="28" s="1"/>
  <c r="AC51" i="28"/>
  <c r="AX51" i="28"/>
  <c r="AC53" i="28"/>
  <c r="AY53" i="28" s="1"/>
  <c r="AC54" i="28"/>
  <c r="AX54" i="28"/>
  <c r="AC55" i="28"/>
  <c r="AY55" i="28" s="1"/>
  <c r="AC56" i="28"/>
  <c r="AX56" i="28"/>
  <c r="AC57" i="28"/>
  <c r="AX57" i="28"/>
  <c r="AY57" i="28" s="1"/>
  <c r="AC58" i="28"/>
  <c r="AY58" i="28" s="1"/>
  <c r="AC59" i="28"/>
  <c r="AX59" i="28"/>
  <c r="AC60" i="28"/>
  <c r="AY60" i="28" s="1"/>
  <c r="AX61" i="28"/>
  <c r="AY61" i="28" s="1"/>
  <c r="AC63" i="28"/>
  <c r="AY63" i="28" s="1"/>
  <c r="AC64" i="28"/>
  <c r="AY64" i="28" s="1"/>
  <c r="AB65" i="27"/>
  <c r="AC5" i="27"/>
  <c r="AC6" i="27"/>
  <c r="AY6" i="27" s="1"/>
  <c r="AC7" i="27"/>
  <c r="AF65" i="27"/>
  <c r="AG7" i="27"/>
  <c r="AG65" i="27" s="1"/>
  <c r="AJ65" i="27"/>
  <c r="AK7" i="27"/>
  <c r="AK65" i="27" s="1"/>
  <c r="AN65" i="27"/>
  <c r="AO7" i="27"/>
  <c r="AO65" i="27" s="1"/>
  <c r="AR65" i="27"/>
  <c r="AS7" i="27"/>
  <c r="AS65" i="27" s="1"/>
  <c r="AV65" i="27"/>
  <c r="AW7" i="27"/>
  <c r="AC8" i="27"/>
  <c r="AY8" i="27" s="1"/>
  <c r="AC9" i="27"/>
  <c r="AY9" i="27" s="1"/>
  <c r="AC10" i="27"/>
  <c r="AY10" i="27" s="1"/>
  <c r="AC11" i="27"/>
  <c r="AY11" i="27" s="1"/>
  <c r="AC12" i="27"/>
  <c r="AX12" i="27"/>
  <c r="AC13" i="27"/>
  <c r="AY13" i="27" s="1"/>
  <c r="AX14" i="27"/>
  <c r="AC15" i="27"/>
  <c r="AY15" i="27" s="1"/>
  <c r="AC16" i="27"/>
  <c r="AX16" i="27"/>
  <c r="AY16" i="27" s="1"/>
  <c r="AC17" i="27"/>
  <c r="AY17" i="27" s="1"/>
  <c r="AC18" i="27"/>
  <c r="AX18" i="27"/>
  <c r="AY18" i="27" s="1"/>
  <c r="AC19" i="27"/>
  <c r="AY19" i="27" s="1"/>
  <c r="AC20" i="27"/>
  <c r="AX20" i="27"/>
  <c r="AY20" i="27" s="1"/>
  <c r="AC21" i="27"/>
  <c r="AY21" i="27" s="1"/>
  <c r="AC22" i="27"/>
  <c r="AY22" i="27" s="1"/>
  <c r="AC23" i="27"/>
  <c r="AX23" i="27"/>
  <c r="AC24" i="27"/>
  <c r="AY24" i="27" s="1"/>
  <c r="AC25" i="27"/>
  <c r="AX25" i="27"/>
  <c r="AC27" i="27"/>
  <c r="AX27" i="27"/>
  <c r="AY27" i="27" s="1"/>
  <c r="AC28" i="27"/>
  <c r="AY28" i="27" s="1"/>
  <c r="AX29" i="27"/>
  <c r="AY29" i="27" s="1"/>
  <c r="AC30" i="27"/>
  <c r="AX30" i="27"/>
  <c r="AC31" i="27"/>
  <c r="AY31" i="27" s="1"/>
  <c r="AX32" i="27"/>
  <c r="AY32" i="27" s="1"/>
  <c r="AC33" i="27"/>
  <c r="AY33" i="27" s="1"/>
  <c r="AC34" i="27"/>
  <c r="AX34" i="27"/>
  <c r="AC35" i="27"/>
  <c r="AX35" i="27"/>
  <c r="AC36" i="27"/>
  <c r="AY36" i="27" s="1"/>
  <c r="AX37" i="27"/>
  <c r="AY37" i="27" s="1"/>
  <c r="AC38" i="27"/>
  <c r="AX38" i="27"/>
  <c r="AY38" i="27" s="1"/>
  <c r="AC39" i="27"/>
  <c r="AY39" i="27" s="1"/>
  <c r="AC41" i="27"/>
  <c r="AX41" i="27"/>
  <c r="AC42" i="27"/>
  <c r="AY42" i="27" s="1"/>
  <c r="AC43" i="27"/>
  <c r="AX43" i="27"/>
  <c r="AY43" i="27" s="1"/>
  <c r="AX44" i="27"/>
  <c r="AY44" i="27" s="1"/>
  <c r="AC45" i="27"/>
  <c r="AY45" i="27" s="1"/>
  <c r="AX46" i="27"/>
  <c r="AY46" i="27" s="1"/>
  <c r="AC47" i="27"/>
  <c r="AY47" i="27" s="1"/>
  <c r="AC48" i="27"/>
  <c r="AX48" i="27"/>
  <c r="AY48" i="27" s="1"/>
  <c r="AX49" i="27"/>
  <c r="AY49" i="27" s="1"/>
  <c r="AC50" i="27"/>
  <c r="AY50" i="27" s="1"/>
  <c r="AC51" i="27"/>
  <c r="AX51" i="27"/>
  <c r="H65" i="27"/>
  <c r="J53" i="27"/>
  <c r="AC53" i="27" s="1"/>
  <c r="AY53" i="27" s="1"/>
  <c r="AC54" i="27"/>
  <c r="AX54" i="27"/>
  <c r="AY54" i="27" s="1"/>
  <c r="AC55" i="27"/>
  <c r="AY55" i="27" s="1"/>
  <c r="AC56" i="27"/>
  <c r="AX56" i="27"/>
  <c r="AY56" i="27" s="1"/>
  <c r="AC57" i="27"/>
  <c r="AX57" i="27"/>
  <c r="AC58" i="27"/>
  <c r="AY58" i="27" s="1"/>
  <c r="AC59" i="27"/>
  <c r="AX59" i="27"/>
  <c r="AC60" i="27"/>
  <c r="AY60" i="27" s="1"/>
  <c r="AX61" i="27"/>
  <c r="AY61" i="27" s="1"/>
  <c r="AC63" i="27"/>
  <c r="AY63" i="27" s="1"/>
  <c r="AC64" i="27"/>
  <c r="AY64" i="27" s="1"/>
  <c r="AB22" i="16"/>
  <c r="AB20" i="16"/>
  <c r="S20" i="16"/>
  <c r="AX19" i="16"/>
  <c r="AW15" i="16"/>
  <c r="AN15" i="16"/>
  <c r="AO15" i="16" s="1"/>
  <c r="S18" i="16"/>
  <c r="AB17" i="16"/>
  <c r="AW11" i="16"/>
  <c r="AW6" i="16"/>
  <c r="AB12" i="16"/>
  <c r="AB52" i="16"/>
  <c r="S52" i="16"/>
  <c r="AO28" i="16"/>
  <c r="AW43" i="16"/>
  <c r="AX42" i="16"/>
  <c r="AB32" i="16"/>
  <c r="AW31" i="16"/>
  <c r="AW36" i="16"/>
  <c r="AO36" i="16"/>
  <c r="AW34" i="16"/>
  <c r="AB8" i="16"/>
  <c r="AU64" i="16"/>
  <c r="AT64" i="16"/>
  <c r="AQ64" i="16"/>
  <c r="AP64" i="16"/>
  <c r="AM64" i="16"/>
  <c r="AL64" i="16"/>
  <c r="AI64" i="16"/>
  <c r="AH64" i="16"/>
  <c r="AE64" i="16"/>
  <c r="AD64" i="16"/>
  <c r="AA64" i="16"/>
  <c r="X64" i="16"/>
  <c r="U64" i="16"/>
  <c r="R64" i="16"/>
  <c r="O64" i="16"/>
  <c r="L64" i="16"/>
  <c r="F64" i="16"/>
  <c r="AB63" i="16"/>
  <c r="Y63" i="16"/>
  <c r="V63" i="16"/>
  <c r="S63" i="16"/>
  <c r="P63" i="16"/>
  <c r="M63" i="16"/>
  <c r="J63" i="16"/>
  <c r="G63" i="16"/>
  <c r="AB62" i="16"/>
  <c r="Y62" i="16"/>
  <c r="V62" i="16"/>
  <c r="S62" i="16"/>
  <c r="P62" i="16"/>
  <c r="M62" i="16"/>
  <c r="J62" i="16"/>
  <c r="G62" i="16"/>
  <c r="AC61" i="16"/>
  <c r="AY61" i="16" s="1"/>
  <c r="AV60" i="16"/>
  <c r="AW60" i="16" s="1"/>
  <c r="AR60" i="16"/>
  <c r="AS60" i="16" s="1"/>
  <c r="AN60" i="16"/>
  <c r="AO60" i="16" s="1"/>
  <c r="AJ60" i="16"/>
  <c r="AK60" i="16" s="1"/>
  <c r="AF60" i="16"/>
  <c r="AG60" i="16" s="1"/>
  <c r="AB59" i="16"/>
  <c r="Y59" i="16"/>
  <c r="V59" i="16"/>
  <c r="S59" i="16"/>
  <c r="P59" i="16"/>
  <c r="M59" i="16"/>
  <c r="J59" i="16"/>
  <c r="G59" i="16"/>
  <c r="AV58" i="16"/>
  <c r="AW58" i="16" s="1"/>
  <c r="AR58" i="16"/>
  <c r="AS58" i="16" s="1"/>
  <c r="AN58" i="16"/>
  <c r="AO58" i="16" s="1"/>
  <c r="AJ58" i="16"/>
  <c r="AK58" i="16" s="1"/>
  <c r="AF58" i="16"/>
  <c r="AG58" i="16" s="1"/>
  <c r="AB58" i="16"/>
  <c r="Y58" i="16"/>
  <c r="V58" i="16"/>
  <c r="S58" i="16"/>
  <c r="P58" i="16"/>
  <c r="M58" i="16"/>
  <c r="J58" i="16"/>
  <c r="G58" i="16"/>
  <c r="AB57" i="16"/>
  <c r="Y57" i="16"/>
  <c r="V57" i="16"/>
  <c r="S57" i="16"/>
  <c r="P57" i="16"/>
  <c r="M57" i="16"/>
  <c r="J57" i="16"/>
  <c r="G57" i="16"/>
  <c r="AV56" i="16"/>
  <c r="AW56" i="16" s="1"/>
  <c r="AR56" i="16"/>
  <c r="AS56" i="16" s="1"/>
  <c r="AN56" i="16"/>
  <c r="AO56" i="16" s="1"/>
  <c r="AJ56" i="16"/>
  <c r="AK56" i="16" s="1"/>
  <c r="AF56" i="16"/>
  <c r="AG56" i="16" s="1"/>
  <c r="AV55" i="16"/>
  <c r="AW55" i="16" s="1"/>
  <c r="AR55" i="16"/>
  <c r="AS55" i="16" s="1"/>
  <c r="AN55" i="16"/>
  <c r="AO55" i="16" s="1"/>
  <c r="AJ55" i="16"/>
  <c r="AK55" i="16" s="1"/>
  <c r="AF55" i="16"/>
  <c r="AG55" i="16" s="1"/>
  <c r="AB55" i="16"/>
  <c r="Y55" i="16"/>
  <c r="V55" i="16"/>
  <c r="S55" i="16"/>
  <c r="P55" i="16"/>
  <c r="M55" i="16"/>
  <c r="J55" i="16"/>
  <c r="G55" i="16"/>
  <c r="AB54" i="16"/>
  <c r="Y54" i="16"/>
  <c r="V54" i="16"/>
  <c r="S54" i="16"/>
  <c r="P54" i="16"/>
  <c r="M54" i="16"/>
  <c r="J54" i="16"/>
  <c r="G54" i="16"/>
  <c r="AV53" i="16"/>
  <c r="AW53" i="16" s="1"/>
  <c r="AR53" i="16"/>
  <c r="AS53" i="16" s="1"/>
  <c r="AN53" i="16"/>
  <c r="AO53" i="16" s="1"/>
  <c r="AJ53" i="16"/>
  <c r="AK53" i="16" s="1"/>
  <c r="AF53" i="16"/>
  <c r="AG53" i="16" s="1"/>
  <c r="AB53" i="16"/>
  <c r="Y53" i="16"/>
  <c r="V53" i="16"/>
  <c r="S53" i="16"/>
  <c r="P53" i="16"/>
  <c r="M53" i="16"/>
  <c r="J53" i="16"/>
  <c r="G53" i="16"/>
  <c r="Y52" i="16"/>
  <c r="V52" i="16"/>
  <c r="P52" i="16"/>
  <c r="M52" i="16"/>
  <c r="J52" i="16"/>
  <c r="G52" i="16"/>
  <c r="AV51" i="16"/>
  <c r="AW51" i="16" s="1"/>
  <c r="AC51" i="16"/>
  <c r="AY51" i="16" s="1"/>
  <c r="AV50" i="16"/>
  <c r="AW50" i="16" s="1"/>
  <c r="AR50" i="16"/>
  <c r="AS50" i="16" s="1"/>
  <c r="AN50" i="16"/>
  <c r="AO50" i="16" s="1"/>
  <c r="AJ50" i="16"/>
  <c r="AK50" i="16" s="1"/>
  <c r="AF50" i="16"/>
  <c r="AG50" i="16" s="1"/>
  <c r="AB50" i="16"/>
  <c r="Y50" i="16"/>
  <c r="V50" i="16"/>
  <c r="S50" i="16"/>
  <c r="P50" i="16"/>
  <c r="M50" i="16"/>
  <c r="J50" i="16"/>
  <c r="G50" i="16"/>
  <c r="AX49" i="16"/>
  <c r="AB49" i="16"/>
  <c r="Y49" i="16"/>
  <c r="V49" i="16"/>
  <c r="S49" i="16"/>
  <c r="P49" i="16"/>
  <c r="M49" i="16"/>
  <c r="J49" i="16"/>
  <c r="G49" i="16"/>
  <c r="AV48" i="16"/>
  <c r="AW48" i="16" s="1"/>
  <c r="AR48" i="16"/>
  <c r="AS48" i="16" s="1"/>
  <c r="AN48" i="16"/>
  <c r="AO48" i="16" s="1"/>
  <c r="AJ48" i="16"/>
  <c r="AK48" i="16" s="1"/>
  <c r="AF48" i="16"/>
  <c r="AG48" i="16" s="1"/>
  <c r="AV47" i="16"/>
  <c r="AW47" i="16" s="1"/>
  <c r="AR47" i="16"/>
  <c r="AS47" i="16" s="1"/>
  <c r="AN47" i="16"/>
  <c r="AO47" i="16" s="1"/>
  <c r="AJ47" i="16"/>
  <c r="AK47" i="16" s="1"/>
  <c r="AF47" i="16"/>
  <c r="AG47" i="16" s="1"/>
  <c r="AB47" i="16"/>
  <c r="Y47" i="16"/>
  <c r="V47" i="16"/>
  <c r="S47" i="16"/>
  <c r="P47" i="16"/>
  <c r="M47" i="16"/>
  <c r="J47" i="16"/>
  <c r="G47" i="16"/>
  <c r="AX46" i="16"/>
  <c r="AB46" i="16"/>
  <c r="Y46" i="16"/>
  <c r="V46" i="16"/>
  <c r="S46" i="16"/>
  <c r="P46" i="16"/>
  <c r="M46" i="16"/>
  <c r="J46" i="16"/>
  <c r="G46" i="16"/>
  <c r="AV45" i="16"/>
  <c r="AW45" i="16" s="1"/>
  <c r="AR45" i="16"/>
  <c r="AS45" i="16" s="1"/>
  <c r="AN45" i="16"/>
  <c r="AO45" i="16" s="1"/>
  <c r="AJ45" i="16"/>
  <c r="AK45" i="16" s="1"/>
  <c r="AF45" i="16"/>
  <c r="AG45" i="16" s="1"/>
  <c r="AX44" i="16"/>
  <c r="AB44" i="16"/>
  <c r="Y44" i="16"/>
  <c r="V44" i="16"/>
  <c r="S44" i="16"/>
  <c r="P44" i="16"/>
  <c r="M44" i="16"/>
  <c r="J44" i="16"/>
  <c r="G44" i="16"/>
  <c r="AV43" i="16"/>
  <c r="AR43" i="16"/>
  <c r="AS43" i="16" s="1"/>
  <c r="AN43" i="16"/>
  <c r="AO43" i="16" s="1"/>
  <c r="AJ43" i="16"/>
  <c r="AK43" i="16" s="1"/>
  <c r="AF43" i="16"/>
  <c r="AG43" i="16" s="1"/>
  <c r="AV42" i="16"/>
  <c r="AW42" i="16" s="1"/>
  <c r="AR42" i="16"/>
  <c r="AS42" i="16" s="1"/>
  <c r="AN42" i="16"/>
  <c r="AO42" i="16" s="1"/>
  <c r="AJ42" i="16"/>
  <c r="AK42" i="16" s="1"/>
  <c r="AF42" i="16"/>
  <c r="AG42" i="16" s="1"/>
  <c r="AB42" i="16"/>
  <c r="Y42" i="16"/>
  <c r="V42" i="16"/>
  <c r="S42" i="16"/>
  <c r="P42" i="16"/>
  <c r="M42" i="16"/>
  <c r="J42" i="16"/>
  <c r="G42" i="16"/>
  <c r="AB41" i="16"/>
  <c r="Y41" i="16"/>
  <c r="V41" i="16"/>
  <c r="S41" i="16"/>
  <c r="P41" i="16"/>
  <c r="M41" i="16"/>
  <c r="J41" i="16"/>
  <c r="G41" i="16"/>
  <c r="AV40" i="16"/>
  <c r="AW40" i="16" s="1"/>
  <c r="AR40" i="16"/>
  <c r="AS40" i="16" s="1"/>
  <c r="AX40" i="16" s="1"/>
  <c r="AN40" i="16"/>
  <c r="AO40" i="16" s="1"/>
  <c r="AJ40" i="16"/>
  <c r="AK40" i="16" s="1"/>
  <c r="AF40" i="16"/>
  <c r="AG40" i="16" s="1"/>
  <c r="AC39" i="16"/>
  <c r="AY39" i="16" s="1"/>
  <c r="AB38" i="16"/>
  <c r="Y38" i="16"/>
  <c r="V38" i="16"/>
  <c r="S38" i="16"/>
  <c r="P38" i="16"/>
  <c r="M38" i="16"/>
  <c r="J38" i="16"/>
  <c r="G38" i="16"/>
  <c r="AV37" i="16"/>
  <c r="AW37" i="16" s="1"/>
  <c r="AR37" i="16"/>
  <c r="AS37" i="16" s="1"/>
  <c r="AN37" i="16"/>
  <c r="AO37" i="16" s="1"/>
  <c r="AJ37" i="16"/>
  <c r="AK37" i="16" s="1"/>
  <c r="AF37" i="16"/>
  <c r="AG37" i="16" s="1"/>
  <c r="AB37" i="16"/>
  <c r="Y37" i="16"/>
  <c r="V37" i="16"/>
  <c r="S37" i="16"/>
  <c r="P37" i="16"/>
  <c r="M37" i="16"/>
  <c r="J37" i="16"/>
  <c r="G37" i="16"/>
  <c r="AV36" i="16"/>
  <c r="AR36" i="16"/>
  <c r="AS36" i="16" s="1"/>
  <c r="AN36" i="16"/>
  <c r="AJ36" i="16"/>
  <c r="AK36" i="16" s="1"/>
  <c r="AF36" i="16"/>
  <c r="AG36" i="16" s="1"/>
  <c r="AB35" i="16"/>
  <c r="Y35" i="16"/>
  <c r="V35" i="16"/>
  <c r="S35" i="16"/>
  <c r="P35" i="16"/>
  <c r="M35" i="16"/>
  <c r="J35" i="16"/>
  <c r="G35" i="16"/>
  <c r="AV34" i="16"/>
  <c r="AR34" i="16"/>
  <c r="AS34" i="16" s="1"/>
  <c r="AN34" i="16"/>
  <c r="AO34" i="16" s="1"/>
  <c r="AJ34" i="16"/>
  <c r="AK34" i="16" s="1"/>
  <c r="AF34" i="16"/>
  <c r="AG34" i="16" s="1"/>
  <c r="AB34" i="16"/>
  <c r="Y34" i="16"/>
  <c r="V34" i="16"/>
  <c r="S34" i="16"/>
  <c r="P34" i="16"/>
  <c r="M34" i="16"/>
  <c r="J34" i="16"/>
  <c r="G34" i="16"/>
  <c r="AV33" i="16"/>
  <c r="AW33" i="16" s="1"/>
  <c r="AR33" i="16"/>
  <c r="AS33" i="16" s="1"/>
  <c r="AN33" i="16"/>
  <c r="AO33" i="16" s="1"/>
  <c r="AJ33" i="16"/>
  <c r="AK33" i="16" s="1"/>
  <c r="AF33" i="16"/>
  <c r="AG33" i="16" s="1"/>
  <c r="AB33" i="16"/>
  <c r="Y33" i="16"/>
  <c r="V33" i="16"/>
  <c r="S33" i="16"/>
  <c r="P33" i="16"/>
  <c r="M33" i="16"/>
  <c r="J33" i="16"/>
  <c r="G33" i="16"/>
  <c r="Y32" i="16"/>
  <c r="V32" i="16"/>
  <c r="S32" i="16"/>
  <c r="P32" i="16"/>
  <c r="M32" i="16"/>
  <c r="J32" i="16"/>
  <c r="G32" i="16"/>
  <c r="AV31" i="16"/>
  <c r="AR31" i="16"/>
  <c r="AS31" i="16" s="1"/>
  <c r="AN31" i="16"/>
  <c r="AO31" i="16" s="1"/>
  <c r="AJ31" i="16"/>
  <c r="AK31" i="16" s="1"/>
  <c r="AF31" i="16"/>
  <c r="AG31" i="16" s="1"/>
  <c r="AB30" i="16"/>
  <c r="Y30" i="16"/>
  <c r="V30" i="16"/>
  <c r="S30" i="16"/>
  <c r="P30" i="16"/>
  <c r="M30" i="16"/>
  <c r="J30" i="16"/>
  <c r="G30" i="16"/>
  <c r="AV29" i="16"/>
  <c r="AW29" i="16" s="1"/>
  <c r="AR29" i="16"/>
  <c r="AS29" i="16" s="1"/>
  <c r="AN29" i="16"/>
  <c r="AO29" i="16" s="1"/>
  <c r="AJ29" i="16"/>
  <c r="AK29" i="16" s="1"/>
  <c r="AF29" i="16"/>
  <c r="AG29" i="16" s="1"/>
  <c r="AB29" i="16"/>
  <c r="Y29" i="16"/>
  <c r="V29" i="16"/>
  <c r="S29" i="16"/>
  <c r="P29" i="16"/>
  <c r="M29" i="16"/>
  <c r="J29" i="16"/>
  <c r="G29" i="16"/>
  <c r="AV28" i="16"/>
  <c r="AW28" i="16" s="1"/>
  <c r="AR28" i="16"/>
  <c r="AS28" i="16" s="1"/>
  <c r="AN28" i="16"/>
  <c r="AJ28" i="16"/>
  <c r="AK28" i="16" s="1"/>
  <c r="AF28" i="16"/>
  <c r="AG28" i="16" s="1"/>
  <c r="AB27" i="16"/>
  <c r="Y27" i="16"/>
  <c r="V27" i="16"/>
  <c r="S27" i="16"/>
  <c r="P27" i="16"/>
  <c r="M27" i="16"/>
  <c r="J27" i="16"/>
  <c r="G27" i="16"/>
  <c r="AV26" i="16"/>
  <c r="AW26" i="16" s="1"/>
  <c r="AR26" i="16"/>
  <c r="AS26" i="16" s="1"/>
  <c r="AN26" i="16"/>
  <c r="AO26" i="16" s="1"/>
  <c r="AJ26" i="16"/>
  <c r="AK26" i="16" s="1"/>
  <c r="AF26" i="16"/>
  <c r="AG26" i="16" s="1"/>
  <c r="AB26" i="16"/>
  <c r="Y26" i="16"/>
  <c r="V26" i="16"/>
  <c r="S26" i="16"/>
  <c r="P26" i="16"/>
  <c r="M26" i="16"/>
  <c r="J26" i="16"/>
  <c r="G26" i="16"/>
  <c r="AC25" i="16"/>
  <c r="AY25" i="16" s="1"/>
  <c r="AV24" i="16"/>
  <c r="AW24" i="16" s="1"/>
  <c r="AR24" i="16"/>
  <c r="AS24" i="16" s="1"/>
  <c r="AN24" i="16"/>
  <c r="AO24" i="16" s="1"/>
  <c r="AJ24" i="16"/>
  <c r="AK24" i="16" s="1"/>
  <c r="AF24" i="16"/>
  <c r="AG24" i="16" s="1"/>
  <c r="AB24" i="16"/>
  <c r="Y24" i="16"/>
  <c r="V24" i="16"/>
  <c r="S24" i="16"/>
  <c r="P24" i="16"/>
  <c r="M24" i="16"/>
  <c r="J24" i="16"/>
  <c r="G24" i="16"/>
  <c r="AB23" i="16"/>
  <c r="Y23" i="16"/>
  <c r="V23" i="16"/>
  <c r="S23" i="16"/>
  <c r="P23" i="16"/>
  <c r="M23" i="16"/>
  <c r="J23" i="16"/>
  <c r="G23" i="16"/>
  <c r="AV22" i="16"/>
  <c r="AW22" i="16" s="1"/>
  <c r="AR22" i="16"/>
  <c r="AS22" i="16" s="1"/>
  <c r="AN22" i="16"/>
  <c r="AO22" i="16" s="1"/>
  <c r="AJ22" i="16"/>
  <c r="AK22" i="16" s="1"/>
  <c r="AF22" i="16"/>
  <c r="AG22" i="16" s="1"/>
  <c r="Y22" i="16"/>
  <c r="V22" i="16"/>
  <c r="S22" i="16"/>
  <c r="P22" i="16"/>
  <c r="M22" i="16"/>
  <c r="J22" i="16"/>
  <c r="G22" i="16"/>
  <c r="AB21" i="16"/>
  <c r="Y21" i="16"/>
  <c r="V21" i="16"/>
  <c r="S21" i="16"/>
  <c r="P21" i="16"/>
  <c r="M21" i="16"/>
  <c r="J21" i="16"/>
  <c r="G21" i="16"/>
  <c r="Y20" i="16"/>
  <c r="V20" i="16"/>
  <c r="P20" i="16"/>
  <c r="M20" i="16"/>
  <c r="J20" i="16"/>
  <c r="G20" i="16"/>
  <c r="AV19" i="16"/>
  <c r="AW19" i="16" s="1"/>
  <c r="AR19" i="16"/>
  <c r="AS19" i="16" s="1"/>
  <c r="AN19" i="16"/>
  <c r="AO19" i="16" s="1"/>
  <c r="AJ19" i="16"/>
  <c r="AK19" i="16" s="1"/>
  <c r="AF19" i="16"/>
  <c r="AG19" i="16" s="1"/>
  <c r="AB18" i="16"/>
  <c r="Y18" i="16"/>
  <c r="V18" i="16"/>
  <c r="P18" i="16"/>
  <c r="M18" i="16"/>
  <c r="G18" i="16"/>
  <c r="AV17" i="16"/>
  <c r="AW17" i="16" s="1"/>
  <c r="AR17" i="16"/>
  <c r="AS17" i="16" s="1"/>
  <c r="AN17" i="16"/>
  <c r="AO17" i="16" s="1"/>
  <c r="AJ17" i="16"/>
  <c r="AK17" i="16" s="1"/>
  <c r="AF17" i="16"/>
  <c r="AG17" i="16" s="1"/>
  <c r="Y17" i="16"/>
  <c r="V17" i="16"/>
  <c r="S17" i="16"/>
  <c r="P17" i="16"/>
  <c r="M17" i="16"/>
  <c r="J17" i="16"/>
  <c r="G17" i="16"/>
  <c r="AB16" i="16"/>
  <c r="Y16" i="16"/>
  <c r="V16" i="16"/>
  <c r="S16" i="16"/>
  <c r="P16" i="16"/>
  <c r="M16" i="16"/>
  <c r="J16" i="16"/>
  <c r="G16" i="16"/>
  <c r="AV15" i="16"/>
  <c r="AR15" i="16"/>
  <c r="AS15" i="16" s="1"/>
  <c r="AJ15" i="16"/>
  <c r="AK15" i="16" s="1"/>
  <c r="AF15" i="16"/>
  <c r="AG15" i="16" s="1"/>
  <c r="AB14" i="16"/>
  <c r="Y14" i="16"/>
  <c r="V14" i="16"/>
  <c r="S14" i="16"/>
  <c r="P14" i="16"/>
  <c r="M14" i="16"/>
  <c r="J14" i="16"/>
  <c r="G14" i="16"/>
  <c r="AV13" i="16"/>
  <c r="AW13" i="16" s="1"/>
  <c r="AR13" i="16"/>
  <c r="AS13" i="16" s="1"/>
  <c r="AN13" i="16"/>
  <c r="AO13" i="16" s="1"/>
  <c r="AJ13" i="16"/>
  <c r="AK13" i="16" s="1"/>
  <c r="AF13" i="16"/>
  <c r="AG13" i="16" s="1"/>
  <c r="AB13" i="16"/>
  <c r="Y13" i="16"/>
  <c r="V13" i="16"/>
  <c r="S13" i="16"/>
  <c r="P13" i="16"/>
  <c r="M13" i="16"/>
  <c r="J13" i="16"/>
  <c r="G13" i="16"/>
  <c r="Y12" i="16"/>
  <c r="V12" i="16"/>
  <c r="S12" i="16"/>
  <c r="P12" i="16"/>
  <c r="M12" i="16"/>
  <c r="J12" i="16"/>
  <c r="G12" i="16"/>
  <c r="AV11" i="16"/>
  <c r="AR11" i="16"/>
  <c r="AS11" i="16" s="1"/>
  <c r="AN11" i="16"/>
  <c r="AO11" i="16" s="1"/>
  <c r="AJ11" i="16"/>
  <c r="AK11" i="16" s="1"/>
  <c r="AF11" i="16"/>
  <c r="AG11" i="16" s="1"/>
  <c r="AB11" i="16"/>
  <c r="Y11" i="16"/>
  <c r="V11" i="16"/>
  <c r="S11" i="16"/>
  <c r="P11" i="16"/>
  <c r="M11" i="16"/>
  <c r="J11" i="16"/>
  <c r="G11" i="16"/>
  <c r="AB10" i="16"/>
  <c r="Y10" i="16"/>
  <c r="V10" i="16"/>
  <c r="S10" i="16"/>
  <c r="P10" i="16"/>
  <c r="M10" i="16"/>
  <c r="J10" i="16"/>
  <c r="G10" i="16"/>
  <c r="AB9" i="16"/>
  <c r="Y9" i="16"/>
  <c r="V9" i="16"/>
  <c r="S9" i="16"/>
  <c r="P9" i="16"/>
  <c r="M9" i="16"/>
  <c r="J9" i="16"/>
  <c r="G9" i="16"/>
  <c r="Y8" i="16"/>
  <c r="V8" i="16"/>
  <c r="S8" i="16"/>
  <c r="P8" i="16"/>
  <c r="M8" i="16"/>
  <c r="J8" i="16"/>
  <c r="G8" i="16"/>
  <c r="AB7" i="16"/>
  <c r="Y7" i="16"/>
  <c r="V7" i="16"/>
  <c r="S7" i="16"/>
  <c r="P7" i="16"/>
  <c r="M7" i="16"/>
  <c r="J7" i="16"/>
  <c r="G7" i="16"/>
  <c r="AV6" i="16"/>
  <c r="AR6" i="16"/>
  <c r="AN6" i="16"/>
  <c r="AJ6" i="16"/>
  <c r="AF6" i="16"/>
  <c r="AB6" i="16"/>
  <c r="Y6" i="16"/>
  <c r="V6" i="16"/>
  <c r="S6" i="16"/>
  <c r="P6" i="16"/>
  <c r="M6" i="16"/>
  <c r="J6" i="16"/>
  <c r="G6" i="16"/>
  <c r="AB5" i="16"/>
  <c r="Y5" i="16"/>
  <c r="V5" i="16"/>
  <c r="S5" i="16"/>
  <c r="P5" i="16"/>
  <c r="M5" i="16"/>
  <c r="J5" i="16"/>
  <c r="G5" i="16"/>
  <c r="AB4" i="16"/>
  <c r="Y4" i="16"/>
  <c r="V4" i="16"/>
  <c r="S4" i="16"/>
  <c r="P4" i="16"/>
  <c r="M4" i="16"/>
  <c r="J4" i="16"/>
  <c r="G4" i="16"/>
  <c r="AY3" i="16"/>
  <c r="AC22" i="38" l="1"/>
  <c r="AY22" i="38" s="1"/>
  <c r="AC15" i="37"/>
  <c r="AY15" i="37" s="1"/>
  <c r="AM65" i="38"/>
  <c r="Y65" i="37"/>
  <c r="X65" i="38"/>
  <c r="AQ65" i="38"/>
  <c r="AC21" i="38"/>
  <c r="AY21" i="38" s="1"/>
  <c r="G65" i="37"/>
  <c r="J65" i="37"/>
  <c r="I65" i="38"/>
  <c r="F65" i="38"/>
  <c r="AY56" i="36"/>
  <c r="V65" i="37"/>
  <c r="AY27" i="36"/>
  <c r="AY18" i="36"/>
  <c r="AY59" i="35"/>
  <c r="AY41" i="35"/>
  <c r="AY14" i="35"/>
  <c r="AY35" i="36"/>
  <c r="AY25" i="35"/>
  <c r="AY30" i="34"/>
  <c r="AY51" i="35"/>
  <c r="AY23" i="35"/>
  <c r="AY59" i="32"/>
  <c r="AY14" i="32"/>
  <c r="AY35" i="33"/>
  <c r="AY30" i="32"/>
  <c r="AY43" i="33"/>
  <c r="AY34" i="33"/>
  <c r="AY16" i="33"/>
  <c r="AY57" i="31"/>
  <c r="AY48" i="31"/>
  <c r="AY38" i="31"/>
  <c r="AY20" i="31"/>
  <c r="AY12" i="31"/>
  <c r="AY56" i="31"/>
  <c r="AY41" i="32"/>
  <c r="AY27" i="31"/>
  <c r="AY18" i="31"/>
  <c r="AY35" i="30"/>
  <c r="AY27" i="30"/>
  <c r="AY18" i="30"/>
  <c r="AY54" i="30"/>
  <c r="AY25" i="30"/>
  <c r="AY43" i="30"/>
  <c r="AY34" i="30"/>
  <c r="AY16" i="30"/>
  <c r="AY51" i="29"/>
  <c r="AY23" i="29"/>
  <c r="AY51" i="27"/>
  <c r="AY23" i="27"/>
  <c r="AY25" i="27"/>
  <c r="AY41" i="27"/>
  <c r="AY56" i="28"/>
  <c r="AY35" i="29"/>
  <c r="AY27" i="28"/>
  <c r="AY18" i="28"/>
  <c r="AY54" i="29"/>
  <c r="AY25" i="29"/>
  <c r="AY30" i="29"/>
  <c r="AY43" i="28"/>
  <c r="AY16" i="28"/>
  <c r="AY59" i="29"/>
  <c r="AY41" i="29"/>
  <c r="AY14" i="29"/>
  <c r="AY51" i="28"/>
  <c r="AY23" i="28"/>
  <c r="J65" i="27"/>
  <c r="AY34" i="27"/>
  <c r="AY35" i="28"/>
  <c r="AY59" i="27"/>
  <c r="AY54" i="28"/>
  <c r="AY25" i="28"/>
  <c r="AY34" i="28"/>
  <c r="AY30" i="27"/>
  <c r="AY12" i="27"/>
  <c r="AY59" i="28"/>
  <c r="AY41" i="28"/>
  <c r="AY14" i="28"/>
  <c r="AY14" i="27"/>
  <c r="Y65" i="28"/>
  <c r="AY30" i="28"/>
  <c r="AY12" i="28"/>
  <c r="AC7" i="28"/>
  <c r="AY57" i="27"/>
  <c r="AO65" i="28"/>
  <c r="AN65" i="28"/>
  <c r="AY35" i="27"/>
  <c r="V65" i="38"/>
  <c r="Y65" i="38"/>
  <c r="J65" i="38"/>
  <c r="G65" i="38"/>
  <c r="AX12" i="37"/>
  <c r="AJ12" i="38"/>
  <c r="AI65" i="38"/>
  <c r="AY20" i="37"/>
  <c r="AY20" i="38"/>
  <c r="AY18" i="38"/>
  <c r="AY18" i="37"/>
  <c r="AY16" i="38"/>
  <c r="AY16" i="37"/>
  <c r="S65" i="37"/>
  <c r="S15" i="38"/>
  <c r="R65" i="38"/>
  <c r="AY14" i="38"/>
  <c r="AY14" i="37"/>
  <c r="AY12" i="37"/>
  <c r="AY30" i="37"/>
  <c r="AY30" i="38"/>
  <c r="AY27" i="37"/>
  <c r="AY27" i="38"/>
  <c r="AY23" i="38"/>
  <c r="AY23" i="37"/>
  <c r="AY34" i="38"/>
  <c r="AY34" i="37"/>
  <c r="AY35" i="38"/>
  <c r="AY35" i="37"/>
  <c r="AY25" i="38"/>
  <c r="AY25" i="37"/>
  <c r="AY38" i="38"/>
  <c r="AY38" i="37"/>
  <c r="AY54" i="38"/>
  <c r="AY54" i="37"/>
  <c r="AY56" i="38"/>
  <c r="AY56" i="37"/>
  <c r="AY57" i="38"/>
  <c r="AY57" i="37"/>
  <c r="AY59" i="37"/>
  <c r="AY59" i="38"/>
  <c r="AY41" i="38"/>
  <c r="AY41" i="37"/>
  <c r="AY43" i="38"/>
  <c r="AY43" i="37"/>
  <c r="AY48" i="38"/>
  <c r="AY48" i="37"/>
  <c r="AY51" i="37"/>
  <c r="AY51" i="38"/>
  <c r="AV65" i="38"/>
  <c r="AW7" i="38"/>
  <c r="AR65" i="38"/>
  <c r="AS7" i="38"/>
  <c r="AS65" i="38" s="1"/>
  <c r="AN65" i="38"/>
  <c r="AO7" i="38"/>
  <c r="AO65" i="38" s="1"/>
  <c r="AK7" i="38"/>
  <c r="AF65" i="38"/>
  <c r="AG7" i="38"/>
  <c r="AG65" i="38" s="1"/>
  <c r="AB65" i="38"/>
  <c r="AC5" i="38"/>
  <c r="AV65" i="37"/>
  <c r="AW7" i="37"/>
  <c r="AR65" i="37"/>
  <c r="AS7" i="37"/>
  <c r="AS65" i="37" s="1"/>
  <c r="AN65" i="37"/>
  <c r="AO7" i="37"/>
  <c r="AO65" i="37" s="1"/>
  <c r="AJ65" i="37"/>
  <c r="AK7" i="37"/>
  <c r="AK65" i="37" s="1"/>
  <c r="AF65" i="37"/>
  <c r="AG7" i="37"/>
  <c r="AG65" i="37" s="1"/>
  <c r="AB65" i="37"/>
  <c r="AC5" i="37"/>
  <c r="AV65" i="36"/>
  <c r="AW7" i="36"/>
  <c r="AR65" i="36"/>
  <c r="AS7" i="36"/>
  <c r="AS65" i="36" s="1"/>
  <c r="AN65" i="36"/>
  <c r="AO7" i="36"/>
  <c r="AO65" i="36" s="1"/>
  <c r="AJ65" i="36"/>
  <c r="AK7" i="36"/>
  <c r="AK65" i="36" s="1"/>
  <c r="AF65" i="36"/>
  <c r="AG7" i="36"/>
  <c r="AG65" i="36" s="1"/>
  <c r="AB65" i="36"/>
  <c r="AC5" i="36"/>
  <c r="AV65" i="35"/>
  <c r="AW7" i="35"/>
  <c r="AR65" i="35"/>
  <c r="AS7" i="35"/>
  <c r="AS65" i="35" s="1"/>
  <c r="AN65" i="35"/>
  <c r="AO7" i="35"/>
  <c r="AO65" i="35" s="1"/>
  <c r="AJ65" i="35"/>
  <c r="AK7" i="35"/>
  <c r="AK65" i="35" s="1"/>
  <c r="AF65" i="35"/>
  <c r="AG7" i="35"/>
  <c r="AG65" i="35" s="1"/>
  <c r="AB65" i="35"/>
  <c r="AC5" i="35"/>
  <c r="AV65" i="34"/>
  <c r="AW7" i="34"/>
  <c r="AR65" i="34"/>
  <c r="AS7" i="34"/>
  <c r="AS65" i="34" s="1"/>
  <c r="AN65" i="34"/>
  <c r="AO7" i="34"/>
  <c r="AO65" i="34" s="1"/>
  <c r="AJ65" i="34"/>
  <c r="AK7" i="34"/>
  <c r="AK65" i="34" s="1"/>
  <c r="AF65" i="34"/>
  <c r="AG7" i="34"/>
  <c r="AG65" i="34" s="1"/>
  <c r="AB65" i="34"/>
  <c r="AC5" i="34"/>
  <c r="AV65" i="33"/>
  <c r="AW7" i="33"/>
  <c r="AR65" i="33"/>
  <c r="AS7" i="33"/>
  <c r="AS65" i="33" s="1"/>
  <c r="AN65" i="33"/>
  <c r="AO7" i="33"/>
  <c r="AO65" i="33" s="1"/>
  <c r="AJ65" i="33"/>
  <c r="AK7" i="33"/>
  <c r="AK65" i="33" s="1"/>
  <c r="AF65" i="33"/>
  <c r="AG7" i="33"/>
  <c r="AG65" i="33" s="1"/>
  <c r="AB65" i="33"/>
  <c r="AC5" i="33"/>
  <c r="AV65" i="32"/>
  <c r="AW7" i="32"/>
  <c r="AR65" i="32"/>
  <c r="AS7" i="32"/>
  <c r="AS65" i="32" s="1"/>
  <c r="AN65" i="32"/>
  <c r="AO7" i="32"/>
  <c r="AO65" i="32" s="1"/>
  <c r="AJ65" i="32"/>
  <c r="AK7" i="32"/>
  <c r="AK65" i="32" s="1"/>
  <c r="AF65" i="32"/>
  <c r="AG7" i="32"/>
  <c r="AG65" i="32" s="1"/>
  <c r="AB65" i="32"/>
  <c r="AC5" i="32"/>
  <c r="AV65" i="31"/>
  <c r="AW7" i="31"/>
  <c r="AR65" i="31"/>
  <c r="AS7" i="31"/>
  <c r="AS65" i="31" s="1"/>
  <c r="AN65" i="31"/>
  <c r="AO7" i="31"/>
  <c r="AO65" i="31" s="1"/>
  <c r="AJ65" i="31"/>
  <c r="AK7" i="31"/>
  <c r="AK65" i="31" s="1"/>
  <c r="AF65" i="31"/>
  <c r="AG7" i="31"/>
  <c r="AG65" i="31" s="1"/>
  <c r="AB65" i="31"/>
  <c r="AC5" i="31"/>
  <c r="AV65" i="30"/>
  <c r="AW7" i="30"/>
  <c r="AR65" i="30"/>
  <c r="AS7" i="30"/>
  <c r="AS65" i="30" s="1"/>
  <c r="AN65" i="30"/>
  <c r="AO7" i="30"/>
  <c r="AO65" i="30" s="1"/>
  <c r="AJ65" i="30"/>
  <c r="AK7" i="30"/>
  <c r="AK65" i="30" s="1"/>
  <c r="AF65" i="30"/>
  <c r="AG7" i="30"/>
  <c r="AG65" i="30" s="1"/>
  <c r="AB65" i="30"/>
  <c r="AC5" i="30"/>
  <c r="AV65" i="29"/>
  <c r="AW7" i="29"/>
  <c r="AR65" i="29"/>
  <c r="AS7" i="29"/>
  <c r="AS65" i="29" s="1"/>
  <c r="AN65" i="29"/>
  <c r="AO7" i="29"/>
  <c r="AO65" i="29" s="1"/>
  <c r="AJ65" i="29"/>
  <c r="AK7" i="29"/>
  <c r="AK65" i="29" s="1"/>
  <c r="AF65" i="29"/>
  <c r="AG7" i="29"/>
  <c r="AG65" i="29" s="1"/>
  <c r="AB65" i="29"/>
  <c r="AC5" i="29"/>
  <c r="F65" i="28"/>
  <c r="G5" i="28"/>
  <c r="AW65" i="28"/>
  <c r="AX7" i="28"/>
  <c r="AW65" i="27"/>
  <c r="AX7" i="27"/>
  <c r="AC65" i="27"/>
  <c r="AY5" i="27"/>
  <c r="S64" i="16"/>
  <c r="P64" i="16"/>
  <c r="Y64" i="16"/>
  <c r="V64" i="16"/>
  <c r="M64" i="16"/>
  <c r="G64" i="16"/>
  <c r="AB64" i="16"/>
  <c r="AC4" i="16"/>
  <c r="AC5" i="16"/>
  <c r="AY5" i="16" s="1"/>
  <c r="AC6" i="16"/>
  <c r="AF64" i="16"/>
  <c r="AG6" i="16"/>
  <c r="AG64" i="16" s="1"/>
  <c r="AJ64" i="16"/>
  <c r="AK6" i="16"/>
  <c r="AK64" i="16" s="1"/>
  <c r="AN64" i="16"/>
  <c r="AO6" i="16"/>
  <c r="AO64" i="16" s="1"/>
  <c r="AR64" i="16"/>
  <c r="AS6" i="16"/>
  <c r="AS64" i="16" s="1"/>
  <c r="AV64" i="16"/>
  <c r="AC7" i="16"/>
  <c r="AY7" i="16" s="1"/>
  <c r="AC8" i="16"/>
  <c r="AY8" i="16" s="1"/>
  <c r="AC9" i="16"/>
  <c r="AY9" i="16" s="1"/>
  <c r="AC10" i="16"/>
  <c r="AY10" i="16" s="1"/>
  <c r="AC11" i="16"/>
  <c r="AX11" i="16"/>
  <c r="AC12" i="16"/>
  <c r="AY12" i="16" s="1"/>
  <c r="AC13" i="16"/>
  <c r="AX13" i="16"/>
  <c r="AC14" i="16"/>
  <c r="AY14" i="16" s="1"/>
  <c r="AX15" i="16"/>
  <c r="AY15" i="16" s="1"/>
  <c r="AC16" i="16"/>
  <c r="AY16" i="16" s="1"/>
  <c r="AC17" i="16"/>
  <c r="AX17" i="16"/>
  <c r="I64" i="16"/>
  <c r="J18" i="16"/>
  <c r="J64" i="16" s="1"/>
  <c r="AC18" i="16"/>
  <c r="AY18" i="16" s="1"/>
  <c r="AY19" i="16"/>
  <c r="AC20" i="16"/>
  <c r="AY20" i="16" s="1"/>
  <c r="AC21" i="16"/>
  <c r="AY21" i="16" s="1"/>
  <c r="AC22" i="16"/>
  <c r="AX22" i="16"/>
  <c r="AC23" i="16"/>
  <c r="AY23" i="16" s="1"/>
  <c r="AC24" i="16"/>
  <c r="AX24" i="16"/>
  <c r="AC26" i="16"/>
  <c r="AX26" i="16"/>
  <c r="AC27" i="16"/>
  <c r="AY27" i="16" s="1"/>
  <c r="AX28" i="16"/>
  <c r="AY28" i="16" s="1"/>
  <c r="AC29" i="16"/>
  <c r="AX29" i="16"/>
  <c r="AC30" i="16"/>
  <c r="AY30" i="16" s="1"/>
  <c r="AX31" i="16"/>
  <c r="AY31" i="16" s="1"/>
  <c r="AC32" i="16"/>
  <c r="AY32" i="16" s="1"/>
  <c r="AC33" i="16"/>
  <c r="AX33" i="16"/>
  <c r="AC34" i="16"/>
  <c r="AX34" i="16"/>
  <c r="AC35" i="16"/>
  <c r="AY35" i="16" s="1"/>
  <c r="AX36" i="16"/>
  <c r="AY36" i="16" s="1"/>
  <c r="AC37" i="16"/>
  <c r="AY37" i="16" s="1"/>
  <c r="AC38" i="16"/>
  <c r="AY38" i="16" s="1"/>
  <c r="AY40" i="16"/>
  <c r="AC41" i="16"/>
  <c r="AY41" i="16" s="1"/>
  <c r="AC42" i="16"/>
  <c r="AY42" i="16" s="1"/>
  <c r="AX43" i="16"/>
  <c r="AY43" i="16" s="1"/>
  <c r="AC44" i="16"/>
  <c r="AY44" i="16" s="1"/>
  <c r="AX45" i="16"/>
  <c r="AY45" i="16" s="1"/>
  <c r="AC46" i="16"/>
  <c r="AY46" i="16" s="1"/>
  <c r="AC47" i="16"/>
  <c r="AX47" i="16"/>
  <c r="AX48" i="16"/>
  <c r="AY48" i="16" s="1"/>
  <c r="AC49" i="16"/>
  <c r="AY49" i="16" s="1"/>
  <c r="AC50" i="16"/>
  <c r="AX50" i="16"/>
  <c r="AC52" i="16"/>
  <c r="AY52" i="16" s="1"/>
  <c r="AC53" i="16"/>
  <c r="AX53" i="16"/>
  <c r="AC54" i="16"/>
  <c r="AY54" i="16" s="1"/>
  <c r="AC55" i="16"/>
  <c r="AX55" i="16"/>
  <c r="AX56" i="16"/>
  <c r="AY56" i="16" s="1"/>
  <c r="AC57" i="16"/>
  <c r="AY57" i="16" s="1"/>
  <c r="AC58" i="16"/>
  <c r="AX58" i="16"/>
  <c r="AY58" i="16" s="1"/>
  <c r="AC59" i="16"/>
  <c r="AY59" i="16" s="1"/>
  <c r="AX60" i="16"/>
  <c r="AY60" i="16" s="1"/>
  <c r="AC62" i="16"/>
  <c r="AY62" i="16" s="1"/>
  <c r="AC63" i="16"/>
  <c r="AY63" i="16" s="1"/>
  <c r="O59" i="15"/>
  <c r="AR28" i="15"/>
  <c r="H18" i="15"/>
  <c r="AF19" i="15"/>
  <c r="AG19" i="15" s="1"/>
  <c r="H52" i="15"/>
  <c r="AU64" i="15"/>
  <c r="AT64" i="15"/>
  <c r="AQ64" i="15"/>
  <c r="AP64" i="15"/>
  <c r="AM64" i="15"/>
  <c r="AL64" i="15"/>
  <c r="AI64" i="15"/>
  <c r="AH64" i="15"/>
  <c r="AE64" i="15"/>
  <c r="AD64" i="15"/>
  <c r="AA64" i="15"/>
  <c r="X64" i="15"/>
  <c r="U64" i="15"/>
  <c r="R64" i="15"/>
  <c r="O64" i="15"/>
  <c r="L64" i="15"/>
  <c r="I64" i="15"/>
  <c r="F64" i="15"/>
  <c r="AB63" i="15"/>
  <c r="Y63" i="15"/>
  <c r="V63" i="15"/>
  <c r="S63" i="15"/>
  <c r="P63" i="15"/>
  <c r="M63" i="15"/>
  <c r="J63" i="15"/>
  <c r="G63" i="15"/>
  <c r="AB62" i="15"/>
  <c r="Y62" i="15"/>
  <c r="V62" i="15"/>
  <c r="S62" i="15"/>
  <c r="P62" i="15"/>
  <c r="M62" i="15"/>
  <c r="J62" i="15"/>
  <c r="G62" i="15"/>
  <c r="AC61" i="15"/>
  <c r="AV60" i="15"/>
  <c r="AW60" i="15" s="1"/>
  <c r="AR60" i="15"/>
  <c r="AS60" i="15" s="1"/>
  <c r="AN60" i="15"/>
  <c r="AO60" i="15" s="1"/>
  <c r="AJ60" i="15"/>
  <c r="AK60" i="15" s="1"/>
  <c r="AF60" i="15"/>
  <c r="AG60" i="15" s="1"/>
  <c r="AB59" i="15"/>
  <c r="Y59" i="15"/>
  <c r="V59" i="15"/>
  <c r="S59" i="15"/>
  <c r="P59" i="15"/>
  <c r="M59" i="15"/>
  <c r="J59" i="15"/>
  <c r="G59" i="15"/>
  <c r="AV58" i="15"/>
  <c r="AW58" i="15" s="1"/>
  <c r="AR58" i="15"/>
  <c r="AS58" i="15" s="1"/>
  <c r="AN58" i="15"/>
  <c r="AO58" i="15" s="1"/>
  <c r="AJ58" i="15"/>
  <c r="AK58" i="15" s="1"/>
  <c r="AF58" i="15"/>
  <c r="AG58" i="15" s="1"/>
  <c r="AB58" i="15"/>
  <c r="Y58" i="15"/>
  <c r="V58" i="15"/>
  <c r="S58" i="15"/>
  <c r="P58" i="15"/>
  <c r="M58" i="15"/>
  <c r="J58" i="15"/>
  <c r="G58" i="15"/>
  <c r="AB57" i="15"/>
  <c r="Y57" i="15"/>
  <c r="V57" i="15"/>
  <c r="S57" i="15"/>
  <c r="P57" i="15"/>
  <c r="M57" i="15"/>
  <c r="J57" i="15"/>
  <c r="G57" i="15"/>
  <c r="AV56" i="15"/>
  <c r="AW56" i="15" s="1"/>
  <c r="AR56" i="15"/>
  <c r="AS56" i="15" s="1"/>
  <c r="AN56" i="15"/>
  <c r="AO56" i="15" s="1"/>
  <c r="AJ56" i="15"/>
  <c r="AK56" i="15" s="1"/>
  <c r="AF56" i="15"/>
  <c r="AG56" i="15" s="1"/>
  <c r="AV55" i="15"/>
  <c r="AW55" i="15" s="1"/>
  <c r="AR55" i="15"/>
  <c r="AS55" i="15" s="1"/>
  <c r="AN55" i="15"/>
  <c r="AO55" i="15" s="1"/>
  <c r="AJ55" i="15"/>
  <c r="AK55" i="15" s="1"/>
  <c r="AF55" i="15"/>
  <c r="AG55" i="15" s="1"/>
  <c r="AB55" i="15"/>
  <c r="Y55" i="15"/>
  <c r="V55" i="15"/>
  <c r="S55" i="15"/>
  <c r="P55" i="15"/>
  <c r="M55" i="15"/>
  <c r="J55" i="15"/>
  <c r="G55" i="15"/>
  <c r="AB54" i="15"/>
  <c r="Y54" i="15"/>
  <c r="V54" i="15"/>
  <c r="S54" i="15"/>
  <c r="P54" i="15"/>
  <c r="M54" i="15"/>
  <c r="J54" i="15"/>
  <c r="G54" i="15"/>
  <c r="AV53" i="15"/>
  <c r="AW53" i="15" s="1"/>
  <c r="AR53" i="15"/>
  <c r="AS53" i="15" s="1"/>
  <c r="AN53" i="15"/>
  <c r="AO53" i="15" s="1"/>
  <c r="AJ53" i="15"/>
  <c r="AK53" i="15" s="1"/>
  <c r="AF53" i="15"/>
  <c r="AG53" i="15" s="1"/>
  <c r="AB53" i="15"/>
  <c r="Y53" i="15"/>
  <c r="V53" i="15"/>
  <c r="S53" i="15"/>
  <c r="P53" i="15"/>
  <c r="M53" i="15"/>
  <c r="J53" i="15"/>
  <c r="G53" i="15"/>
  <c r="AB52" i="15"/>
  <c r="Y52" i="15"/>
  <c r="V52" i="15"/>
  <c r="S52" i="15"/>
  <c r="P52" i="15"/>
  <c r="M52" i="15"/>
  <c r="J52" i="15"/>
  <c r="G52" i="15"/>
  <c r="AV51" i="15"/>
  <c r="AW51" i="15" s="1"/>
  <c r="AC51" i="15"/>
  <c r="AV50" i="15"/>
  <c r="AW50" i="15" s="1"/>
  <c r="AR50" i="15"/>
  <c r="AS50" i="15" s="1"/>
  <c r="AN50" i="15"/>
  <c r="AO50" i="15" s="1"/>
  <c r="AJ50" i="15"/>
  <c r="AK50" i="15" s="1"/>
  <c r="AF50" i="15"/>
  <c r="AG50" i="15" s="1"/>
  <c r="AB50" i="15"/>
  <c r="Y50" i="15"/>
  <c r="V50" i="15"/>
  <c r="S50" i="15"/>
  <c r="P50" i="15"/>
  <c r="M50" i="15"/>
  <c r="J50" i="15"/>
  <c r="G50" i="15"/>
  <c r="AX49" i="15"/>
  <c r="AB49" i="15"/>
  <c r="Y49" i="15"/>
  <c r="V49" i="15"/>
  <c r="S49" i="15"/>
  <c r="P49" i="15"/>
  <c r="M49" i="15"/>
  <c r="J49" i="15"/>
  <c r="G49" i="15"/>
  <c r="AV48" i="15"/>
  <c r="AW48" i="15" s="1"/>
  <c r="AR48" i="15"/>
  <c r="AS48" i="15" s="1"/>
  <c r="AN48" i="15"/>
  <c r="AO48" i="15" s="1"/>
  <c r="AJ48" i="15"/>
  <c r="AK48" i="15" s="1"/>
  <c r="AF48" i="15"/>
  <c r="AG48" i="15" s="1"/>
  <c r="AV47" i="15"/>
  <c r="AW47" i="15" s="1"/>
  <c r="AR47" i="15"/>
  <c r="AS47" i="15" s="1"/>
  <c r="AN47" i="15"/>
  <c r="AO47" i="15" s="1"/>
  <c r="AJ47" i="15"/>
  <c r="AK47" i="15" s="1"/>
  <c r="AF47" i="15"/>
  <c r="AG47" i="15" s="1"/>
  <c r="AB47" i="15"/>
  <c r="Y47" i="15"/>
  <c r="V47" i="15"/>
  <c r="S47" i="15"/>
  <c r="P47" i="15"/>
  <c r="M47" i="15"/>
  <c r="J47" i="15"/>
  <c r="G47" i="15"/>
  <c r="AX46" i="15"/>
  <c r="AB46" i="15"/>
  <c r="Y46" i="15"/>
  <c r="V46" i="15"/>
  <c r="S46" i="15"/>
  <c r="P46" i="15"/>
  <c r="M46" i="15"/>
  <c r="J46" i="15"/>
  <c r="G46" i="15"/>
  <c r="AV45" i="15"/>
  <c r="AW45" i="15" s="1"/>
  <c r="AR45" i="15"/>
  <c r="AS45" i="15" s="1"/>
  <c r="AN45" i="15"/>
  <c r="AO45" i="15" s="1"/>
  <c r="AJ45" i="15"/>
  <c r="AK45" i="15" s="1"/>
  <c r="AF45" i="15"/>
  <c r="AG45" i="15" s="1"/>
  <c r="AX44" i="15"/>
  <c r="AB44" i="15"/>
  <c r="Y44" i="15"/>
  <c r="V44" i="15"/>
  <c r="S44" i="15"/>
  <c r="P44" i="15"/>
  <c r="M44" i="15"/>
  <c r="J44" i="15"/>
  <c r="G44" i="15"/>
  <c r="AV43" i="15"/>
  <c r="AW43" i="15" s="1"/>
  <c r="AR43" i="15"/>
  <c r="AS43" i="15" s="1"/>
  <c r="AN43" i="15"/>
  <c r="AO43" i="15" s="1"/>
  <c r="AJ43" i="15"/>
  <c r="AK43" i="15" s="1"/>
  <c r="AF43" i="15"/>
  <c r="AG43" i="15" s="1"/>
  <c r="AV42" i="15"/>
  <c r="AW42" i="15" s="1"/>
  <c r="AR42" i="15"/>
  <c r="AS42" i="15" s="1"/>
  <c r="AN42" i="15"/>
  <c r="AO42" i="15" s="1"/>
  <c r="AJ42" i="15"/>
  <c r="AK42" i="15" s="1"/>
  <c r="AF42" i="15"/>
  <c r="AG42" i="15" s="1"/>
  <c r="AB42" i="15"/>
  <c r="Y42" i="15"/>
  <c r="V42" i="15"/>
  <c r="S42" i="15"/>
  <c r="P42" i="15"/>
  <c r="M42" i="15"/>
  <c r="J42" i="15"/>
  <c r="G42" i="15"/>
  <c r="AB41" i="15"/>
  <c r="Y41" i="15"/>
  <c r="V41" i="15"/>
  <c r="S41" i="15"/>
  <c r="P41" i="15"/>
  <c r="M41" i="15"/>
  <c r="J41" i="15"/>
  <c r="G41" i="15"/>
  <c r="AV40" i="15"/>
  <c r="AW40" i="15" s="1"/>
  <c r="AR40" i="15"/>
  <c r="AS40" i="15" s="1"/>
  <c r="AN40" i="15"/>
  <c r="AO40" i="15" s="1"/>
  <c r="AJ40" i="15"/>
  <c r="AK40" i="15" s="1"/>
  <c r="AF40" i="15"/>
  <c r="AG40" i="15" s="1"/>
  <c r="AC39" i="15"/>
  <c r="AB38" i="15"/>
  <c r="Y38" i="15"/>
  <c r="V38" i="15"/>
  <c r="S38" i="15"/>
  <c r="P38" i="15"/>
  <c r="M38" i="15"/>
  <c r="J38" i="15"/>
  <c r="G38" i="15"/>
  <c r="AV37" i="15"/>
  <c r="AW37" i="15" s="1"/>
  <c r="AR37" i="15"/>
  <c r="AS37" i="15" s="1"/>
  <c r="AN37" i="15"/>
  <c r="AO37" i="15" s="1"/>
  <c r="AJ37" i="15"/>
  <c r="AK37" i="15" s="1"/>
  <c r="AF37" i="15"/>
  <c r="AG37" i="15" s="1"/>
  <c r="AB37" i="15"/>
  <c r="Y37" i="15"/>
  <c r="V37" i="15"/>
  <c r="S37" i="15"/>
  <c r="P37" i="15"/>
  <c r="M37" i="15"/>
  <c r="J37" i="15"/>
  <c r="G37" i="15"/>
  <c r="AV36" i="15"/>
  <c r="AW36" i="15" s="1"/>
  <c r="AR36" i="15"/>
  <c r="AS36" i="15" s="1"/>
  <c r="AN36" i="15"/>
  <c r="AO36" i="15" s="1"/>
  <c r="AJ36" i="15"/>
  <c r="AK36" i="15" s="1"/>
  <c r="AF36" i="15"/>
  <c r="AG36" i="15" s="1"/>
  <c r="AB35" i="15"/>
  <c r="Y35" i="15"/>
  <c r="V35" i="15"/>
  <c r="S35" i="15"/>
  <c r="P35" i="15"/>
  <c r="M35" i="15"/>
  <c r="J35" i="15"/>
  <c r="G35" i="15"/>
  <c r="AV34" i="15"/>
  <c r="AW34" i="15" s="1"/>
  <c r="AR34" i="15"/>
  <c r="AS34" i="15" s="1"/>
  <c r="AN34" i="15"/>
  <c r="AO34" i="15" s="1"/>
  <c r="AJ34" i="15"/>
  <c r="AK34" i="15" s="1"/>
  <c r="AF34" i="15"/>
  <c r="AG34" i="15" s="1"/>
  <c r="AB34" i="15"/>
  <c r="Y34" i="15"/>
  <c r="V34" i="15"/>
  <c r="S34" i="15"/>
  <c r="P34" i="15"/>
  <c r="M34" i="15"/>
  <c r="J34" i="15"/>
  <c r="G34" i="15"/>
  <c r="AV33" i="15"/>
  <c r="AW33" i="15" s="1"/>
  <c r="AR33" i="15"/>
  <c r="AS33" i="15" s="1"/>
  <c r="AN33" i="15"/>
  <c r="AO33" i="15" s="1"/>
  <c r="AJ33" i="15"/>
  <c r="AK33" i="15" s="1"/>
  <c r="AF33" i="15"/>
  <c r="AG33" i="15" s="1"/>
  <c r="AB33" i="15"/>
  <c r="Y33" i="15"/>
  <c r="V33" i="15"/>
  <c r="S33" i="15"/>
  <c r="P33" i="15"/>
  <c r="M33" i="15"/>
  <c r="J33" i="15"/>
  <c r="G33" i="15"/>
  <c r="AB32" i="15"/>
  <c r="Y32" i="15"/>
  <c r="V32" i="15"/>
  <c r="S32" i="15"/>
  <c r="P32" i="15"/>
  <c r="M32" i="15"/>
  <c r="J32" i="15"/>
  <c r="G32" i="15"/>
  <c r="AV31" i="15"/>
  <c r="AW31" i="15" s="1"/>
  <c r="AR31" i="15"/>
  <c r="AS31" i="15" s="1"/>
  <c r="AN31" i="15"/>
  <c r="AO31" i="15" s="1"/>
  <c r="AJ31" i="15"/>
  <c r="AK31" i="15" s="1"/>
  <c r="AF31" i="15"/>
  <c r="AG31" i="15" s="1"/>
  <c r="AB30" i="15"/>
  <c r="Y30" i="15"/>
  <c r="V30" i="15"/>
  <c r="S30" i="15"/>
  <c r="P30" i="15"/>
  <c r="M30" i="15"/>
  <c r="J30" i="15"/>
  <c r="G30" i="15"/>
  <c r="AV29" i="15"/>
  <c r="AW29" i="15" s="1"/>
  <c r="AR29" i="15"/>
  <c r="AS29" i="15" s="1"/>
  <c r="AN29" i="15"/>
  <c r="AO29" i="15" s="1"/>
  <c r="AJ29" i="15"/>
  <c r="AK29" i="15" s="1"/>
  <c r="AF29" i="15"/>
  <c r="AG29" i="15" s="1"/>
  <c r="AB29" i="15"/>
  <c r="Y29" i="15"/>
  <c r="V29" i="15"/>
  <c r="S29" i="15"/>
  <c r="P29" i="15"/>
  <c r="M29" i="15"/>
  <c r="J29" i="15"/>
  <c r="G29" i="15"/>
  <c r="AV28" i="15"/>
  <c r="AW28" i="15" s="1"/>
  <c r="AS28" i="15"/>
  <c r="AN28" i="15"/>
  <c r="AO28" i="15" s="1"/>
  <c r="AJ28" i="15"/>
  <c r="AK28" i="15" s="1"/>
  <c r="AF28" i="15"/>
  <c r="AG28" i="15" s="1"/>
  <c r="AB27" i="15"/>
  <c r="Y27" i="15"/>
  <c r="V27" i="15"/>
  <c r="S27" i="15"/>
  <c r="P27" i="15"/>
  <c r="M27" i="15"/>
  <c r="J27" i="15"/>
  <c r="G27" i="15"/>
  <c r="AV26" i="15"/>
  <c r="AW26" i="15" s="1"/>
  <c r="AR26" i="15"/>
  <c r="AS26" i="15" s="1"/>
  <c r="AN26" i="15"/>
  <c r="AO26" i="15" s="1"/>
  <c r="AJ26" i="15"/>
  <c r="AK26" i="15" s="1"/>
  <c r="AF26" i="15"/>
  <c r="AG26" i="15" s="1"/>
  <c r="AB26" i="15"/>
  <c r="Y26" i="15"/>
  <c r="V26" i="15"/>
  <c r="S26" i="15"/>
  <c r="P26" i="15"/>
  <c r="M26" i="15"/>
  <c r="J26" i="15"/>
  <c r="G26" i="15"/>
  <c r="AC25" i="15"/>
  <c r="AV24" i="15"/>
  <c r="AW24" i="15" s="1"/>
  <c r="AR24" i="15"/>
  <c r="AS24" i="15" s="1"/>
  <c r="AN24" i="15"/>
  <c r="AO24" i="15" s="1"/>
  <c r="AJ24" i="15"/>
  <c r="AK24" i="15" s="1"/>
  <c r="AF24" i="15"/>
  <c r="AG24" i="15" s="1"/>
  <c r="AB24" i="15"/>
  <c r="Y24" i="15"/>
  <c r="V24" i="15"/>
  <c r="S24" i="15"/>
  <c r="P24" i="15"/>
  <c r="M24" i="15"/>
  <c r="J24" i="15"/>
  <c r="G24" i="15"/>
  <c r="AB23" i="15"/>
  <c r="Y23" i="15"/>
  <c r="V23" i="15"/>
  <c r="S23" i="15"/>
  <c r="P23" i="15"/>
  <c r="M23" i="15"/>
  <c r="J23" i="15"/>
  <c r="G23" i="15"/>
  <c r="AV22" i="15"/>
  <c r="AW22" i="15" s="1"/>
  <c r="AR22" i="15"/>
  <c r="AS22" i="15" s="1"/>
  <c r="AN22" i="15"/>
  <c r="AO22" i="15" s="1"/>
  <c r="AJ22" i="15"/>
  <c r="AK22" i="15" s="1"/>
  <c r="AF22" i="15"/>
  <c r="AG22" i="15" s="1"/>
  <c r="AB22" i="15"/>
  <c r="Y22" i="15"/>
  <c r="V22" i="15"/>
  <c r="S22" i="15"/>
  <c r="P22" i="15"/>
  <c r="M22" i="15"/>
  <c r="J22" i="15"/>
  <c r="G22" i="15"/>
  <c r="AB21" i="15"/>
  <c r="Y21" i="15"/>
  <c r="V21" i="15"/>
  <c r="S21" i="15"/>
  <c r="P21" i="15"/>
  <c r="M21" i="15"/>
  <c r="J21" i="15"/>
  <c r="G21" i="15"/>
  <c r="AB20" i="15"/>
  <c r="Y20" i="15"/>
  <c r="V20" i="15"/>
  <c r="S20" i="15"/>
  <c r="P20" i="15"/>
  <c r="M20" i="15"/>
  <c r="J20" i="15"/>
  <c r="G20" i="15"/>
  <c r="AV19" i="15"/>
  <c r="AW19" i="15" s="1"/>
  <c r="AR19" i="15"/>
  <c r="AS19" i="15" s="1"/>
  <c r="AN19" i="15"/>
  <c r="AO19" i="15" s="1"/>
  <c r="AJ19" i="15"/>
  <c r="AK19" i="15" s="1"/>
  <c r="AB18" i="15"/>
  <c r="Y18" i="15"/>
  <c r="V18" i="15"/>
  <c r="S18" i="15"/>
  <c r="P18" i="15"/>
  <c r="M18" i="15"/>
  <c r="J18" i="15"/>
  <c r="G18" i="15"/>
  <c r="AV17" i="15"/>
  <c r="AW17" i="15" s="1"/>
  <c r="AR17" i="15"/>
  <c r="AS17" i="15" s="1"/>
  <c r="AN17" i="15"/>
  <c r="AO17" i="15" s="1"/>
  <c r="AJ17" i="15"/>
  <c r="AK17" i="15" s="1"/>
  <c r="AF17" i="15"/>
  <c r="AG17" i="15" s="1"/>
  <c r="AB17" i="15"/>
  <c r="Y17" i="15"/>
  <c r="V17" i="15"/>
  <c r="S17" i="15"/>
  <c r="P17" i="15"/>
  <c r="M17" i="15"/>
  <c r="J17" i="15"/>
  <c r="G17" i="15"/>
  <c r="AB16" i="15"/>
  <c r="Y16" i="15"/>
  <c r="V16" i="15"/>
  <c r="S16" i="15"/>
  <c r="P16" i="15"/>
  <c r="M16" i="15"/>
  <c r="J16" i="15"/>
  <c r="G16" i="15"/>
  <c r="AV15" i="15"/>
  <c r="AW15" i="15" s="1"/>
  <c r="AR15" i="15"/>
  <c r="AS15" i="15" s="1"/>
  <c r="AN15" i="15"/>
  <c r="AO15" i="15" s="1"/>
  <c r="AJ15" i="15"/>
  <c r="AK15" i="15" s="1"/>
  <c r="AF15" i="15"/>
  <c r="AG15" i="15" s="1"/>
  <c r="AB14" i="15"/>
  <c r="Y14" i="15"/>
  <c r="V14" i="15"/>
  <c r="S14" i="15"/>
  <c r="P14" i="15"/>
  <c r="M14" i="15"/>
  <c r="J14" i="15"/>
  <c r="G14" i="15"/>
  <c r="AV13" i="15"/>
  <c r="AW13" i="15" s="1"/>
  <c r="AR13" i="15"/>
  <c r="AS13" i="15" s="1"/>
  <c r="AN13" i="15"/>
  <c r="AO13" i="15" s="1"/>
  <c r="AJ13" i="15"/>
  <c r="AK13" i="15" s="1"/>
  <c r="AF13" i="15"/>
  <c r="AG13" i="15" s="1"/>
  <c r="AB13" i="15"/>
  <c r="Y13" i="15"/>
  <c r="V13" i="15"/>
  <c r="S13" i="15"/>
  <c r="P13" i="15"/>
  <c r="M13" i="15"/>
  <c r="J13" i="15"/>
  <c r="G13" i="15"/>
  <c r="AB12" i="15"/>
  <c r="Y12" i="15"/>
  <c r="V12" i="15"/>
  <c r="S12" i="15"/>
  <c r="P12" i="15"/>
  <c r="M12" i="15"/>
  <c r="J12" i="15"/>
  <c r="G12" i="15"/>
  <c r="AV11" i="15"/>
  <c r="AW11" i="15" s="1"/>
  <c r="AR11" i="15"/>
  <c r="AS11" i="15" s="1"/>
  <c r="AN11" i="15"/>
  <c r="AO11" i="15" s="1"/>
  <c r="AJ11" i="15"/>
  <c r="AK11" i="15" s="1"/>
  <c r="AF11" i="15"/>
  <c r="AG11" i="15" s="1"/>
  <c r="AB11" i="15"/>
  <c r="Y11" i="15"/>
  <c r="V11" i="15"/>
  <c r="S11" i="15"/>
  <c r="P11" i="15"/>
  <c r="M11" i="15"/>
  <c r="J11" i="15"/>
  <c r="G11" i="15"/>
  <c r="AB10" i="15"/>
  <c r="Y10" i="15"/>
  <c r="V10" i="15"/>
  <c r="S10" i="15"/>
  <c r="P10" i="15"/>
  <c r="M10" i="15"/>
  <c r="J10" i="15"/>
  <c r="G10" i="15"/>
  <c r="AB9" i="15"/>
  <c r="Y9" i="15"/>
  <c r="V9" i="15"/>
  <c r="S9" i="15"/>
  <c r="P9" i="15"/>
  <c r="M9" i="15"/>
  <c r="J9" i="15"/>
  <c r="G9" i="15"/>
  <c r="AB8" i="15"/>
  <c r="Y8" i="15"/>
  <c r="V8" i="15"/>
  <c r="S8" i="15"/>
  <c r="P8" i="15"/>
  <c r="M8" i="15"/>
  <c r="J8" i="15"/>
  <c r="G8" i="15"/>
  <c r="AB7" i="15"/>
  <c r="Y7" i="15"/>
  <c r="V7" i="15"/>
  <c r="S7" i="15"/>
  <c r="P7" i="15"/>
  <c r="M7" i="15"/>
  <c r="J7" i="15"/>
  <c r="G7" i="15"/>
  <c r="AV6" i="15"/>
  <c r="AR6" i="15"/>
  <c r="AN6" i="15"/>
  <c r="AJ6" i="15"/>
  <c r="AF6" i="15"/>
  <c r="AB6" i="15"/>
  <c r="Y6" i="15"/>
  <c r="V6" i="15"/>
  <c r="S6" i="15"/>
  <c r="P6" i="15"/>
  <c r="M6" i="15"/>
  <c r="J6" i="15"/>
  <c r="G6" i="15"/>
  <c r="AB5" i="15"/>
  <c r="Y5" i="15"/>
  <c r="V5" i="15"/>
  <c r="S5" i="15"/>
  <c r="P5" i="15"/>
  <c r="M5" i="15"/>
  <c r="J5" i="15"/>
  <c r="G5" i="15"/>
  <c r="AB4" i="15"/>
  <c r="Y4" i="15"/>
  <c r="V4" i="15"/>
  <c r="S4" i="15"/>
  <c r="P4" i="15"/>
  <c r="M4" i="15"/>
  <c r="J4" i="15"/>
  <c r="G4" i="15"/>
  <c r="AY3" i="15"/>
  <c r="AX55" i="13"/>
  <c r="AX53" i="13"/>
  <c r="AX17" i="13"/>
  <c r="AU64" i="14"/>
  <c r="AT64" i="14"/>
  <c r="AQ64" i="14"/>
  <c r="AP64" i="14"/>
  <c r="AM64" i="14"/>
  <c r="AL64" i="14"/>
  <c r="AI64" i="14"/>
  <c r="AH64" i="14"/>
  <c r="AE64" i="14"/>
  <c r="AD64" i="14"/>
  <c r="AA64" i="14"/>
  <c r="X64" i="14"/>
  <c r="U64" i="14"/>
  <c r="R64" i="14"/>
  <c r="O64" i="14"/>
  <c r="L64" i="14"/>
  <c r="I64" i="14"/>
  <c r="F64" i="14"/>
  <c r="AB63" i="14"/>
  <c r="Y63" i="14"/>
  <c r="V63" i="14"/>
  <c r="S63" i="14"/>
  <c r="P63" i="14"/>
  <c r="M63" i="14"/>
  <c r="J63" i="14"/>
  <c r="G63" i="14"/>
  <c r="AB62" i="14"/>
  <c r="Y62" i="14"/>
  <c r="V62" i="14"/>
  <c r="S62" i="14"/>
  <c r="P62" i="14"/>
  <c r="M62" i="14"/>
  <c r="J62" i="14"/>
  <c r="G62" i="14"/>
  <c r="AC61" i="14"/>
  <c r="AY61" i="14" s="1"/>
  <c r="AV60" i="14"/>
  <c r="AW60" i="14" s="1"/>
  <c r="AR60" i="14"/>
  <c r="AS60" i="14" s="1"/>
  <c r="AN60" i="14"/>
  <c r="AO60" i="14" s="1"/>
  <c r="AJ60" i="14"/>
  <c r="AK60" i="14" s="1"/>
  <c r="AF60" i="14"/>
  <c r="AG60" i="14" s="1"/>
  <c r="AB59" i="14"/>
  <c r="Y59" i="14"/>
  <c r="V59" i="14"/>
  <c r="S59" i="14"/>
  <c r="P59" i="14"/>
  <c r="M59" i="14"/>
  <c r="J59" i="14"/>
  <c r="G59" i="14"/>
  <c r="AV58" i="14"/>
  <c r="AW58" i="14" s="1"/>
  <c r="AR58" i="14"/>
  <c r="AS58" i="14" s="1"/>
  <c r="AN58" i="14"/>
  <c r="AO58" i="14" s="1"/>
  <c r="AJ58" i="14"/>
  <c r="AK58" i="14" s="1"/>
  <c r="AF58" i="14"/>
  <c r="AG58" i="14" s="1"/>
  <c r="AB58" i="14"/>
  <c r="Y58" i="14"/>
  <c r="V58" i="14"/>
  <c r="S58" i="14"/>
  <c r="P58" i="14"/>
  <c r="M58" i="14"/>
  <c r="J58" i="14"/>
  <c r="G58" i="14"/>
  <c r="AB57" i="14"/>
  <c r="Y57" i="14"/>
  <c r="V57" i="14"/>
  <c r="S57" i="14"/>
  <c r="P57" i="14"/>
  <c r="M57" i="14"/>
  <c r="J57" i="14"/>
  <c r="G57" i="14"/>
  <c r="AV56" i="14"/>
  <c r="AW56" i="14" s="1"/>
  <c r="AR56" i="14"/>
  <c r="AS56" i="14" s="1"/>
  <c r="AN56" i="14"/>
  <c r="AO56" i="14" s="1"/>
  <c r="AJ56" i="14"/>
  <c r="AK56" i="14" s="1"/>
  <c r="AF56" i="14"/>
  <c r="AG56" i="14" s="1"/>
  <c r="AV55" i="14"/>
  <c r="AW55" i="14" s="1"/>
  <c r="AR55" i="14"/>
  <c r="AS55" i="14" s="1"/>
  <c r="AN55" i="14"/>
  <c r="AO55" i="14" s="1"/>
  <c r="AJ55" i="14"/>
  <c r="AK55" i="14" s="1"/>
  <c r="AF55" i="14"/>
  <c r="AG55" i="14" s="1"/>
  <c r="AB55" i="14"/>
  <c r="Y55" i="14"/>
  <c r="V55" i="14"/>
  <c r="S55" i="14"/>
  <c r="P55" i="14"/>
  <c r="M55" i="14"/>
  <c r="J55" i="14"/>
  <c r="G55" i="14"/>
  <c r="AB54" i="14"/>
  <c r="Y54" i="14"/>
  <c r="V54" i="14"/>
  <c r="S54" i="14"/>
  <c r="P54" i="14"/>
  <c r="M54" i="14"/>
  <c r="J54" i="14"/>
  <c r="G54" i="14"/>
  <c r="AV53" i="14"/>
  <c r="AW53" i="14" s="1"/>
  <c r="AR53" i="14"/>
  <c r="AS53" i="14" s="1"/>
  <c r="AN53" i="14"/>
  <c r="AO53" i="14" s="1"/>
  <c r="AJ53" i="14"/>
  <c r="AK53" i="14" s="1"/>
  <c r="AF53" i="14"/>
  <c r="AG53" i="14" s="1"/>
  <c r="AB53" i="14"/>
  <c r="Y53" i="14"/>
  <c r="V53" i="14"/>
  <c r="S53" i="14"/>
  <c r="P53" i="14"/>
  <c r="M53" i="14"/>
  <c r="J53" i="14"/>
  <c r="G53" i="14"/>
  <c r="AB52" i="14"/>
  <c r="Y52" i="14"/>
  <c r="V52" i="14"/>
  <c r="S52" i="14"/>
  <c r="P52" i="14"/>
  <c r="M52" i="14"/>
  <c r="J52" i="14"/>
  <c r="G52" i="14"/>
  <c r="AV51" i="14"/>
  <c r="AW51" i="14" s="1"/>
  <c r="AC51" i="14"/>
  <c r="AY51" i="14" s="1"/>
  <c r="AV50" i="14"/>
  <c r="AW50" i="14" s="1"/>
  <c r="AR50" i="14"/>
  <c r="AS50" i="14" s="1"/>
  <c r="AN50" i="14"/>
  <c r="AO50" i="14" s="1"/>
  <c r="AJ50" i="14"/>
  <c r="AK50" i="14" s="1"/>
  <c r="AF50" i="14"/>
  <c r="AG50" i="14" s="1"/>
  <c r="AB50" i="14"/>
  <c r="Y50" i="14"/>
  <c r="V50" i="14"/>
  <c r="S50" i="14"/>
  <c r="P50" i="14"/>
  <c r="M50" i="14"/>
  <c r="J50" i="14"/>
  <c r="G50" i="14"/>
  <c r="AX49" i="14"/>
  <c r="AB49" i="14"/>
  <c r="Y49" i="14"/>
  <c r="V49" i="14"/>
  <c r="S49" i="14"/>
  <c r="P49" i="14"/>
  <c r="M49" i="14"/>
  <c r="J49" i="14"/>
  <c r="G49" i="14"/>
  <c r="AV48" i="14"/>
  <c r="AW48" i="14" s="1"/>
  <c r="AR48" i="14"/>
  <c r="AS48" i="14" s="1"/>
  <c r="AN48" i="14"/>
  <c r="AO48" i="14" s="1"/>
  <c r="AJ48" i="14"/>
  <c r="AK48" i="14" s="1"/>
  <c r="AF48" i="14"/>
  <c r="AG48" i="14" s="1"/>
  <c r="AV47" i="14"/>
  <c r="AW47" i="14" s="1"/>
  <c r="AR47" i="14"/>
  <c r="AS47" i="14" s="1"/>
  <c r="AN47" i="14"/>
  <c r="AO47" i="14" s="1"/>
  <c r="AJ47" i="14"/>
  <c r="AK47" i="14" s="1"/>
  <c r="AF47" i="14"/>
  <c r="AG47" i="14" s="1"/>
  <c r="AB47" i="14"/>
  <c r="Y47" i="14"/>
  <c r="V47" i="14"/>
  <c r="S47" i="14"/>
  <c r="P47" i="14"/>
  <c r="M47" i="14"/>
  <c r="J47" i="14"/>
  <c r="G47" i="14"/>
  <c r="AX46" i="14"/>
  <c r="AB46" i="14"/>
  <c r="Y46" i="14"/>
  <c r="V46" i="14"/>
  <c r="S46" i="14"/>
  <c r="P46" i="14"/>
  <c r="M46" i="14"/>
  <c r="J46" i="14"/>
  <c r="G46" i="14"/>
  <c r="AV45" i="14"/>
  <c r="AW45" i="14" s="1"/>
  <c r="AR45" i="14"/>
  <c r="AS45" i="14" s="1"/>
  <c r="AN45" i="14"/>
  <c r="AO45" i="14" s="1"/>
  <c r="AJ45" i="14"/>
  <c r="AK45" i="14" s="1"/>
  <c r="AF45" i="14"/>
  <c r="AG45" i="14" s="1"/>
  <c r="AX44" i="14"/>
  <c r="AB44" i="14"/>
  <c r="Y44" i="14"/>
  <c r="V44" i="14"/>
  <c r="S44" i="14"/>
  <c r="P44" i="14"/>
  <c r="M44" i="14"/>
  <c r="J44" i="14"/>
  <c r="G44" i="14"/>
  <c r="AV43" i="14"/>
  <c r="AW43" i="14" s="1"/>
  <c r="AR43" i="14"/>
  <c r="AS43" i="14" s="1"/>
  <c r="AN43" i="14"/>
  <c r="AO43" i="14" s="1"/>
  <c r="AJ43" i="14"/>
  <c r="AK43" i="14" s="1"/>
  <c r="AF43" i="14"/>
  <c r="AG43" i="14" s="1"/>
  <c r="AV42" i="14"/>
  <c r="AW42" i="14" s="1"/>
  <c r="AR42" i="14"/>
  <c r="AS42" i="14" s="1"/>
  <c r="AN42" i="14"/>
  <c r="AO42" i="14" s="1"/>
  <c r="AJ42" i="14"/>
  <c r="AK42" i="14" s="1"/>
  <c r="AF42" i="14"/>
  <c r="AG42" i="14" s="1"/>
  <c r="AB42" i="14"/>
  <c r="Y42" i="14"/>
  <c r="V42" i="14"/>
  <c r="S42" i="14"/>
  <c r="P42" i="14"/>
  <c r="M42" i="14"/>
  <c r="J42" i="14"/>
  <c r="G42" i="14"/>
  <c r="AB41" i="14"/>
  <c r="Y41" i="14"/>
  <c r="V41" i="14"/>
  <c r="S41" i="14"/>
  <c r="P41" i="14"/>
  <c r="M41" i="14"/>
  <c r="J41" i="14"/>
  <c r="G41" i="14"/>
  <c r="AV40" i="14"/>
  <c r="AW40" i="14" s="1"/>
  <c r="AR40" i="14"/>
  <c r="AS40" i="14" s="1"/>
  <c r="AN40" i="14"/>
  <c r="AO40" i="14" s="1"/>
  <c r="AJ40" i="14"/>
  <c r="AK40" i="14" s="1"/>
  <c r="AF40" i="14"/>
  <c r="AG40" i="14" s="1"/>
  <c r="AC39" i="14"/>
  <c r="AY39" i="14" s="1"/>
  <c r="AB38" i="14"/>
  <c r="Y38" i="14"/>
  <c r="V38" i="14"/>
  <c r="S38" i="14"/>
  <c r="P38" i="14"/>
  <c r="M38" i="14"/>
  <c r="J38" i="14"/>
  <c r="G38" i="14"/>
  <c r="AV37" i="14"/>
  <c r="AW37" i="14" s="1"/>
  <c r="AR37" i="14"/>
  <c r="AS37" i="14" s="1"/>
  <c r="AN37" i="14"/>
  <c r="AO37" i="14" s="1"/>
  <c r="AJ37" i="14"/>
  <c r="AK37" i="14" s="1"/>
  <c r="AF37" i="14"/>
  <c r="AG37" i="14" s="1"/>
  <c r="AB37" i="14"/>
  <c r="Y37" i="14"/>
  <c r="V37" i="14"/>
  <c r="S37" i="14"/>
  <c r="P37" i="14"/>
  <c r="M37" i="14"/>
  <c r="J37" i="14"/>
  <c r="G37" i="14"/>
  <c r="AV36" i="14"/>
  <c r="AW36" i="14" s="1"/>
  <c r="AR36" i="14"/>
  <c r="AS36" i="14" s="1"/>
  <c r="AN36" i="14"/>
  <c r="AO36" i="14" s="1"/>
  <c r="AJ36" i="14"/>
  <c r="AK36" i="14" s="1"/>
  <c r="AF36" i="14"/>
  <c r="AG36" i="14" s="1"/>
  <c r="AB35" i="14"/>
  <c r="Y35" i="14"/>
  <c r="V35" i="14"/>
  <c r="S35" i="14"/>
  <c r="P35" i="14"/>
  <c r="M35" i="14"/>
  <c r="J35" i="14"/>
  <c r="G35" i="14"/>
  <c r="AV34" i="14"/>
  <c r="AW34" i="14" s="1"/>
  <c r="AR34" i="14"/>
  <c r="AS34" i="14" s="1"/>
  <c r="AN34" i="14"/>
  <c r="AO34" i="14" s="1"/>
  <c r="AJ34" i="14"/>
  <c r="AK34" i="14" s="1"/>
  <c r="AF34" i="14"/>
  <c r="AG34" i="14" s="1"/>
  <c r="AB34" i="14"/>
  <c r="Y34" i="14"/>
  <c r="V34" i="14"/>
  <c r="S34" i="14"/>
  <c r="P34" i="14"/>
  <c r="M34" i="14"/>
  <c r="J34" i="14"/>
  <c r="G34" i="14"/>
  <c r="AV33" i="14"/>
  <c r="AW33" i="14" s="1"/>
  <c r="AR33" i="14"/>
  <c r="AS33" i="14" s="1"/>
  <c r="AN33" i="14"/>
  <c r="AO33" i="14" s="1"/>
  <c r="AJ33" i="14"/>
  <c r="AK33" i="14" s="1"/>
  <c r="AF33" i="14"/>
  <c r="AG33" i="14" s="1"/>
  <c r="AB33" i="14"/>
  <c r="Y33" i="14"/>
  <c r="V33" i="14"/>
  <c r="S33" i="14"/>
  <c r="P33" i="14"/>
  <c r="M33" i="14"/>
  <c r="J33" i="14"/>
  <c r="G33" i="14"/>
  <c r="AB32" i="14"/>
  <c r="Y32" i="14"/>
  <c r="V32" i="14"/>
  <c r="S32" i="14"/>
  <c r="P32" i="14"/>
  <c r="M32" i="14"/>
  <c r="J32" i="14"/>
  <c r="G32" i="14"/>
  <c r="AV31" i="14"/>
  <c r="AW31" i="14" s="1"/>
  <c r="AR31" i="14"/>
  <c r="AS31" i="14" s="1"/>
  <c r="AN31" i="14"/>
  <c r="AO31" i="14" s="1"/>
  <c r="AJ31" i="14"/>
  <c r="AK31" i="14" s="1"/>
  <c r="AF31" i="14"/>
  <c r="AG31" i="14" s="1"/>
  <c r="AB30" i="14"/>
  <c r="Y30" i="14"/>
  <c r="V30" i="14"/>
  <c r="S30" i="14"/>
  <c r="P30" i="14"/>
  <c r="M30" i="14"/>
  <c r="J30" i="14"/>
  <c r="G30" i="14"/>
  <c r="AV29" i="14"/>
  <c r="AW29" i="14" s="1"/>
  <c r="AR29" i="14"/>
  <c r="AS29" i="14" s="1"/>
  <c r="AN29" i="14"/>
  <c r="AO29" i="14" s="1"/>
  <c r="AJ29" i="14"/>
  <c r="AK29" i="14" s="1"/>
  <c r="AF29" i="14"/>
  <c r="AG29" i="14" s="1"/>
  <c r="AB29" i="14"/>
  <c r="Y29" i="14"/>
  <c r="V29" i="14"/>
  <c r="S29" i="14"/>
  <c r="P29" i="14"/>
  <c r="M29" i="14"/>
  <c r="J29" i="14"/>
  <c r="G29" i="14"/>
  <c r="AV28" i="14"/>
  <c r="AW28" i="14" s="1"/>
  <c r="AR28" i="14"/>
  <c r="AS28" i="14" s="1"/>
  <c r="AN28" i="14"/>
  <c r="AO28" i="14" s="1"/>
  <c r="AJ28" i="14"/>
  <c r="AK28" i="14" s="1"/>
  <c r="AF28" i="14"/>
  <c r="AG28" i="14" s="1"/>
  <c r="AB27" i="14"/>
  <c r="Y27" i="14"/>
  <c r="V27" i="14"/>
  <c r="S27" i="14"/>
  <c r="P27" i="14"/>
  <c r="M27" i="14"/>
  <c r="J27" i="14"/>
  <c r="G27" i="14"/>
  <c r="AV26" i="14"/>
  <c r="AW26" i="14" s="1"/>
  <c r="AR26" i="14"/>
  <c r="AS26" i="14" s="1"/>
  <c r="AN26" i="14"/>
  <c r="AO26" i="14" s="1"/>
  <c r="AJ26" i="14"/>
  <c r="AK26" i="14" s="1"/>
  <c r="AF26" i="14"/>
  <c r="AG26" i="14" s="1"/>
  <c r="AB26" i="14"/>
  <c r="Y26" i="14"/>
  <c r="V26" i="14"/>
  <c r="S26" i="14"/>
  <c r="P26" i="14"/>
  <c r="M26" i="14"/>
  <c r="J26" i="14"/>
  <c r="G26" i="14"/>
  <c r="AC25" i="14"/>
  <c r="AY25" i="14" s="1"/>
  <c r="AV24" i="14"/>
  <c r="AW24" i="14" s="1"/>
  <c r="AR24" i="14"/>
  <c r="AS24" i="14" s="1"/>
  <c r="AN24" i="14"/>
  <c r="AO24" i="14" s="1"/>
  <c r="AJ24" i="14"/>
  <c r="AK24" i="14" s="1"/>
  <c r="AF24" i="14"/>
  <c r="AG24" i="14" s="1"/>
  <c r="AB24" i="14"/>
  <c r="Y24" i="14"/>
  <c r="V24" i="14"/>
  <c r="S24" i="14"/>
  <c r="P24" i="14"/>
  <c r="M24" i="14"/>
  <c r="J24" i="14"/>
  <c r="G24" i="14"/>
  <c r="AB23" i="14"/>
  <c r="Y23" i="14"/>
  <c r="V23" i="14"/>
  <c r="S23" i="14"/>
  <c r="P23" i="14"/>
  <c r="M23" i="14"/>
  <c r="J23" i="14"/>
  <c r="G23" i="14"/>
  <c r="AV22" i="14"/>
  <c r="AW22" i="14" s="1"/>
  <c r="AR22" i="14"/>
  <c r="AS22" i="14" s="1"/>
  <c r="AN22" i="14"/>
  <c r="AO22" i="14" s="1"/>
  <c r="AJ22" i="14"/>
  <c r="AK22" i="14" s="1"/>
  <c r="AF22" i="14"/>
  <c r="AG22" i="14" s="1"/>
  <c r="AB22" i="14"/>
  <c r="Y22" i="14"/>
  <c r="V22" i="14"/>
  <c r="S22" i="14"/>
  <c r="P22" i="14"/>
  <c r="M22" i="14"/>
  <c r="J22" i="14"/>
  <c r="G22" i="14"/>
  <c r="AB21" i="14"/>
  <c r="Y21" i="14"/>
  <c r="V21" i="14"/>
  <c r="S21" i="14"/>
  <c r="P21" i="14"/>
  <c r="M21" i="14"/>
  <c r="J21" i="14"/>
  <c r="G21" i="14"/>
  <c r="AB20" i="14"/>
  <c r="Y20" i="14"/>
  <c r="V20" i="14"/>
  <c r="S20" i="14"/>
  <c r="P20" i="14"/>
  <c r="M20" i="14"/>
  <c r="J20" i="14"/>
  <c r="G20" i="14"/>
  <c r="AV19" i="14"/>
  <c r="AW19" i="14" s="1"/>
  <c r="AR19" i="14"/>
  <c r="AS19" i="14" s="1"/>
  <c r="AN19" i="14"/>
  <c r="AO19" i="14" s="1"/>
  <c r="AJ19" i="14"/>
  <c r="AK19" i="14" s="1"/>
  <c r="AF19" i="14"/>
  <c r="AG19" i="14" s="1"/>
  <c r="AB18" i="14"/>
  <c r="Y18" i="14"/>
  <c r="V18" i="14"/>
  <c r="S18" i="14"/>
  <c r="P18" i="14"/>
  <c r="M18" i="14"/>
  <c r="J18" i="14"/>
  <c r="G18" i="14"/>
  <c r="AV17" i="14"/>
  <c r="AW17" i="14" s="1"/>
  <c r="AR17" i="14"/>
  <c r="AS17" i="14" s="1"/>
  <c r="AN17" i="14"/>
  <c r="AO17" i="14" s="1"/>
  <c r="AJ17" i="14"/>
  <c r="AK17" i="14" s="1"/>
  <c r="AF17" i="14"/>
  <c r="AG17" i="14" s="1"/>
  <c r="AB17" i="14"/>
  <c r="Y17" i="14"/>
  <c r="V17" i="14"/>
  <c r="S17" i="14"/>
  <c r="P17" i="14"/>
  <c r="M17" i="14"/>
  <c r="J17" i="14"/>
  <c r="G17" i="14"/>
  <c r="AB16" i="14"/>
  <c r="Y16" i="14"/>
  <c r="V16" i="14"/>
  <c r="S16" i="14"/>
  <c r="P16" i="14"/>
  <c r="M16" i="14"/>
  <c r="J16" i="14"/>
  <c r="G16" i="14"/>
  <c r="AV15" i="14"/>
  <c r="AW15" i="14" s="1"/>
  <c r="AR15" i="14"/>
  <c r="AS15" i="14" s="1"/>
  <c r="AN15" i="14"/>
  <c r="AO15" i="14" s="1"/>
  <c r="AJ15" i="14"/>
  <c r="AK15" i="14" s="1"/>
  <c r="AF15" i="14"/>
  <c r="AG15" i="14" s="1"/>
  <c r="AB14" i="14"/>
  <c r="Y14" i="14"/>
  <c r="V14" i="14"/>
  <c r="S14" i="14"/>
  <c r="P14" i="14"/>
  <c r="M14" i="14"/>
  <c r="J14" i="14"/>
  <c r="G14" i="14"/>
  <c r="AV13" i="14"/>
  <c r="AW13" i="14" s="1"/>
  <c r="AR13" i="14"/>
  <c r="AS13" i="14" s="1"/>
  <c r="AN13" i="14"/>
  <c r="AO13" i="14" s="1"/>
  <c r="AJ13" i="14"/>
  <c r="AK13" i="14" s="1"/>
  <c r="AF13" i="14"/>
  <c r="AG13" i="14" s="1"/>
  <c r="AB13" i="14"/>
  <c r="Y13" i="14"/>
  <c r="V13" i="14"/>
  <c r="S13" i="14"/>
  <c r="P13" i="14"/>
  <c r="M13" i="14"/>
  <c r="J13" i="14"/>
  <c r="G13" i="14"/>
  <c r="AB12" i="14"/>
  <c r="Y12" i="14"/>
  <c r="V12" i="14"/>
  <c r="S12" i="14"/>
  <c r="P12" i="14"/>
  <c r="M12" i="14"/>
  <c r="J12" i="14"/>
  <c r="G12" i="14"/>
  <c r="AV11" i="14"/>
  <c r="AW11" i="14" s="1"/>
  <c r="AR11" i="14"/>
  <c r="AS11" i="14" s="1"/>
  <c r="AN11" i="14"/>
  <c r="AO11" i="14" s="1"/>
  <c r="AJ11" i="14"/>
  <c r="AK11" i="14" s="1"/>
  <c r="AF11" i="14"/>
  <c r="AG11" i="14" s="1"/>
  <c r="AB11" i="14"/>
  <c r="Y11" i="14"/>
  <c r="V11" i="14"/>
  <c r="S11" i="14"/>
  <c r="P11" i="14"/>
  <c r="M11" i="14"/>
  <c r="J11" i="14"/>
  <c r="G11" i="14"/>
  <c r="AB10" i="14"/>
  <c r="Y10" i="14"/>
  <c r="V10" i="14"/>
  <c r="S10" i="14"/>
  <c r="P10" i="14"/>
  <c r="M10" i="14"/>
  <c r="J10" i="14"/>
  <c r="G10" i="14"/>
  <c r="AB9" i="14"/>
  <c r="Y9" i="14"/>
  <c r="V9" i="14"/>
  <c r="S9" i="14"/>
  <c r="P9" i="14"/>
  <c r="M9" i="14"/>
  <c r="J9" i="14"/>
  <c r="G9" i="14"/>
  <c r="AB8" i="14"/>
  <c r="Y8" i="14"/>
  <c r="V8" i="14"/>
  <c r="S8" i="14"/>
  <c r="P8" i="14"/>
  <c r="M8" i="14"/>
  <c r="J8" i="14"/>
  <c r="G8" i="14"/>
  <c r="AB7" i="14"/>
  <c r="Y7" i="14"/>
  <c r="V7" i="14"/>
  <c r="S7" i="14"/>
  <c r="P7" i="14"/>
  <c r="M7" i="14"/>
  <c r="J7" i="14"/>
  <c r="G7" i="14"/>
  <c r="AV6" i="14"/>
  <c r="AW6" i="14" s="1"/>
  <c r="AR6" i="14"/>
  <c r="AS6" i="14" s="1"/>
  <c r="AN6" i="14"/>
  <c r="AO6" i="14" s="1"/>
  <c r="AJ6" i="14"/>
  <c r="AK6" i="14" s="1"/>
  <c r="AF6" i="14"/>
  <c r="AG6" i="14" s="1"/>
  <c r="AB6" i="14"/>
  <c r="Y6" i="14"/>
  <c r="V6" i="14"/>
  <c r="S6" i="14"/>
  <c r="P6" i="14"/>
  <c r="M6" i="14"/>
  <c r="J6" i="14"/>
  <c r="G6" i="14"/>
  <c r="AB5" i="14"/>
  <c r="Y5" i="14"/>
  <c r="V5" i="14"/>
  <c r="S5" i="14"/>
  <c r="P5" i="14"/>
  <c r="M5" i="14"/>
  <c r="J5" i="14"/>
  <c r="G5" i="14"/>
  <c r="AB4" i="14"/>
  <c r="Y4" i="14"/>
  <c r="V4" i="14"/>
  <c r="S4" i="14"/>
  <c r="P4" i="14"/>
  <c r="M4" i="14"/>
  <c r="J4" i="14"/>
  <c r="G4" i="14"/>
  <c r="AY3" i="14"/>
  <c r="BA68" i="12"/>
  <c r="BA70" i="11"/>
  <c r="BA67" i="10"/>
  <c r="BA66" i="9"/>
  <c r="BA67" i="8"/>
  <c r="AZ66" i="7"/>
  <c r="AA66" i="1"/>
  <c r="S20" i="13"/>
  <c r="AU64" i="13"/>
  <c r="AT64" i="13"/>
  <c r="AQ64" i="13"/>
  <c r="AP64" i="13"/>
  <c r="AM64" i="13"/>
  <c r="AL64" i="13"/>
  <c r="AI64" i="13"/>
  <c r="AH64" i="13"/>
  <c r="AE64" i="13"/>
  <c r="AD64" i="13"/>
  <c r="AA64" i="13"/>
  <c r="X64" i="13"/>
  <c r="U64" i="13"/>
  <c r="R64" i="13"/>
  <c r="O64" i="13"/>
  <c r="L64" i="13"/>
  <c r="I64" i="13"/>
  <c r="F64" i="13"/>
  <c r="AB63" i="13"/>
  <c r="Y63" i="13"/>
  <c r="V63" i="13"/>
  <c r="S63" i="13"/>
  <c r="P63" i="13"/>
  <c r="M63" i="13"/>
  <c r="J63" i="13"/>
  <c r="G63" i="13"/>
  <c r="AB62" i="13"/>
  <c r="Y62" i="13"/>
  <c r="V62" i="13"/>
  <c r="S62" i="13"/>
  <c r="P62" i="13"/>
  <c r="M62" i="13"/>
  <c r="J62" i="13"/>
  <c r="G62" i="13"/>
  <c r="AC61" i="13"/>
  <c r="AY61" i="13" s="1"/>
  <c r="AV60" i="13"/>
  <c r="AW60" i="13" s="1"/>
  <c r="AR60" i="13"/>
  <c r="AS60" i="13" s="1"/>
  <c r="AN60" i="13"/>
  <c r="AO60" i="13" s="1"/>
  <c r="AJ60" i="13"/>
  <c r="AK60" i="13" s="1"/>
  <c r="AF60" i="13"/>
  <c r="AG60" i="13" s="1"/>
  <c r="AB59" i="13"/>
  <c r="Y59" i="13"/>
  <c r="V59" i="13"/>
  <c r="S59" i="13"/>
  <c r="P59" i="13"/>
  <c r="M59" i="13"/>
  <c r="J59" i="13"/>
  <c r="G59" i="13"/>
  <c r="AV58" i="13"/>
  <c r="AW58" i="13" s="1"/>
  <c r="AR58" i="13"/>
  <c r="AS58" i="13" s="1"/>
  <c r="AN58" i="13"/>
  <c r="AO58" i="13" s="1"/>
  <c r="AJ58" i="13"/>
  <c r="AK58" i="13" s="1"/>
  <c r="AF58" i="13"/>
  <c r="AG58" i="13" s="1"/>
  <c r="AB58" i="13"/>
  <c r="Y58" i="13"/>
  <c r="V58" i="13"/>
  <c r="S58" i="13"/>
  <c r="P58" i="13"/>
  <c r="M58" i="13"/>
  <c r="J58" i="13"/>
  <c r="G58" i="13"/>
  <c r="AB57" i="13"/>
  <c r="Y57" i="13"/>
  <c r="V57" i="13"/>
  <c r="S57" i="13"/>
  <c r="P57" i="13"/>
  <c r="M57" i="13"/>
  <c r="J57" i="13"/>
  <c r="G57" i="13"/>
  <c r="AV56" i="13"/>
  <c r="AW56" i="13" s="1"/>
  <c r="AR56" i="13"/>
  <c r="AS56" i="13" s="1"/>
  <c r="AN56" i="13"/>
  <c r="AO56" i="13" s="1"/>
  <c r="AJ56" i="13"/>
  <c r="AK56" i="13" s="1"/>
  <c r="AF56" i="13"/>
  <c r="AG56" i="13" s="1"/>
  <c r="AV55" i="13"/>
  <c r="AW55" i="13" s="1"/>
  <c r="AR55" i="13"/>
  <c r="AS55" i="13" s="1"/>
  <c r="AN55" i="13"/>
  <c r="AO55" i="13" s="1"/>
  <c r="AJ55" i="13"/>
  <c r="AK55" i="13" s="1"/>
  <c r="AF55" i="13"/>
  <c r="AG55" i="13" s="1"/>
  <c r="AB55" i="13"/>
  <c r="Y55" i="13"/>
  <c r="V55" i="13"/>
  <c r="S55" i="13"/>
  <c r="P55" i="13"/>
  <c r="M55" i="13"/>
  <c r="J55" i="13"/>
  <c r="G55" i="13"/>
  <c r="AB54" i="13"/>
  <c r="Y54" i="13"/>
  <c r="V54" i="13"/>
  <c r="S54" i="13"/>
  <c r="P54" i="13"/>
  <c r="M54" i="13"/>
  <c r="J54" i="13"/>
  <c r="G54" i="13"/>
  <c r="AV53" i="13"/>
  <c r="AW53" i="13" s="1"/>
  <c r="AR53" i="13"/>
  <c r="AS53" i="13" s="1"/>
  <c r="AN53" i="13"/>
  <c r="AO53" i="13" s="1"/>
  <c r="AJ53" i="13"/>
  <c r="AK53" i="13" s="1"/>
  <c r="AF53" i="13"/>
  <c r="AG53" i="13" s="1"/>
  <c r="AB53" i="13"/>
  <c r="Y53" i="13"/>
  <c r="V53" i="13"/>
  <c r="S53" i="13"/>
  <c r="P53" i="13"/>
  <c r="M53" i="13"/>
  <c r="J53" i="13"/>
  <c r="G53" i="13"/>
  <c r="AB52" i="13"/>
  <c r="Y52" i="13"/>
  <c r="V52" i="13"/>
  <c r="S52" i="13"/>
  <c r="P52" i="13"/>
  <c r="M52" i="13"/>
  <c r="J52" i="13"/>
  <c r="G52" i="13"/>
  <c r="AV51" i="13"/>
  <c r="AW51" i="13" s="1"/>
  <c r="AC51" i="13"/>
  <c r="AY51" i="13" s="1"/>
  <c r="AV50" i="13"/>
  <c r="AW50" i="13" s="1"/>
  <c r="AR50" i="13"/>
  <c r="AS50" i="13" s="1"/>
  <c r="AN50" i="13"/>
  <c r="AO50" i="13" s="1"/>
  <c r="AJ50" i="13"/>
  <c r="AK50" i="13" s="1"/>
  <c r="AF50" i="13"/>
  <c r="AG50" i="13" s="1"/>
  <c r="AB50" i="13"/>
  <c r="Y50" i="13"/>
  <c r="V50" i="13"/>
  <c r="S50" i="13"/>
  <c r="P50" i="13"/>
  <c r="M50" i="13"/>
  <c r="J50" i="13"/>
  <c r="G50" i="13"/>
  <c r="AX49" i="13"/>
  <c r="AB49" i="13"/>
  <c r="Y49" i="13"/>
  <c r="V49" i="13"/>
  <c r="S49" i="13"/>
  <c r="P49" i="13"/>
  <c r="M49" i="13"/>
  <c r="J49" i="13"/>
  <c r="G49" i="13"/>
  <c r="AV48" i="13"/>
  <c r="AW48" i="13" s="1"/>
  <c r="AR48" i="13"/>
  <c r="AS48" i="13" s="1"/>
  <c r="AN48" i="13"/>
  <c r="AO48" i="13" s="1"/>
  <c r="AJ48" i="13"/>
  <c r="AK48" i="13" s="1"/>
  <c r="AF48" i="13"/>
  <c r="AG48" i="13" s="1"/>
  <c r="AV47" i="13"/>
  <c r="AW47" i="13" s="1"/>
  <c r="AR47" i="13"/>
  <c r="AS47" i="13" s="1"/>
  <c r="AN47" i="13"/>
  <c r="AO47" i="13" s="1"/>
  <c r="AJ47" i="13"/>
  <c r="AK47" i="13" s="1"/>
  <c r="AF47" i="13"/>
  <c r="AG47" i="13" s="1"/>
  <c r="AB47" i="13"/>
  <c r="Y47" i="13"/>
  <c r="V47" i="13"/>
  <c r="S47" i="13"/>
  <c r="P47" i="13"/>
  <c r="M47" i="13"/>
  <c r="J47" i="13"/>
  <c r="G47" i="13"/>
  <c r="AX46" i="13"/>
  <c r="AB46" i="13"/>
  <c r="Y46" i="13"/>
  <c r="V46" i="13"/>
  <c r="S46" i="13"/>
  <c r="P46" i="13"/>
  <c r="M46" i="13"/>
  <c r="J46" i="13"/>
  <c r="G46" i="13"/>
  <c r="AV45" i="13"/>
  <c r="AW45" i="13" s="1"/>
  <c r="AR45" i="13"/>
  <c r="AS45" i="13" s="1"/>
  <c r="AN45" i="13"/>
  <c r="AO45" i="13" s="1"/>
  <c r="AJ45" i="13"/>
  <c r="AK45" i="13" s="1"/>
  <c r="AF45" i="13"/>
  <c r="AG45" i="13" s="1"/>
  <c r="AX44" i="13"/>
  <c r="AB44" i="13"/>
  <c r="Y44" i="13"/>
  <c r="V44" i="13"/>
  <c r="S44" i="13"/>
  <c r="P44" i="13"/>
  <c r="M44" i="13"/>
  <c r="J44" i="13"/>
  <c r="G44" i="13"/>
  <c r="AV43" i="13"/>
  <c r="AW43" i="13" s="1"/>
  <c r="AR43" i="13"/>
  <c r="AS43" i="13" s="1"/>
  <c r="AN43" i="13"/>
  <c r="AO43" i="13" s="1"/>
  <c r="AJ43" i="13"/>
  <c r="AK43" i="13" s="1"/>
  <c r="AF43" i="13"/>
  <c r="AG43" i="13" s="1"/>
  <c r="AV42" i="13"/>
  <c r="AW42" i="13" s="1"/>
  <c r="AR42" i="13"/>
  <c r="AS42" i="13" s="1"/>
  <c r="AN42" i="13"/>
  <c r="AO42" i="13" s="1"/>
  <c r="AJ42" i="13"/>
  <c r="AK42" i="13" s="1"/>
  <c r="AF42" i="13"/>
  <c r="AG42" i="13" s="1"/>
  <c r="AB42" i="13"/>
  <c r="Y42" i="13"/>
  <c r="V42" i="13"/>
  <c r="S42" i="13"/>
  <c r="P42" i="13"/>
  <c r="M42" i="13"/>
  <c r="J42" i="13"/>
  <c r="G42" i="13"/>
  <c r="AB41" i="13"/>
  <c r="Y41" i="13"/>
  <c r="V41" i="13"/>
  <c r="S41" i="13"/>
  <c r="P41" i="13"/>
  <c r="M41" i="13"/>
  <c r="J41" i="13"/>
  <c r="G41" i="13"/>
  <c r="AV40" i="13"/>
  <c r="AW40" i="13" s="1"/>
  <c r="AR40" i="13"/>
  <c r="AS40" i="13" s="1"/>
  <c r="AN40" i="13"/>
  <c r="AO40" i="13" s="1"/>
  <c r="AJ40" i="13"/>
  <c r="AK40" i="13" s="1"/>
  <c r="AF40" i="13"/>
  <c r="AG40" i="13" s="1"/>
  <c r="AC39" i="13"/>
  <c r="AY39" i="13" s="1"/>
  <c r="AB38" i="13"/>
  <c r="Y38" i="13"/>
  <c r="V38" i="13"/>
  <c r="S38" i="13"/>
  <c r="P38" i="13"/>
  <c r="M38" i="13"/>
  <c r="J38" i="13"/>
  <c r="G38" i="13"/>
  <c r="AV37" i="13"/>
  <c r="AW37" i="13" s="1"/>
  <c r="AR37" i="13"/>
  <c r="AS37" i="13" s="1"/>
  <c r="AN37" i="13"/>
  <c r="AO37" i="13" s="1"/>
  <c r="AJ37" i="13"/>
  <c r="AK37" i="13" s="1"/>
  <c r="AF37" i="13"/>
  <c r="AG37" i="13" s="1"/>
  <c r="AB37" i="13"/>
  <c r="Y37" i="13"/>
  <c r="V37" i="13"/>
  <c r="S37" i="13"/>
  <c r="P37" i="13"/>
  <c r="M37" i="13"/>
  <c r="J37" i="13"/>
  <c r="G37" i="13"/>
  <c r="AV36" i="13"/>
  <c r="AW36" i="13" s="1"/>
  <c r="AR36" i="13"/>
  <c r="AS36" i="13" s="1"/>
  <c r="AN36" i="13"/>
  <c r="AO36" i="13" s="1"/>
  <c r="AJ36" i="13"/>
  <c r="AK36" i="13" s="1"/>
  <c r="AF36" i="13"/>
  <c r="AG36" i="13" s="1"/>
  <c r="AB35" i="13"/>
  <c r="Y35" i="13"/>
  <c r="V35" i="13"/>
  <c r="S35" i="13"/>
  <c r="P35" i="13"/>
  <c r="M35" i="13"/>
  <c r="J35" i="13"/>
  <c r="G35" i="13"/>
  <c r="AV34" i="13"/>
  <c r="AW34" i="13" s="1"/>
  <c r="AR34" i="13"/>
  <c r="AS34" i="13" s="1"/>
  <c r="AN34" i="13"/>
  <c r="AO34" i="13" s="1"/>
  <c r="AJ34" i="13"/>
  <c r="AK34" i="13" s="1"/>
  <c r="AF34" i="13"/>
  <c r="AG34" i="13" s="1"/>
  <c r="AB34" i="13"/>
  <c r="Y34" i="13"/>
  <c r="V34" i="13"/>
  <c r="S34" i="13"/>
  <c r="P34" i="13"/>
  <c r="M34" i="13"/>
  <c r="J34" i="13"/>
  <c r="G34" i="13"/>
  <c r="AV33" i="13"/>
  <c r="AW33" i="13" s="1"/>
  <c r="AR33" i="13"/>
  <c r="AS33" i="13" s="1"/>
  <c r="AN33" i="13"/>
  <c r="AO33" i="13" s="1"/>
  <c r="AJ33" i="13"/>
  <c r="AK33" i="13" s="1"/>
  <c r="AF33" i="13"/>
  <c r="AG33" i="13" s="1"/>
  <c r="AB33" i="13"/>
  <c r="Y33" i="13"/>
  <c r="V33" i="13"/>
  <c r="S33" i="13"/>
  <c r="P33" i="13"/>
  <c r="M33" i="13"/>
  <c r="J33" i="13"/>
  <c r="G33" i="13"/>
  <c r="AB32" i="13"/>
  <c r="Y32" i="13"/>
  <c r="V32" i="13"/>
  <c r="S32" i="13"/>
  <c r="P32" i="13"/>
  <c r="M32" i="13"/>
  <c r="J32" i="13"/>
  <c r="G32" i="13"/>
  <c r="AV31" i="13"/>
  <c r="AW31" i="13" s="1"/>
  <c r="AR31" i="13"/>
  <c r="AS31" i="13" s="1"/>
  <c r="AN31" i="13"/>
  <c r="AO31" i="13" s="1"/>
  <c r="AJ31" i="13"/>
  <c r="AK31" i="13" s="1"/>
  <c r="AF31" i="13"/>
  <c r="AG31" i="13" s="1"/>
  <c r="AB30" i="13"/>
  <c r="Y30" i="13"/>
  <c r="V30" i="13"/>
  <c r="S30" i="13"/>
  <c r="P30" i="13"/>
  <c r="M30" i="13"/>
  <c r="J30" i="13"/>
  <c r="G30" i="13"/>
  <c r="AV29" i="13"/>
  <c r="AW29" i="13" s="1"/>
  <c r="AR29" i="13"/>
  <c r="AS29" i="13" s="1"/>
  <c r="AN29" i="13"/>
  <c r="AO29" i="13" s="1"/>
  <c r="AJ29" i="13"/>
  <c r="AK29" i="13" s="1"/>
  <c r="AF29" i="13"/>
  <c r="AG29" i="13" s="1"/>
  <c r="AB29" i="13"/>
  <c r="Y29" i="13"/>
  <c r="V29" i="13"/>
  <c r="S29" i="13"/>
  <c r="P29" i="13"/>
  <c r="M29" i="13"/>
  <c r="J29" i="13"/>
  <c r="G29" i="13"/>
  <c r="AV28" i="13"/>
  <c r="AW28" i="13" s="1"/>
  <c r="AR28" i="13"/>
  <c r="AS28" i="13" s="1"/>
  <c r="AN28" i="13"/>
  <c r="AO28" i="13" s="1"/>
  <c r="AJ28" i="13"/>
  <c r="AK28" i="13" s="1"/>
  <c r="AF28" i="13"/>
  <c r="AG28" i="13" s="1"/>
  <c r="AB27" i="13"/>
  <c r="Y27" i="13"/>
  <c r="V27" i="13"/>
  <c r="S27" i="13"/>
  <c r="P27" i="13"/>
  <c r="M27" i="13"/>
  <c r="J27" i="13"/>
  <c r="G27" i="13"/>
  <c r="AV26" i="13"/>
  <c r="AW26" i="13" s="1"/>
  <c r="AR26" i="13"/>
  <c r="AS26" i="13" s="1"/>
  <c r="AN26" i="13"/>
  <c r="AO26" i="13" s="1"/>
  <c r="AJ26" i="13"/>
  <c r="AK26" i="13" s="1"/>
  <c r="AF26" i="13"/>
  <c r="AG26" i="13" s="1"/>
  <c r="AB26" i="13"/>
  <c r="Y26" i="13"/>
  <c r="V26" i="13"/>
  <c r="S26" i="13"/>
  <c r="P26" i="13"/>
  <c r="M26" i="13"/>
  <c r="J26" i="13"/>
  <c r="G26" i="13"/>
  <c r="AC25" i="13"/>
  <c r="AY25" i="13" s="1"/>
  <c r="AV24" i="13"/>
  <c r="AW24" i="13" s="1"/>
  <c r="AR24" i="13"/>
  <c r="AS24" i="13" s="1"/>
  <c r="AN24" i="13"/>
  <c r="AO24" i="13" s="1"/>
  <c r="AJ24" i="13"/>
  <c r="AK24" i="13" s="1"/>
  <c r="AF24" i="13"/>
  <c r="AG24" i="13" s="1"/>
  <c r="AB24" i="13"/>
  <c r="Y24" i="13"/>
  <c r="V24" i="13"/>
  <c r="S24" i="13"/>
  <c r="P24" i="13"/>
  <c r="M24" i="13"/>
  <c r="J24" i="13"/>
  <c r="G24" i="13"/>
  <c r="AB23" i="13"/>
  <c r="Y23" i="13"/>
  <c r="V23" i="13"/>
  <c r="S23" i="13"/>
  <c r="P23" i="13"/>
  <c r="M23" i="13"/>
  <c r="J23" i="13"/>
  <c r="G23" i="13"/>
  <c r="AV22" i="13"/>
  <c r="AW22" i="13" s="1"/>
  <c r="AR22" i="13"/>
  <c r="AS22" i="13" s="1"/>
  <c r="AN22" i="13"/>
  <c r="AO22" i="13" s="1"/>
  <c r="AJ22" i="13"/>
  <c r="AK22" i="13" s="1"/>
  <c r="AF22" i="13"/>
  <c r="AG22" i="13" s="1"/>
  <c r="AB22" i="13"/>
  <c r="Y22" i="13"/>
  <c r="V22" i="13"/>
  <c r="S22" i="13"/>
  <c r="P22" i="13"/>
  <c r="M22" i="13"/>
  <c r="J22" i="13"/>
  <c r="G22" i="13"/>
  <c r="AB21" i="13"/>
  <c r="Y21" i="13"/>
  <c r="V21" i="13"/>
  <c r="S21" i="13"/>
  <c r="P21" i="13"/>
  <c r="M21" i="13"/>
  <c r="J21" i="13"/>
  <c r="G21" i="13"/>
  <c r="AB20" i="13"/>
  <c r="Y20" i="13"/>
  <c r="V20" i="13"/>
  <c r="P20" i="13"/>
  <c r="M20" i="13"/>
  <c r="J20" i="13"/>
  <c r="G20" i="13"/>
  <c r="AV19" i="13"/>
  <c r="AW19" i="13" s="1"/>
  <c r="AR19" i="13"/>
  <c r="AS19" i="13" s="1"/>
  <c r="AN19" i="13"/>
  <c r="AO19" i="13" s="1"/>
  <c r="AJ19" i="13"/>
  <c r="AK19" i="13" s="1"/>
  <c r="AF19" i="13"/>
  <c r="AG19" i="13" s="1"/>
  <c r="AB18" i="13"/>
  <c r="Y18" i="13"/>
  <c r="V18" i="13"/>
  <c r="S18" i="13"/>
  <c r="P18" i="13"/>
  <c r="M18" i="13"/>
  <c r="J18" i="13"/>
  <c r="G18" i="13"/>
  <c r="AV17" i="13"/>
  <c r="AW17" i="13" s="1"/>
  <c r="AR17" i="13"/>
  <c r="AS17" i="13" s="1"/>
  <c r="AN17" i="13"/>
  <c r="AO17" i="13" s="1"/>
  <c r="AJ17" i="13"/>
  <c r="AK17" i="13" s="1"/>
  <c r="AF17" i="13"/>
  <c r="AG17" i="13" s="1"/>
  <c r="AB17" i="13"/>
  <c r="Y17" i="13"/>
  <c r="V17" i="13"/>
  <c r="S17" i="13"/>
  <c r="P17" i="13"/>
  <c r="M17" i="13"/>
  <c r="J17" i="13"/>
  <c r="G17" i="13"/>
  <c r="AB16" i="13"/>
  <c r="Y16" i="13"/>
  <c r="V16" i="13"/>
  <c r="S16" i="13"/>
  <c r="P16" i="13"/>
  <c r="M16" i="13"/>
  <c r="J16" i="13"/>
  <c r="G16" i="13"/>
  <c r="AV15" i="13"/>
  <c r="AW15" i="13" s="1"/>
  <c r="AR15" i="13"/>
  <c r="AS15" i="13" s="1"/>
  <c r="AN15" i="13"/>
  <c r="AO15" i="13" s="1"/>
  <c r="AJ15" i="13"/>
  <c r="AK15" i="13" s="1"/>
  <c r="AF15" i="13"/>
  <c r="AG15" i="13" s="1"/>
  <c r="AB14" i="13"/>
  <c r="Y14" i="13"/>
  <c r="V14" i="13"/>
  <c r="S14" i="13"/>
  <c r="P14" i="13"/>
  <c r="M14" i="13"/>
  <c r="J14" i="13"/>
  <c r="G14" i="13"/>
  <c r="AV13" i="13"/>
  <c r="AW13" i="13" s="1"/>
  <c r="AR13" i="13"/>
  <c r="AS13" i="13" s="1"/>
  <c r="AN13" i="13"/>
  <c r="AO13" i="13" s="1"/>
  <c r="AJ13" i="13"/>
  <c r="AK13" i="13" s="1"/>
  <c r="AF13" i="13"/>
  <c r="AG13" i="13" s="1"/>
  <c r="AB13" i="13"/>
  <c r="Y13" i="13"/>
  <c r="V13" i="13"/>
  <c r="S13" i="13"/>
  <c r="P13" i="13"/>
  <c r="M13" i="13"/>
  <c r="J13" i="13"/>
  <c r="G13" i="13"/>
  <c r="AB12" i="13"/>
  <c r="Y12" i="13"/>
  <c r="V12" i="13"/>
  <c r="S12" i="13"/>
  <c r="P12" i="13"/>
  <c r="M12" i="13"/>
  <c r="J12" i="13"/>
  <c r="G12" i="13"/>
  <c r="AV11" i="13"/>
  <c r="AW11" i="13" s="1"/>
  <c r="AR11" i="13"/>
  <c r="AS11" i="13" s="1"/>
  <c r="AN11" i="13"/>
  <c r="AO11" i="13" s="1"/>
  <c r="AJ11" i="13"/>
  <c r="AK11" i="13" s="1"/>
  <c r="AF11" i="13"/>
  <c r="AG11" i="13" s="1"/>
  <c r="AB11" i="13"/>
  <c r="Y11" i="13"/>
  <c r="V11" i="13"/>
  <c r="S11" i="13"/>
  <c r="P11" i="13"/>
  <c r="M11" i="13"/>
  <c r="J11" i="13"/>
  <c r="G11" i="13"/>
  <c r="AB10" i="13"/>
  <c r="Y10" i="13"/>
  <c r="V10" i="13"/>
  <c r="S10" i="13"/>
  <c r="P10" i="13"/>
  <c r="M10" i="13"/>
  <c r="J10" i="13"/>
  <c r="G10" i="13"/>
  <c r="AB9" i="13"/>
  <c r="Y9" i="13"/>
  <c r="V9" i="13"/>
  <c r="S9" i="13"/>
  <c r="P9" i="13"/>
  <c r="M9" i="13"/>
  <c r="J9" i="13"/>
  <c r="G9" i="13"/>
  <c r="AB8" i="13"/>
  <c r="Y8" i="13"/>
  <c r="V8" i="13"/>
  <c r="S8" i="13"/>
  <c r="P8" i="13"/>
  <c r="M8" i="13"/>
  <c r="J8" i="13"/>
  <c r="G8" i="13"/>
  <c r="AB7" i="13"/>
  <c r="Y7" i="13"/>
  <c r="V7" i="13"/>
  <c r="S7" i="13"/>
  <c r="P7" i="13"/>
  <c r="M7" i="13"/>
  <c r="J7" i="13"/>
  <c r="G7" i="13"/>
  <c r="AV6" i="13"/>
  <c r="AR6" i="13"/>
  <c r="AN6" i="13"/>
  <c r="AJ6" i="13"/>
  <c r="AF6" i="13"/>
  <c r="AB6" i="13"/>
  <c r="Y6" i="13"/>
  <c r="V6" i="13"/>
  <c r="S6" i="13"/>
  <c r="P6" i="13"/>
  <c r="M6" i="13"/>
  <c r="J6" i="13"/>
  <c r="G6" i="13"/>
  <c r="AB5" i="13"/>
  <c r="Y5" i="13"/>
  <c r="V5" i="13"/>
  <c r="S5" i="13"/>
  <c r="P5" i="13"/>
  <c r="M5" i="13"/>
  <c r="J5" i="13"/>
  <c r="G5" i="13"/>
  <c r="AB4" i="13"/>
  <c r="Y4" i="13"/>
  <c r="Y64" i="13" s="1"/>
  <c r="V4" i="13"/>
  <c r="V64" i="13" s="1"/>
  <c r="S4" i="13"/>
  <c r="S64" i="13" s="1"/>
  <c r="P4" i="13"/>
  <c r="P64" i="13" s="1"/>
  <c r="M4" i="13"/>
  <c r="M64" i="13" s="1"/>
  <c r="J4" i="13"/>
  <c r="J64" i="13" s="1"/>
  <c r="G4" i="13"/>
  <c r="G64" i="13" s="1"/>
  <c r="AY3" i="13"/>
  <c r="AU64" i="12"/>
  <c r="AQ64" i="12"/>
  <c r="AM64" i="12"/>
  <c r="AI64" i="12"/>
  <c r="AE64" i="12"/>
  <c r="AT64" i="12"/>
  <c r="AP64" i="12"/>
  <c r="AL64" i="12"/>
  <c r="AH64" i="12"/>
  <c r="AD64" i="12"/>
  <c r="AA64" i="12"/>
  <c r="X64" i="12"/>
  <c r="U64" i="12"/>
  <c r="R64" i="12"/>
  <c r="O64" i="12"/>
  <c r="L64" i="12"/>
  <c r="I64" i="12"/>
  <c r="F64" i="12"/>
  <c r="AB63" i="12"/>
  <c r="Y63" i="12"/>
  <c r="V63" i="12"/>
  <c r="S63" i="12"/>
  <c r="P63" i="12"/>
  <c r="M63" i="12"/>
  <c r="J63" i="12"/>
  <c r="G63" i="12"/>
  <c r="AB62" i="12"/>
  <c r="Y62" i="12"/>
  <c r="V62" i="12"/>
  <c r="S62" i="12"/>
  <c r="P62" i="12"/>
  <c r="M62" i="12"/>
  <c r="J62" i="12"/>
  <c r="G62" i="12"/>
  <c r="AC61" i="12"/>
  <c r="AY61" i="12" s="1"/>
  <c r="AV60" i="12"/>
  <c r="AW60" i="12" s="1"/>
  <c r="AR60" i="12"/>
  <c r="AS60" i="12" s="1"/>
  <c r="AN60" i="12"/>
  <c r="AO60" i="12" s="1"/>
  <c r="AJ60" i="12"/>
  <c r="AK60" i="12" s="1"/>
  <c r="AF60" i="12"/>
  <c r="AG60" i="12" s="1"/>
  <c r="AB59" i="12"/>
  <c r="Y59" i="12"/>
  <c r="V59" i="12"/>
  <c r="S59" i="12"/>
  <c r="P59" i="12"/>
  <c r="M59" i="12"/>
  <c r="J59" i="12"/>
  <c r="G59" i="12"/>
  <c r="AV58" i="12"/>
  <c r="AW58" i="12" s="1"/>
  <c r="AR58" i="12"/>
  <c r="AS58" i="12" s="1"/>
  <c r="AN58" i="12"/>
  <c r="AO58" i="12" s="1"/>
  <c r="AJ58" i="12"/>
  <c r="AK58" i="12" s="1"/>
  <c r="AF58" i="12"/>
  <c r="AG58" i="12" s="1"/>
  <c r="AB58" i="12"/>
  <c r="Y58" i="12"/>
  <c r="V58" i="12"/>
  <c r="S58" i="12"/>
  <c r="P58" i="12"/>
  <c r="M58" i="12"/>
  <c r="J58" i="12"/>
  <c r="G58" i="12"/>
  <c r="AB57" i="12"/>
  <c r="Y57" i="12"/>
  <c r="V57" i="12"/>
  <c r="S57" i="12"/>
  <c r="P57" i="12"/>
  <c r="M57" i="12"/>
  <c r="J57" i="12"/>
  <c r="G57" i="12"/>
  <c r="AV56" i="12"/>
  <c r="AW56" i="12" s="1"/>
  <c r="AR56" i="12"/>
  <c r="AS56" i="12" s="1"/>
  <c r="AN56" i="12"/>
  <c r="AO56" i="12" s="1"/>
  <c r="AJ56" i="12"/>
  <c r="AK56" i="12" s="1"/>
  <c r="AF56" i="12"/>
  <c r="AG56" i="12" s="1"/>
  <c r="AV55" i="12"/>
  <c r="AW55" i="12" s="1"/>
  <c r="AR55" i="12"/>
  <c r="AS55" i="12" s="1"/>
  <c r="AN55" i="12"/>
  <c r="AO55" i="12" s="1"/>
  <c r="AJ55" i="12"/>
  <c r="AK55" i="12" s="1"/>
  <c r="AF55" i="12"/>
  <c r="AG55" i="12" s="1"/>
  <c r="AB55" i="12"/>
  <c r="Y55" i="12"/>
  <c r="V55" i="12"/>
  <c r="S55" i="12"/>
  <c r="P55" i="12"/>
  <c r="M55" i="12"/>
  <c r="J55" i="12"/>
  <c r="G55" i="12"/>
  <c r="AB54" i="12"/>
  <c r="Y54" i="12"/>
  <c r="V54" i="12"/>
  <c r="S54" i="12"/>
  <c r="P54" i="12"/>
  <c r="M54" i="12"/>
  <c r="J54" i="12"/>
  <c r="G54" i="12"/>
  <c r="AV53" i="12"/>
  <c r="AW53" i="12" s="1"/>
  <c r="AR53" i="12"/>
  <c r="AS53" i="12" s="1"/>
  <c r="AN53" i="12"/>
  <c r="AO53" i="12" s="1"/>
  <c r="AJ53" i="12"/>
  <c r="AK53" i="12" s="1"/>
  <c r="AF53" i="12"/>
  <c r="AG53" i="12" s="1"/>
  <c r="AB53" i="12"/>
  <c r="Y53" i="12"/>
  <c r="V53" i="12"/>
  <c r="S53" i="12"/>
  <c r="P53" i="12"/>
  <c r="M53" i="12"/>
  <c r="J53" i="12"/>
  <c r="G53" i="12"/>
  <c r="AB52" i="12"/>
  <c r="Y52" i="12"/>
  <c r="V52" i="12"/>
  <c r="S52" i="12"/>
  <c r="P52" i="12"/>
  <c r="M52" i="12"/>
  <c r="J52" i="12"/>
  <c r="G52" i="12"/>
  <c r="AV51" i="12"/>
  <c r="AW51" i="12" s="1"/>
  <c r="AC51" i="12"/>
  <c r="AY51" i="12" s="1"/>
  <c r="AV50" i="12"/>
  <c r="AW50" i="12" s="1"/>
  <c r="AR50" i="12"/>
  <c r="AS50" i="12" s="1"/>
  <c r="AN50" i="12"/>
  <c r="AO50" i="12" s="1"/>
  <c r="AJ50" i="12"/>
  <c r="AK50" i="12" s="1"/>
  <c r="AF50" i="12"/>
  <c r="AG50" i="12" s="1"/>
  <c r="AB50" i="12"/>
  <c r="Y50" i="12"/>
  <c r="V50" i="12"/>
  <c r="S50" i="12"/>
  <c r="P50" i="12"/>
  <c r="M50" i="12"/>
  <c r="J50" i="12"/>
  <c r="G50" i="12"/>
  <c r="AX49" i="12"/>
  <c r="AB49" i="12"/>
  <c r="Y49" i="12"/>
  <c r="V49" i="12"/>
  <c r="S49" i="12"/>
  <c r="P49" i="12"/>
  <c r="M49" i="12"/>
  <c r="J49" i="12"/>
  <c r="G49" i="12"/>
  <c r="AV48" i="12"/>
  <c r="AW48" i="12" s="1"/>
  <c r="AR48" i="12"/>
  <c r="AS48" i="12" s="1"/>
  <c r="AN48" i="12"/>
  <c r="AO48" i="12" s="1"/>
  <c r="AJ48" i="12"/>
  <c r="AK48" i="12" s="1"/>
  <c r="AF48" i="12"/>
  <c r="AG48" i="12" s="1"/>
  <c r="AV47" i="12"/>
  <c r="AW47" i="12" s="1"/>
  <c r="AR47" i="12"/>
  <c r="AS47" i="12" s="1"/>
  <c r="AN47" i="12"/>
  <c r="AO47" i="12" s="1"/>
  <c r="AJ47" i="12"/>
  <c r="AK47" i="12" s="1"/>
  <c r="AF47" i="12"/>
  <c r="AG47" i="12" s="1"/>
  <c r="AB47" i="12"/>
  <c r="Y47" i="12"/>
  <c r="V47" i="12"/>
  <c r="S47" i="12"/>
  <c r="P47" i="12"/>
  <c r="M47" i="12"/>
  <c r="J47" i="12"/>
  <c r="G47" i="12"/>
  <c r="AX46" i="12"/>
  <c r="AB46" i="12"/>
  <c r="Y46" i="12"/>
  <c r="V46" i="12"/>
  <c r="S46" i="12"/>
  <c r="P46" i="12"/>
  <c r="M46" i="12"/>
  <c r="J46" i="12"/>
  <c r="G46" i="12"/>
  <c r="AV45" i="12"/>
  <c r="AW45" i="12" s="1"/>
  <c r="AR45" i="12"/>
  <c r="AS45" i="12" s="1"/>
  <c r="AN45" i="12"/>
  <c r="AO45" i="12" s="1"/>
  <c r="AJ45" i="12"/>
  <c r="AK45" i="12" s="1"/>
  <c r="AF45" i="12"/>
  <c r="AG45" i="12" s="1"/>
  <c r="AX44" i="12"/>
  <c r="AB44" i="12"/>
  <c r="Y44" i="12"/>
  <c r="V44" i="12"/>
  <c r="S44" i="12"/>
  <c r="P44" i="12"/>
  <c r="M44" i="12"/>
  <c r="J44" i="12"/>
  <c r="G44" i="12"/>
  <c r="AV43" i="12"/>
  <c r="AW43" i="12" s="1"/>
  <c r="AR43" i="12"/>
  <c r="AS43" i="12" s="1"/>
  <c r="AN43" i="12"/>
  <c r="AO43" i="12" s="1"/>
  <c r="AJ43" i="12"/>
  <c r="AK43" i="12" s="1"/>
  <c r="AF43" i="12"/>
  <c r="AG43" i="12" s="1"/>
  <c r="AV42" i="12"/>
  <c r="AW42" i="12" s="1"/>
  <c r="AR42" i="12"/>
  <c r="AS42" i="12" s="1"/>
  <c r="AN42" i="12"/>
  <c r="AO42" i="12" s="1"/>
  <c r="AJ42" i="12"/>
  <c r="AK42" i="12" s="1"/>
  <c r="AF42" i="12"/>
  <c r="AG42" i="12" s="1"/>
  <c r="AB42" i="12"/>
  <c r="Y42" i="12"/>
  <c r="V42" i="12"/>
  <c r="S42" i="12"/>
  <c r="P42" i="12"/>
  <c r="M42" i="12"/>
  <c r="J42" i="12"/>
  <c r="G42" i="12"/>
  <c r="AB41" i="12"/>
  <c r="Y41" i="12"/>
  <c r="V41" i="12"/>
  <c r="S41" i="12"/>
  <c r="P41" i="12"/>
  <c r="M41" i="12"/>
  <c r="J41" i="12"/>
  <c r="G41" i="12"/>
  <c r="AV40" i="12"/>
  <c r="AW40" i="12" s="1"/>
  <c r="AR40" i="12"/>
  <c r="AS40" i="12" s="1"/>
  <c r="AN40" i="12"/>
  <c r="AO40" i="12" s="1"/>
  <c r="AJ40" i="12"/>
  <c r="AK40" i="12" s="1"/>
  <c r="AF40" i="12"/>
  <c r="AG40" i="12" s="1"/>
  <c r="AC39" i="12"/>
  <c r="AY39" i="12" s="1"/>
  <c r="AB38" i="12"/>
  <c r="Y38" i="12"/>
  <c r="V38" i="12"/>
  <c r="S38" i="12"/>
  <c r="P38" i="12"/>
  <c r="M38" i="12"/>
  <c r="J38" i="12"/>
  <c r="G38" i="12"/>
  <c r="AV37" i="12"/>
  <c r="AW37" i="12" s="1"/>
  <c r="AR37" i="12"/>
  <c r="AS37" i="12" s="1"/>
  <c r="AN37" i="12"/>
  <c r="AO37" i="12" s="1"/>
  <c r="AJ37" i="12"/>
  <c r="AK37" i="12" s="1"/>
  <c r="AF37" i="12"/>
  <c r="AG37" i="12" s="1"/>
  <c r="AB37" i="12"/>
  <c r="Y37" i="12"/>
  <c r="V37" i="12"/>
  <c r="S37" i="12"/>
  <c r="P37" i="12"/>
  <c r="M37" i="12"/>
  <c r="J37" i="12"/>
  <c r="G37" i="12"/>
  <c r="AV36" i="12"/>
  <c r="AW36" i="12" s="1"/>
  <c r="AR36" i="12"/>
  <c r="AS36" i="12" s="1"/>
  <c r="AN36" i="12"/>
  <c r="AO36" i="12" s="1"/>
  <c r="AJ36" i="12"/>
  <c r="AK36" i="12" s="1"/>
  <c r="AF36" i="12"/>
  <c r="AG36" i="12" s="1"/>
  <c r="AB35" i="12"/>
  <c r="Y35" i="12"/>
  <c r="V35" i="12"/>
  <c r="S35" i="12"/>
  <c r="P35" i="12"/>
  <c r="M35" i="12"/>
  <c r="J35" i="12"/>
  <c r="G35" i="12"/>
  <c r="AV34" i="12"/>
  <c r="AW34" i="12" s="1"/>
  <c r="AR34" i="12"/>
  <c r="AS34" i="12" s="1"/>
  <c r="AN34" i="12"/>
  <c r="AO34" i="12" s="1"/>
  <c r="AJ34" i="12"/>
  <c r="AK34" i="12" s="1"/>
  <c r="AF34" i="12"/>
  <c r="AG34" i="12" s="1"/>
  <c r="AB34" i="12"/>
  <c r="Y34" i="12"/>
  <c r="V34" i="12"/>
  <c r="S34" i="12"/>
  <c r="P34" i="12"/>
  <c r="M34" i="12"/>
  <c r="J34" i="12"/>
  <c r="G34" i="12"/>
  <c r="AV33" i="12"/>
  <c r="AW33" i="12" s="1"/>
  <c r="AR33" i="12"/>
  <c r="AS33" i="12" s="1"/>
  <c r="AN33" i="12"/>
  <c r="AO33" i="12" s="1"/>
  <c r="AJ33" i="12"/>
  <c r="AK33" i="12" s="1"/>
  <c r="AF33" i="12"/>
  <c r="AG33" i="12" s="1"/>
  <c r="AB33" i="12"/>
  <c r="Y33" i="12"/>
  <c r="V33" i="12"/>
  <c r="S33" i="12"/>
  <c r="P33" i="12"/>
  <c r="M33" i="12"/>
  <c r="J33" i="12"/>
  <c r="G33" i="12"/>
  <c r="AB32" i="12"/>
  <c r="Y32" i="12"/>
  <c r="V32" i="12"/>
  <c r="S32" i="12"/>
  <c r="P32" i="12"/>
  <c r="M32" i="12"/>
  <c r="J32" i="12"/>
  <c r="G32" i="12"/>
  <c r="AV31" i="12"/>
  <c r="AW31" i="12" s="1"/>
  <c r="AR31" i="12"/>
  <c r="AS31" i="12" s="1"/>
  <c r="AN31" i="12"/>
  <c r="AO31" i="12" s="1"/>
  <c r="AJ31" i="12"/>
  <c r="AK31" i="12" s="1"/>
  <c r="AF31" i="12"/>
  <c r="AG31" i="12" s="1"/>
  <c r="AB30" i="12"/>
  <c r="Y30" i="12"/>
  <c r="V30" i="12"/>
  <c r="S30" i="12"/>
  <c r="P30" i="12"/>
  <c r="M30" i="12"/>
  <c r="J30" i="12"/>
  <c r="G30" i="12"/>
  <c r="AV29" i="12"/>
  <c r="AW29" i="12" s="1"/>
  <c r="AR29" i="12"/>
  <c r="AS29" i="12" s="1"/>
  <c r="AN29" i="12"/>
  <c r="AO29" i="12" s="1"/>
  <c r="AJ29" i="12"/>
  <c r="AK29" i="12" s="1"/>
  <c r="AF29" i="12"/>
  <c r="AG29" i="12" s="1"/>
  <c r="AB29" i="12"/>
  <c r="Y29" i="12"/>
  <c r="V29" i="12"/>
  <c r="S29" i="12"/>
  <c r="P29" i="12"/>
  <c r="M29" i="12"/>
  <c r="J29" i="12"/>
  <c r="G29" i="12"/>
  <c r="AV28" i="12"/>
  <c r="AW28" i="12" s="1"/>
  <c r="AR28" i="12"/>
  <c r="AS28" i="12" s="1"/>
  <c r="AN28" i="12"/>
  <c r="AO28" i="12" s="1"/>
  <c r="AJ28" i="12"/>
  <c r="AK28" i="12" s="1"/>
  <c r="AF28" i="12"/>
  <c r="AG28" i="12" s="1"/>
  <c r="AB27" i="12"/>
  <c r="Y27" i="12"/>
  <c r="V27" i="12"/>
  <c r="S27" i="12"/>
  <c r="P27" i="12"/>
  <c r="M27" i="12"/>
  <c r="J27" i="12"/>
  <c r="G27" i="12"/>
  <c r="AV26" i="12"/>
  <c r="AW26" i="12" s="1"/>
  <c r="AR26" i="12"/>
  <c r="AS26" i="12" s="1"/>
  <c r="AN26" i="12"/>
  <c r="AO26" i="12" s="1"/>
  <c r="AJ26" i="12"/>
  <c r="AK26" i="12" s="1"/>
  <c r="AF26" i="12"/>
  <c r="AG26" i="12" s="1"/>
  <c r="AB26" i="12"/>
  <c r="Y26" i="12"/>
  <c r="V26" i="12"/>
  <c r="S26" i="12"/>
  <c r="P26" i="12"/>
  <c r="M26" i="12"/>
  <c r="J26" i="12"/>
  <c r="G26" i="12"/>
  <c r="AC25" i="12"/>
  <c r="AY25" i="12" s="1"/>
  <c r="AV24" i="12"/>
  <c r="AW24" i="12" s="1"/>
  <c r="AR24" i="12"/>
  <c r="AS24" i="12" s="1"/>
  <c r="AN24" i="12"/>
  <c r="AO24" i="12" s="1"/>
  <c r="AJ24" i="12"/>
  <c r="AK24" i="12" s="1"/>
  <c r="AF24" i="12"/>
  <c r="AG24" i="12" s="1"/>
  <c r="AB24" i="12"/>
  <c r="Y24" i="12"/>
  <c r="V24" i="12"/>
  <c r="S24" i="12"/>
  <c r="P24" i="12"/>
  <c r="M24" i="12"/>
  <c r="J24" i="12"/>
  <c r="G24" i="12"/>
  <c r="AB23" i="12"/>
  <c r="Y23" i="12"/>
  <c r="V23" i="12"/>
  <c r="S23" i="12"/>
  <c r="P23" i="12"/>
  <c r="M23" i="12"/>
  <c r="J23" i="12"/>
  <c r="G23" i="12"/>
  <c r="AV22" i="12"/>
  <c r="AW22" i="12" s="1"/>
  <c r="AR22" i="12"/>
  <c r="AS22" i="12" s="1"/>
  <c r="AN22" i="12"/>
  <c r="AO22" i="12" s="1"/>
  <c r="AJ22" i="12"/>
  <c r="AK22" i="12" s="1"/>
  <c r="AF22" i="12"/>
  <c r="AG22" i="12" s="1"/>
  <c r="AB22" i="12"/>
  <c r="Y22" i="12"/>
  <c r="V22" i="12"/>
  <c r="S22" i="12"/>
  <c r="P22" i="12"/>
  <c r="M22" i="12"/>
  <c r="J22" i="12"/>
  <c r="G22" i="12"/>
  <c r="AB21" i="12"/>
  <c r="Y21" i="12"/>
  <c r="V21" i="12"/>
  <c r="S21" i="12"/>
  <c r="P21" i="12"/>
  <c r="M21" i="12"/>
  <c r="J21" i="12"/>
  <c r="G21" i="12"/>
  <c r="AB20" i="12"/>
  <c r="Y20" i="12"/>
  <c r="V20" i="12"/>
  <c r="S20" i="12"/>
  <c r="P20" i="12"/>
  <c r="M20" i="12"/>
  <c r="J20" i="12"/>
  <c r="G20" i="12"/>
  <c r="AV19" i="12"/>
  <c r="AW19" i="12" s="1"/>
  <c r="AR19" i="12"/>
  <c r="AS19" i="12" s="1"/>
  <c r="AN19" i="12"/>
  <c r="AO19" i="12" s="1"/>
  <c r="AJ19" i="12"/>
  <c r="AK19" i="12" s="1"/>
  <c r="AF19" i="12"/>
  <c r="AG19" i="12" s="1"/>
  <c r="AB18" i="12"/>
  <c r="Y18" i="12"/>
  <c r="V18" i="12"/>
  <c r="S18" i="12"/>
  <c r="P18" i="12"/>
  <c r="M18" i="12"/>
  <c r="J18" i="12"/>
  <c r="G18" i="12"/>
  <c r="AV17" i="12"/>
  <c r="AW17" i="12" s="1"/>
  <c r="AR17" i="12"/>
  <c r="AS17" i="12" s="1"/>
  <c r="AN17" i="12"/>
  <c r="AO17" i="12" s="1"/>
  <c r="AJ17" i="12"/>
  <c r="AK17" i="12" s="1"/>
  <c r="AF17" i="12"/>
  <c r="AG17" i="12" s="1"/>
  <c r="AB17" i="12"/>
  <c r="Y17" i="12"/>
  <c r="V17" i="12"/>
  <c r="S17" i="12"/>
  <c r="P17" i="12"/>
  <c r="M17" i="12"/>
  <c r="J17" i="12"/>
  <c r="G17" i="12"/>
  <c r="AB16" i="12"/>
  <c r="Y16" i="12"/>
  <c r="V16" i="12"/>
  <c r="S16" i="12"/>
  <c r="P16" i="12"/>
  <c r="M16" i="12"/>
  <c r="J16" i="12"/>
  <c r="G16" i="12"/>
  <c r="AV15" i="12"/>
  <c r="AW15" i="12" s="1"/>
  <c r="AR15" i="12"/>
  <c r="AS15" i="12" s="1"/>
  <c r="AN15" i="12"/>
  <c r="AO15" i="12" s="1"/>
  <c r="AJ15" i="12"/>
  <c r="AK15" i="12" s="1"/>
  <c r="AF15" i="12"/>
  <c r="AG15" i="12" s="1"/>
  <c r="AB14" i="12"/>
  <c r="Y14" i="12"/>
  <c r="V14" i="12"/>
  <c r="S14" i="12"/>
  <c r="P14" i="12"/>
  <c r="M14" i="12"/>
  <c r="J14" i="12"/>
  <c r="G14" i="12"/>
  <c r="AV13" i="12"/>
  <c r="AW13" i="12" s="1"/>
  <c r="AR13" i="12"/>
  <c r="AS13" i="12" s="1"/>
  <c r="AN13" i="12"/>
  <c r="AO13" i="12" s="1"/>
  <c r="AJ13" i="12"/>
  <c r="AK13" i="12" s="1"/>
  <c r="AF13" i="12"/>
  <c r="AG13" i="12" s="1"/>
  <c r="AB13" i="12"/>
  <c r="Y13" i="12"/>
  <c r="V13" i="12"/>
  <c r="S13" i="12"/>
  <c r="P13" i="12"/>
  <c r="M13" i="12"/>
  <c r="J13" i="12"/>
  <c r="G13" i="12"/>
  <c r="AB12" i="12"/>
  <c r="Y12" i="12"/>
  <c r="V12" i="12"/>
  <c r="S12" i="12"/>
  <c r="P12" i="12"/>
  <c r="M12" i="12"/>
  <c r="J12" i="12"/>
  <c r="G12" i="12"/>
  <c r="AV11" i="12"/>
  <c r="AW11" i="12" s="1"/>
  <c r="AR11" i="12"/>
  <c r="AS11" i="12" s="1"/>
  <c r="AN11" i="12"/>
  <c r="AO11" i="12" s="1"/>
  <c r="AJ11" i="12"/>
  <c r="AK11" i="12" s="1"/>
  <c r="AF11" i="12"/>
  <c r="AG11" i="12" s="1"/>
  <c r="AB11" i="12"/>
  <c r="Y11" i="12"/>
  <c r="V11" i="12"/>
  <c r="S11" i="12"/>
  <c r="P11" i="12"/>
  <c r="M11" i="12"/>
  <c r="J11" i="12"/>
  <c r="G11" i="12"/>
  <c r="AB10" i="12"/>
  <c r="Y10" i="12"/>
  <c r="V10" i="12"/>
  <c r="S10" i="12"/>
  <c r="P10" i="12"/>
  <c r="M10" i="12"/>
  <c r="J10" i="12"/>
  <c r="G10" i="12"/>
  <c r="AB9" i="12"/>
  <c r="Y9" i="12"/>
  <c r="V9" i="12"/>
  <c r="S9" i="12"/>
  <c r="P9" i="12"/>
  <c r="M9" i="12"/>
  <c r="J9" i="12"/>
  <c r="G9" i="12"/>
  <c r="AB8" i="12"/>
  <c r="Y8" i="12"/>
  <c r="V8" i="12"/>
  <c r="S8" i="12"/>
  <c r="P8" i="12"/>
  <c r="M8" i="12"/>
  <c r="J8" i="12"/>
  <c r="G8" i="12"/>
  <c r="AB7" i="12"/>
  <c r="Y7" i="12"/>
  <c r="V7" i="12"/>
  <c r="S7" i="12"/>
  <c r="P7" i="12"/>
  <c r="M7" i="12"/>
  <c r="J7" i="12"/>
  <c r="G7" i="12"/>
  <c r="AV6" i="12"/>
  <c r="AR6" i="12"/>
  <c r="AN6" i="12"/>
  <c r="AJ6" i="12"/>
  <c r="AK6" i="12" s="1"/>
  <c r="AF6" i="12"/>
  <c r="AB6" i="12"/>
  <c r="Y6" i="12"/>
  <c r="V6" i="12"/>
  <c r="S6" i="12"/>
  <c r="P6" i="12"/>
  <c r="M6" i="12"/>
  <c r="J6" i="12"/>
  <c r="G6" i="12"/>
  <c r="AB5" i="12"/>
  <c r="Y5" i="12"/>
  <c r="V5" i="12"/>
  <c r="S5" i="12"/>
  <c r="P5" i="12"/>
  <c r="M5" i="12"/>
  <c r="J5" i="12"/>
  <c r="G5" i="12"/>
  <c r="AB4" i="12"/>
  <c r="Y4" i="12"/>
  <c r="Y64" i="12" s="1"/>
  <c r="V4" i="12"/>
  <c r="V64" i="12" s="1"/>
  <c r="S4" i="12"/>
  <c r="S64" i="12" s="1"/>
  <c r="P4" i="12"/>
  <c r="P64" i="12" s="1"/>
  <c r="M4" i="12"/>
  <c r="M64" i="12" s="1"/>
  <c r="J4" i="12"/>
  <c r="J64" i="12" s="1"/>
  <c r="G4" i="12"/>
  <c r="G64" i="12" s="1"/>
  <c r="AY3" i="12"/>
  <c r="BF68" i="10"/>
  <c r="BF67" i="10"/>
  <c r="BF66" i="10"/>
  <c r="BF65" i="10"/>
  <c r="AB44" i="11"/>
  <c r="AX33" i="9"/>
  <c r="AK12" i="38" l="1"/>
  <c r="AJ65" i="38"/>
  <c r="AC15" i="38"/>
  <c r="S65" i="38"/>
  <c r="AY5" i="38"/>
  <c r="AW65" i="38"/>
  <c r="AX7" i="38"/>
  <c r="AC65" i="37"/>
  <c r="AY5" i="37"/>
  <c r="AW65" i="37"/>
  <c r="AX7" i="37"/>
  <c r="AC65" i="36"/>
  <c r="AY5" i="36"/>
  <c r="AW65" i="36"/>
  <c r="AX7" i="36"/>
  <c r="AC65" i="35"/>
  <c r="AY5" i="35"/>
  <c r="AW65" i="35"/>
  <c r="AX7" i="35"/>
  <c r="AC65" i="34"/>
  <c r="AY5" i="34"/>
  <c r="AW65" i="34"/>
  <c r="AX7" i="34"/>
  <c r="AC65" i="33"/>
  <c r="AY5" i="33"/>
  <c r="AW65" i="33"/>
  <c r="AX7" i="33"/>
  <c r="AC65" i="32"/>
  <c r="AY5" i="32"/>
  <c r="AW65" i="32"/>
  <c r="AX7" i="32"/>
  <c r="AC65" i="31"/>
  <c r="AY5" i="31"/>
  <c r="AW65" i="31"/>
  <c r="AX7" i="31"/>
  <c r="AC65" i="30"/>
  <c r="AY5" i="30"/>
  <c r="AW65" i="30"/>
  <c r="AX7" i="30"/>
  <c r="AC65" i="29"/>
  <c r="AY5" i="29"/>
  <c r="AW65" i="29"/>
  <c r="AX7" i="29"/>
  <c r="G65" i="28"/>
  <c r="AC5" i="28"/>
  <c r="AX65" i="28"/>
  <c r="AY7" i="28"/>
  <c r="AX65" i="27"/>
  <c r="AY65" i="27" s="1"/>
  <c r="AY7" i="27"/>
  <c r="AY34" i="16"/>
  <c r="AY33" i="16"/>
  <c r="AY29" i="16"/>
  <c r="AY26" i="16"/>
  <c r="AY50" i="16"/>
  <c r="AY47" i="16"/>
  <c r="AY24" i="16"/>
  <c r="AY22" i="16"/>
  <c r="AY55" i="16"/>
  <c r="AY53" i="16"/>
  <c r="AY17" i="16"/>
  <c r="AY13" i="16"/>
  <c r="AY11" i="16"/>
  <c r="AZ69" i="16"/>
  <c r="AW64" i="16"/>
  <c r="AX6" i="16"/>
  <c r="AC64" i="16"/>
  <c r="AY4" i="16"/>
  <c r="AY61" i="15"/>
  <c r="P64" i="15"/>
  <c r="AX43" i="15"/>
  <c r="AY25" i="15"/>
  <c r="AY51" i="15"/>
  <c r="AY39" i="15"/>
  <c r="G64" i="15"/>
  <c r="M64" i="15"/>
  <c r="S64" i="15"/>
  <c r="J64" i="15"/>
  <c r="Y64" i="15"/>
  <c r="V64" i="15"/>
  <c r="AB64" i="15"/>
  <c r="AC4" i="15"/>
  <c r="AC5" i="15"/>
  <c r="AC6" i="15"/>
  <c r="AF64" i="15"/>
  <c r="AG6" i="15"/>
  <c r="AG64" i="15" s="1"/>
  <c r="AJ64" i="15"/>
  <c r="AK6" i="15"/>
  <c r="AK64" i="15" s="1"/>
  <c r="AN64" i="15"/>
  <c r="AO6" i="15"/>
  <c r="AO64" i="15" s="1"/>
  <c r="AR64" i="15"/>
  <c r="AS6" i="15"/>
  <c r="AS64" i="15" s="1"/>
  <c r="AV64" i="15"/>
  <c r="AW6" i="15"/>
  <c r="AC7" i="15"/>
  <c r="AC8" i="15"/>
  <c r="AC9" i="15"/>
  <c r="AC10" i="15"/>
  <c r="AC11" i="15"/>
  <c r="AX11" i="15"/>
  <c r="AC12" i="15"/>
  <c r="AC13" i="15"/>
  <c r="AX13" i="15"/>
  <c r="AC14" i="15"/>
  <c r="AX15" i="15"/>
  <c r="AC16" i="15"/>
  <c r="AC17" i="15"/>
  <c r="AX17" i="15"/>
  <c r="AC18" i="15"/>
  <c r="AX19" i="15"/>
  <c r="AY19" i="15" s="1"/>
  <c r="AC20" i="15"/>
  <c r="AC21" i="15"/>
  <c r="AC22" i="15"/>
  <c r="AX22" i="15"/>
  <c r="AC23" i="15"/>
  <c r="AC24" i="15"/>
  <c r="AX24" i="15"/>
  <c r="AC26" i="15"/>
  <c r="AX26" i="15"/>
  <c r="AC27" i="15"/>
  <c r="AX28" i="15"/>
  <c r="AC29" i="15"/>
  <c r="AX29" i="15"/>
  <c r="AC30" i="15"/>
  <c r="AX31" i="15"/>
  <c r="AC32" i="15"/>
  <c r="AC33" i="15"/>
  <c r="AX33" i="15"/>
  <c r="AC34" i="15"/>
  <c r="AX34" i="15"/>
  <c r="AC35" i="15"/>
  <c r="AX36" i="15"/>
  <c r="AC37" i="15"/>
  <c r="AC38" i="15"/>
  <c r="AX40" i="15"/>
  <c r="AC41" i="15"/>
  <c r="AC42" i="15"/>
  <c r="AX42" i="15"/>
  <c r="AY43" i="15"/>
  <c r="AC44" i="15"/>
  <c r="AX45" i="15"/>
  <c r="AC46" i="15"/>
  <c r="AY46" i="15" s="1"/>
  <c r="AC47" i="15"/>
  <c r="AX47" i="15"/>
  <c r="AX48" i="15"/>
  <c r="AC49" i="15"/>
  <c r="AC50" i="15"/>
  <c r="AX50" i="15"/>
  <c r="AC52" i="15"/>
  <c r="AC53" i="15"/>
  <c r="AX53" i="15"/>
  <c r="AC54" i="15"/>
  <c r="AC55" i="15"/>
  <c r="AX55" i="15"/>
  <c r="AX56" i="15"/>
  <c r="AC57" i="15"/>
  <c r="AC58" i="15"/>
  <c r="AX58" i="15"/>
  <c r="AC59" i="15"/>
  <c r="AX60" i="15"/>
  <c r="AC62" i="15"/>
  <c r="AC63" i="15"/>
  <c r="AX17" i="14"/>
  <c r="AX55" i="14"/>
  <c r="AX15" i="14"/>
  <c r="AY15" i="14" s="1"/>
  <c r="AC52" i="14"/>
  <c r="AX33" i="14"/>
  <c r="AX40" i="14"/>
  <c r="AY40" i="14" s="1"/>
  <c r="AK64" i="14"/>
  <c r="AX42" i="14"/>
  <c r="AX47" i="14"/>
  <c r="AX31" i="14"/>
  <c r="AY31" i="14" s="1"/>
  <c r="AX60" i="14"/>
  <c r="AY60" i="14" s="1"/>
  <c r="AX29" i="14"/>
  <c r="AX19" i="14"/>
  <c r="AY19" i="14" s="1"/>
  <c r="AX37" i="14"/>
  <c r="AX53" i="14"/>
  <c r="S64" i="14"/>
  <c r="AC14" i="14"/>
  <c r="AY14" i="14" s="1"/>
  <c r="AC33" i="14"/>
  <c r="AC35" i="14"/>
  <c r="AY35" i="14" s="1"/>
  <c r="P64" i="14"/>
  <c r="AC6" i="14"/>
  <c r="AC7" i="14"/>
  <c r="AY7" i="14" s="1"/>
  <c r="AC49" i="14"/>
  <c r="AY49" i="14" s="1"/>
  <c r="AC22" i="14"/>
  <c r="AC12" i="14"/>
  <c r="AY12" i="14" s="1"/>
  <c r="AC13" i="14"/>
  <c r="AC8" i="14"/>
  <c r="AY8" i="14" s="1"/>
  <c r="AC17" i="14"/>
  <c r="AC47" i="14"/>
  <c r="AC4" i="14"/>
  <c r="AY4" i="14" s="1"/>
  <c r="AC30" i="14"/>
  <c r="AY30" i="14" s="1"/>
  <c r="AC9" i="14"/>
  <c r="AY9" i="14" s="1"/>
  <c r="AC29" i="14"/>
  <c r="AC58" i="14"/>
  <c r="G64" i="14"/>
  <c r="AC24" i="14"/>
  <c r="AC27" i="14"/>
  <c r="AY27" i="14" s="1"/>
  <c r="AC63" i="14"/>
  <c r="AY63" i="14" s="1"/>
  <c r="AC16" i="14"/>
  <c r="AY16" i="14" s="1"/>
  <c r="AC18" i="14"/>
  <c r="AY18" i="14" s="1"/>
  <c r="AC44" i="14"/>
  <c r="AY44" i="14" s="1"/>
  <c r="AS64" i="14"/>
  <c r="AX13" i="14"/>
  <c r="AX11" i="14"/>
  <c r="AX26" i="14"/>
  <c r="AX24" i="14"/>
  <c r="Y64" i="14"/>
  <c r="AC20" i="14"/>
  <c r="AY20" i="14" s="1"/>
  <c r="AC21" i="14"/>
  <c r="AY21" i="14" s="1"/>
  <c r="AC54" i="14"/>
  <c r="AY54" i="14" s="1"/>
  <c r="AC55" i="14"/>
  <c r="AX56" i="14"/>
  <c r="AY56" i="14" s="1"/>
  <c r="AC57" i="14"/>
  <c r="AY57" i="14" s="1"/>
  <c r="AJ64" i="14"/>
  <c r="AC34" i="14"/>
  <c r="AX34" i="14"/>
  <c r="AX45" i="14"/>
  <c r="AY45" i="14" s="1"/>
  <c r="AX58" i="14"/>
  <c r="AX22" i="14"/>
  <c r="AX48" i="14"/>
  <c r="AY48" i="14" s="1"/>
  <c r="AB64" i="14"/>
  <c r="AO64" i="14"/>
  <c r="AC5" i="14"/>
  <c r="AY5" i="14" s="1"/>
  <c r="AC10" i="14"/>
  <c r="AY10" i="14" s="1"/>
  <c r="AX36" i="14"/>
  <c r="AY36" i="14" s="1"/>
  <c r="AC37" i="14"/>
  <c r="J64" i="14"/>
  <c r="AC11" i="14"/>
  <c r="AV64" i="14"/>
  <c r="AC26" i="14"/>
  <c r="AC38" i="14"/>
  <c r="AY38" i="14" s="1"/>
  <c r="AX50" i="14"/>
  <c r="AC62" i="14"/>
  <c r="AY62" i="14" s="1"/>
  <c r="AG64" i="14"/>
  <c r="AR64" i="14"/>
  <c r="M64" i="14"/>
  <c r="AF64" i="14"/>
  <c r="AW64" i="14"/>
  <c r="AX6" i="14"/>
  <c r="AX28" i="14"/>
  <c r="AY28" i="14" s="1"/>
  <c r="AC42" i="14"/>
  <c r="AC50" i="14"/>
  <c r="AY52" i="14"/>
  <c r="V64" i="14"/>
  <c r="AC23" i="14"/>
  <c r="AY23" i="14" s="1"/>
  <c r="AC32" i="14"/>
  <c r="AY32" i="14" s="1"/>
  <c r="AC41" i="14"/>
  <c r="AY41" i="14" s="1"/>
  <c r="AX43" i="14"/>
  <c r="AY43" i="14" s="1"/>
  <c r="AC46" i="14"/>
  <c r="AY46" i="14" s="1"/>
  <c r="AC53" i="14"/>
  <c r="AC59" i="14"/>
  <c r="AY59" i="14" s="1"/>
  <c r="AN64" i="14"/>
  <c r="AX60" i="13"/>
  <c r="AY60" i="13" s="1"/>
  <c r="AB64" i="13"/>
  <c r="AC4" i="13"/>
  <c r="AC5" i="13"/>
  <c r="AY5" i="13" s="1"/>
  <c r="AC6" i="13"/>
  <c r="AF64" i="13"/>
  <c r="AG6" i="13"/>
  <c r="AG64" i="13" s="1"/>
  <c r="AJ64" i="13"/>
  <c r="AK6" i="13"/>
  <c r="AK64" i="13" s="1"/>
  <c r="AN64" i="13"/>
  <c r="AO6" i="13"/>
  <c r="AO64" i="13" s="1"/>
  <c r="AR64" i="13"/>
  <c r="AS6" i="13"/>
  <c r="AS64" i="13" s="1"/>
  <c r="AV64" i="13"/>
  <c r="AW6" i="13"/>
  <c r="AC7" i="13"/>
  <c r="AY7" i="13" s="1"/>
  <c r="AC8" i="13"/>
  <c r="AY8" i="13" s="1"/>
  <c r="AC9" i="13"/>
  <c r="AY9" i="13" s="1"/>
  <c r="AC10" i="13"/>
  <c r="AY10" i="13" s="1"/>
  <c r="AC11" i="13"/>
  <c r="AX11" i="13"/>
  <c r="AY11" i="13" s="1"/>
  <c r="AC12" i="13"/>
  <c r="AY12" i="13" s="1"/>
  <c r="AC13" i="13"/>
  <c r="AX13" i="13"/>
  <c r="AY13" i="13" s="1"/>
  <c r="AC14" i="13"/>
  <c r="AY14" i="13" s="1"/>
  <c r="AX15" i="13"/>
  <c r="AY15" i="13" s="1"/>
  <c r="AC16" i="13"/>
  <c r="AY16" i="13" s="1"/>
  <c r="AC17" i="13"/>
  <c r="AY17" i="13"/>
  <c r="AC18" i="13"/>
  <c r="AY18" i="13" s="1"/>
  <c r="AX19" i="13"/>
  <c r="AY19" i="13" s="1"/>
  <c r="AC20" i="13"/>
  <c r="AY20" i="13" s="1"/>
  <c r="AC21" i="13"/>
  <c r="AY21" i="13" s="1"/>
  <c r="AC22" i="13"/>
  <c r="AX22" i="13"/>
  <c r="AY22" i="13" s="1"/>
  <c r="AC23" i="13"/>
  <c r="AY23" i="13" s="1"/>
  <c r="AC24" i="13"/>
  <c r="AX24" i="13"/>
  <c r="AY24" i="13" s="1"/>
  <c r="AC26" i="13"/>
  <c r="AX26" i="13"/>
  <c r="AY26" i="13" s="1"/>
  <c r="AC27" i="13"/>
  <c r="AY27" i="13" s="1"/>
  <c r="AX28" i="13"/>
  <c r="AY28" i="13" s="1"/>
  <c r="AC29" i="13"/>
  <c r="AX29" i="13"/>
  <c r="AY29" i="13" s="1"/>
  <c r="AC30" i="13"/>
  <c r="AY30" i="13" s="1"/>
  <c r="AX31" i="13"/>
  <c r="AY31" i="13" s="1"/>
  <c r="AC32" i="13"/>
  <c r="AY32" i="13" s="1"/>
  <c r="AC33" i="13"/>
  <c r="AX33" i="13"/>
  <c r="AY33" i="13" s="1"/>
  <c r="AC34" i="13"/>
  <c r="AX34" i="13"/>
  <c r="AY34" i="13" s="1"/>
  <c r="AC35" i="13"/>
  <c r="AY35" i="13" s="1"/>
  <c r="AX36" i="13"/>
  <c r="AY36" i="13" s="1"/>
  <c r="AC37" i="13"/>
  <c r="AX37" i="13"/>
  <c r="AY37" i="13" s="1"/>
  <c r="AC38" i="13"/>
  <c r="AY38" i="13" s="1"/>
  <c r="AX40" i="13"/>
  <c r="AY40" i="13" s="1"/>
  <c r="AC41" i="13"/>
  <c r="AY41" i="13" s="1"/>
  <c r="AC42" i="13"/>
  <c r="AX42" i="13"/>
  <c r="AY42" i="13" s="1"/>
  <c r="AX43" i="13"/>
  <c r="AY43" i="13" s="1"/>
  <c r="AC44" i="13"/>
  <c r="AY44" i="13"/>
  <c r="AX45" i="13"/>
  <c r="AY45" i="13" s="1"/>
  <c r="AC46" i="13"/>
  <c r="AY46" i="13"/>
  <c r="AC47" i="13"/>
  <c r="AX47" i="13"/>
  <c r="AY47" i="13" s="1"/>
  <c r="AX48" i="13"/>
  <c r="AY48" i="13" s="1"/>
  <c r="AC49" i="13"/>
  <c r="AY49" i="13"/>
  <c r="AC50" i="13"/>
  <c r="AX50" i="13"/>
  <c r="AY50" i="13" s="1"/>
  <c r="AC52" i="13"/>
  <c r="AY52" i="13" s="1"/>
  <c r="AC53" i="13"/>
  <c r="AY53" i="13"/>
  <c r="AC54" i="13"/>
  <c r="AY54" i="13" s="1"/>
  <c r="AC55" i="13"/>
  <c r="AY55" i="13"/>
  <c r="AX56" i="13"/>
  <c r="AY56" i="13" s="1"/>
  <c r="AC57" i="13"/>
  <c r="AY57" i="13" s="1"/>
  <c r="AC58" i="13"/>
  <c r="AX58" i="13"/>
  <c r="AY58" i="13" s="1"/>
  <c r="AC59" i="13"/>
  <c r="AY59" i="13" s="1"/>
  <c r="AC62" i="13"/>
  <c r="AY62" i="13" s="1"/>
  <c r="AC63" i="13"/>
  <c r="AY63" i="13" s="1"/>
  <c r="AB64" i="12"/>
  <c r="AC4" i="12"/>
  <c r="AC5" i="12"/>
  <c r="AY5" i="12" s="1"/>
  <c r="AC6" i="12"/>
  <c r="AF64" i="12"/>
  <c r="AG6" i="12"/>
  <c r="AG64" i="12" s="1"/>
  <c r="AJ64" i="12"/>
  <c r="AK64" i="12"/>
  <c r="AN64" i="12"/>
  <c r="AO6" i="12"/>
  <c r="AO64" i="12" s="1"/>
  <c r="AR64" i="12"/>
  <c r="AS6" i="12"/>
  <c r="AS64" i="12" s="1"/>
  <c r="AV64" i="12"/>
  <c r="AW6" i="12"/>
  <c r="AC7" i="12"/>
  <c r="AY7" i="12" s="1"/>
  <c r="AC8" i="12"/>
  <c r="AY8" i="12" s="1"/>
  <c r="AC9" i="12"/>
  <c r="AY9" i="12" s="1"/>
  <c r="AC10" i="12"/>
  <c r="AY10" i="12" s="1"/>
  <c r="AC11" i="12"/>
  <c r="AX11" i="12"/>
  <c r="AY11" i="12" s="1"/>
  <c r="AC12" i="12"/>
  <c r="AY12" i="12" s="1"/>
  <c r="AC13" i="12"/>
  <c r="AX13" i="12"/>
  <c r="AY13" i="12" s="1"/>
  <c r="AC14" i="12"/>
  <c r="AY14" i="12" s="1"/>
  <c r="AX15" i="12"/>
  <c r="AY15" i="12" s="1"/>
  <c r="AC16" i="12"/>
  <c r="AY16" i="12" s="1"/>
  <c r="AC17" i="12"/>
  <c r="AX17" i="12"/>
  <c r="AY17" i="12" s="1"/>
  <c r="AC18" i="12"/>
  <c r="AY18" i="12" s="1"/>
  <c r="AX19" i="12"/>
  <c r="AY19" i="12" s="1"/>
  <c r="AC20" i="12"/>
  <c r="AY20" i="12" s="1"/>
  <c r="AC21" i="12"/>
  <c r="AY21" i="12" s="1"/>
  <c r="AC22" i="12"/>
  <c r="AX22" i="12"/>
  <c r="AY22" i="12" s="1"/>
  <c r="AC23" i="12"/>
  <c r="AY23" i="12" s="1"/>
  <c r="AC24" i="12"/>
  <c r="AX24" i="12"/>
  <c r="AY24" i="12" s="1"/>
  <c r="AC26" i="12"/>
  <c r="AX26" i="12"/>
  <c r="AY26" i="12" s="1"/>
  <c r="AC27" i="12"/>
  <c r="AY27" i="12" s="1"/>
  <c r="AX28" i="12"/>
  <c r="AY28" i="12" s="1"/>
  <c r="AC29" i="12"/>
  <c r="AX29" i="12"/>
  <c r="AY29" i="12" s="1"/>
  <c r="AC30" i="12"/>
  <c r="AY30" i="12" s="1"/>
  <c r="AX31" i="12"/>
  <c r="AY31" i="12" s="1"/>
  <c r="AC32" i="12"/>
  <c r="AY32" i="12" s="1"/>
  <c r="AC33" i="12"/>
  <c r="AX33" i="12"/>
  <c r="AY33" i="12" s="1"/>
  <c r="AC34" i="12"/>
  <c r="AX34" i="12"/>
  <c r="AY34" i="12" s="1"/>
  <c r="AC35" i="12"/>
  <c r="AY35" i="12" s="1"/>
  <c r="AX36" i="12"/>
  <c r="AY36" i="12" s="1"/>
  <c r="AC37" i="12"/>
  <c r="AX37" i="12"/>
  <c r="AY37" i="12" s="1"/>
  <c r="AC38" i="12"/>
  <c r="AY38" i="12" s="1"/>
  <c r="AX40" i="12"/>
  <c r="AY40" i="12" s="1"/>
  <c r="AC41" i="12"/>
  <c r="AY41" i="12" s="1"/>
  <c r="AC42" i="12"/>
  <c r="AX42" i="12"/>
  <c r="AY42" i="12" s="1"/>
  <c r="AX43" i="12"/>
  <c r="AY43" i="12" s="1"/>
  <c r="AC44" i="12"/>
  <c r="AY44" i="12"/>
  <c r="AX45" i="12"/>
  <c r="AY45" i="12" s="1"/>
  <c r="AC46" i="12"/>
  <c r="AY46" i="12"/>
  <c r="AC47" i="12"/>
  <c r="AX47" i="12"/>
  <c r="AY47" i="12" s="1"/>
  <c r="AX48" i="12"/>
  <c r="AY48" i="12" s="1"/>
  <c r="AC49" i="12"/>
  <c r="AY49" i="12"/>
  <c r="AC50" i="12"/>
  <c r="AX50" i="12"/>
  <c r="AY50" i="12" s="1"/>
  <c r="AC52" i="12"/>
  <c r="AY52" i="12" s="1"/>
  <c r="AC53" i="12"/>
  <c r="AX53" i="12"/>
  <c r="AY53" i="12" s="1"/>
  <c r="AC54" i="12"/>
  <c r="AY54" i="12" s="1"/>
  <c r="AC55" i="12"/>
  <c r="AX55" i="12"/>
  <c r="AY55" i="12" s="1"/>
  <c r="AX56" i="12"/>
  <c r="AY56" i="12" s="1"/>
  <c r="AC57" i="12"/>
  <c r="AY57" i="12" s="1"/>
  <c r="AC58" i="12"/>
  <c r="AX58" i="12"/>
  <c r="AY58" i="12" s="1"/>
  <c r="AC59" i="12"/>
  <c r="AY59" i="12" s="1"/>
  <c r="AY60" i="12"/>
  <c r="AC62" i="12"/>
  <c r="AY62" i="12" s="1"/>
  <c r="AC63" i="12"/>
  <c r="AY63" i="12" s="1"/>
  <c r="AV48" i="11"/>
  <c r="AV37" i="11"/>
  <c r="AV47" i="11"/>
  <c r="AV19" i="11"/>
  <c r="AV15" i="11"/>
  <c r="AV13" i="11"/>
  <c r="AV17" i="11"/>
  <c r="AV24" i="11"/>
  <c r="AV22" i="11"/>
  <c r="AV11" i="11"/>
  <c r="AV6" i="11"/>
  <c r="AV50" i="11"/>
  <c r="AV33" i="11"/>
  <c r="AV31" i="11"/>
  <c r="AV45" i="11"/>
  <c r="AV43" i="11"/>
  <c r="AV26" i="11"/>
  <c r="AV29" i="11"/>
  <c r="AR29" i="11"/>
  <c r="AV60" i="11"/>
  <c r="AV58" i="11"/>
  <c r="AV42" i="11"/>
  <c r="AR56" i="11"/>
  <c r="AV55" i="11"/>
  <c r="AV53" i="11"/>
  <c r="AV40" i="11"/>
  <c r="AJ40" i="11"/>
  <c r="AV28" i="11"/>
  <c r="AK65" i="38" l="1"/>
  <c r="AX12" i="38"/>
  <c r="AY15" i="38"/>
  <c r="AC65" i="38"/>
  <c r="AY7" i="38"/>
  <c r="AX65" i="37"/>
  <c r="AY65" i="37" s="1"/>
  <c r="AY7" i="37"/>
  <c r="AX65" i="36"/>
  <c r="AY65" i="36" s="1"/>
  <c r="AY7" i="36"/>
  <c r="AX65" i="35"/>
  <c r="AY65" i="35" s="1"/>
  <c r="AY7" i="35"/>
  <c r="AX65" i="34"/>
  <c r="AY65" i="34" s="1"/>
  <c r="AY7" i="34"/>
  <c r="AX65" i="33"/>
  <c r="AY65" i="33" s="1"/>
  <c r="AY7" i="33"/>
  <c r="AX65" i="32"/>
  <c r="AY65" i="32" s="1"/>
  <c r="AY7" i="32"/>
  <c r="AX65" i="31"/>
  <c r="AY65" i="31" s="1"/>
  <c r="AY7" i="31"/>
  <c r="AX65" i="30"/>
  <c r="AY65" i="30" s="1"/>
  <c r="AY7" i="30"/>
  <c r="AX65" i="29"/>
  <c r="AY65" i="29" s="1"/>
  <c r="AY7" i="29"/>
  <c r="AC65" i="28"/>
  <c r="AY65" i="28" s="1"/>
  <c r="AY5" i="28"/>
  <c r="AX64" i="16"/>
  <c r="AY64" i="16" s="1"/>
  <c r="AZ68" i="16" s="1"/>
  <c r="AY6" i="16"/>
  <c r="AY56" i="15"/>
  <c r="AY44" i="15"/>
  <c r="AY37" i="15"/>
  <c r="AY31" i="15"/>
  <c r="AY24" i="15"/>
  <c r="AY18" i="15"/>
  <c r="AY12" i="15"/>
  <c r="AY63" i="15"/>
  <c r="AY55" i="15"/>
  <c r="AY49" i="15"/>
  <c r="AY36" i="15"/>
  <c r="AY30" i="15"/>
  <c r="AY17" i="15"/>
  <c r="AY11" i="15"/>
  <c r="AY62" i="15"/>
  <c r="AZ69" i="15" s="1"/>
  <c r="AY35" i="15"/>
  <c r="AY23" i="15"/>
  <c r="AY5" i="15"/>
  <c r="AY58" i="15"/>
  <c r="AY60" i="15"/>
  <c r="AY54" i="15"/>
  <c r="AY48" i="15"/>
  <c r="AY34" i="15"/>
  <c r="AY16" i="15"/>
  <c r="AY10" i="15"/>
  <c r="AY59" i="15"/>
  <c r="AY28" i="15"/>
  <c r="AY15" i="15"/>
  <c r="AY9" i="15"/>
  <c r="AY27" i="15"/>
  <c r="AY21" i="15"/>
  <c r="AY14" i="15"/>
  <c r="AY8" i="15"/>
  <c r="AY33" i="15"/>
  <c r="AY52" i="15"/>
  <c r="AY40" i="15"/>
  <c r="AY20" i="15"/>
  <c r="AY7" i="15"/>
  <c r="AY41" i="15"/>
  <c r="AY57" i="15"/>
  <c r="AY50" i="15"/>
  <c r="AY45" i="15"/>
  <c r="AY38" i="15"/>
  <c r="AY32" i="15"/>
  <c r="AY26" i="15"/>
  <c r="AY53" i="15"/>
  <c r="AY47" i="15"/>
  <c r="AY42" i="15"/>
  <c r="AY29" i="15"/>
  <c r="AY22" i="15"/>
  <c r="AY13" i="15"/>
  <c r="AW64" i="15"/>
  <c r="AX6" i="15"/>
  <c r="AC64" i="15"/>
  <c r="AY4" i="15"/>
  <c r="AY47" i="14"/>
  <c r="AY17" i="14"/>
  <c r="AY55" i="14"/>
  <c r="AY33" i="14"/>
  <c r="AY42" i="14"/>
  <c r="AY53" i="14"/>
  <c r="AY37" i="14"/>
  <c r="AY29" i="14"/>
  <c r="AY13" i="14"/>
  <c r="AY58" i="14"/>
  <c r="AY22" i="14"/>
  <c r="AY24" i="14"/>
  <c r="AC64" i="14"/>
  <c r="AY26" i="14"/>
  <c r="AY11" i="14"/>
  <c r="AY34" i="14"/>
  <c r="AX64" i="14"/>
  <c r="AY6" i="14"/>
  <c r="AY50" i="14"/>
  <c r="AW64" i="13"/>
  <c r="AX6" i="13"/>
  <c r="AC64" i="13"/>
  <c r="AY4" i="13"/>
  <c r="AW64" i="12"/>
  <c r="AX6" i="12"/>
  <c r="AC64" i="12"/>
  <c r="AY4" i="12"/>
  <c r="AA64" i="11"/>
  <c r="Z64" i="11"/>
  <c r="X64" i="11"/>
  <c r="W64" i="11"/>
  <c r="U64" i="11"/>
  <c r="T64" i="11"/>
  <c r="R64" i="11"/>
  <c r="Q64" i="11"/>
  <c r="O64" i="11"/>
  <c r="N64" i="11"/>
  <c r="L64" i="11"/>
  <c r="K64" i="11"/>
  <c r="I64" i="11"/>
  <c r="H64" i="11"/>
  <c r="F64" i="11"/>
  <c r="AU64" i="11"/>
  <c r="AT64" i="11"/>
  <c r="AQ64" i="11"/>
  <c r="AP64" i="11"/>
  <c r="AM64" i="11"/>
  <c r="AL64" i="11"/>
  <c r="AI64" i="11"/>
  <c r="AH64" i="11"/>
  <c r="AE64" i="11"/>
  <c r="AD64" i="11"/>
  <c r="E64" i="11"/>
  <c r="AB63" i="11"/>
  <c r="Y63" i="11"/>
  <c r="V63" i="11"/>
  <c r="S63" i="11"/>
  <c r="P63" i="11"/>
  <c r="M63" i="11"/>
  <c r="J63" i="11"/>
  <c r="G63" i="11"/>
  <c r="AB62" i="11"/>
  <c r="Y62" i="11"/>
  <c r="V62" i="11"/>
  <c r="S62" i="11"/>
  <c r="P62" i="11"/>
  <c r="M62" i="11"/>
  <c r="J62" i="11"/>
  <c r="G62" i="11"/>
  <c r="AC61" i="11"/>
  <c r="AY61" i="11" s="1"/>
  <c r="AW60" i="11"/>
  <c r="AR60" i="11"/>
  <c r="AS60" i="11" s="1"/>
  <c r="AN60" i="11"/>
  <c r="AO60" i="11" s="1"/>
  <c r="AJ60" i="11"/>
  <c r="AK60" i="11" s="1"/>
  <c r="AF60" i="11"/>
  <c r="AG60" i="11" s="1"/>
  <c r="AB59" i="11"/>
  <c r="Y59" i="11"/>
  <c r="V59" i="11"/>
  <c r="S59" i="11"/>
  <c r="P59" i="11"/>
  <c r="M59" i="11"/>
  <c r="J59" i="11"/>
  <c r="G59" i="11"/>
  <c r="AW58" i="11"/>
  <c r="AR58" i="11"/>
  <c r="AS58" i="11" s="1"/>
  <c r="AN58" i="11"/>
  <c r="AO58" i="11" s="1"/>
  <c r="AJ58" i="11"/>
  <c r="AK58" i="11" s="1"/>
  <c r="AF58" i="11"/>
  <c r="AG58" i="11" s="1"/>
  <c r="AB58" i="11"/>
  <c r="Y58" i="11"/>
  <c r="V58" i="11"/>
  <c r="S58" i="11"/>
  <c r="P58" i="11"/>
  <c r="M58" i="11"/>
  <c r="J58" i="11"/>
  <c r="G58" i="11"/>
  <c r="AB57" i="11"/>
  <c r="Y57" i="11"/>
  <c r="V57" i="11"/>
  <c r="S57" i="11"/>
  <c r="P57" i="11"/>
  <c r="M57" i="11"/>
  <c r="J57" i="11"/>
  <c r="G57" i="11"/>
  <c r="AV56" i="11"/>
  <c r="AW56" i="11" s="1"/>
  <c r="AS56" i="11"/>
  <c r="AN56" i="11"/>
  <c r="AO56" i="11" s="1"/>
  <c r="AJ56" i="11"/>
  <c r="AK56" i="11" s="1"/>
  <c r="AF56" i="11"/>
  <c r="AG56" i="11" s="1"/>
  <c r="AW55" i="11"/>
  <c r="AR55" i="11"/>
  <c r="AS55" i="11" s="1"/>
  <c r="AN55" i="11"/>
  <c r="AO55" i="11" s="1"/>
  <c r="AJ55" i="11"/>
  <c r="AK55" i="11" s="1"/>
  <c r="AF55" i="11"/>
  <c r="AG55" i="11" s="1"/>
  <c r="AB55" i="11"/>
  <c r="Y55" i="11"/>
  <c r="V55" i="11"/>
  <c r="S55" i="11"/>
  <c r="P55" i="11"/>
  <c r="M55" i="11"/>
  <c r="J55" i="11"/>
  <c r="G55" i="11"/>
  <c r="AB54" i="11"/>
  <c r="Y54" i="11"/>
  <c r="V54" i="11"/>
  <c r="S54" i="11"/>
  <c r="P54" i="11"/>
  <c r="M54" i="11"/>
  <c r="J54" i="11"/>
  <c r="G54" i="11"/>
  <c r="AW53" i="11"/>
  <c r="AR53" i="11"/>
  <c r="AS53" i="11" s="1"/>
  <c r="AN53" i="11"/>
  <c r="AO53" i="11" s="1"/>
  <c r="AJ53" i="11"/>
  <c r="AK53" i="11" s="1"/>
  <c r="AF53" i="11"/>
  <c r="AG53" i="11" s="1"/>
  <c r="AB53" i="11"/>
  <c r="Y53" i="11"/>
  <c r="V53" i="11"/>
  <c r="S53" i="11"/>
  <c r="P53" i="11"/>
  <c r="M53" i="11"/>
  <c r="J53" i="11"/>
  <c r="G53" i="11"/>
  <c r="AB52" i="11"/>
  <c r="Y52" i="11"/>
  <c r="V52" i="11"/>
  <c r="S52" i="11"/>
  <c r="P52" i="11"/>
  <c r="M52" i="11"/>
  <c r="J52" i="11"/>
  <c r="G52" i="11"/>
  <c r="AV51" i="11"/>
  <c r="AW51" i="11" s="1"/>
  <c r="AC51" i="11"/>
  <c r="AY51" i="11" s="1"/>
  <c r="AW50" i="11"/>
  <c r="AR50" i="11"/>
  <c r="AS50" i="11" s="1"/>
  <c r="AN50" i="11"/>
  <c r="AO50" i="11" s="1"/>
  <c r="AJ50" i="11"/>
  <c r="AK50" i="11" s="1"/>
  <c r="AF50" i="11"/>
  <c r="AG50" i="11" s="1"/>
  <c r="AB50" i="11"/>
  <c r="Y50" i="11"/>
  <c r="V50" i="11"/>
  <c r="S50" i="11"/>
  <c r="P50" i="11"/>
  <c r="M50" i="11"/>
  <c r="J50" i="11"/>
  <c r="G50" i="11"/>
  <c r="AX49" i="11"/>
  <c r="AB49" i="11"/>
  <c r="Y49" i="11"/>
  <c r="V49" i="11"/>
  <c r="S49" i="11"/>
  <c r="P49" i="11"/>
  <c r="M49" i="11"/>
  <c r="J49" i="11"/>
  <c r="G49" i="11"/>
  <c r="AW48" i="11"/>
  <c r="AR48" i="11"/>
  <c r="AS48" i="11" s="1"/>
  <c r="AN48" i="11"/>
  <c r="AO48" i="11" s="1"/>
  <c r="AJ48" i="11"/>
  <c r="AK48" i="11" s="1"/>
  <c r="AF48" i="11"/>
  <c r="AG48" i="11" s="1"/>
  <c r="AW47" i="11"/>
  <c r="AR47" i="11"/>
  <c r="AS47" i="11" s="1"/>
  <c r="AN47" i="11"/>
  <c r="AO47" i="11" s="1"/>
  <c r="AJ47" i="11"/>
  <c r="AK47" i="11" s="1"/>
  <c r="AF47" i="11"/>
  <c r="AG47" i="11" s="1"/>
  <c r="AB47" i="11"/>
  <c r="Y47" i="11"/>
  <c r="V47" i="11"/>
  <c r="S47" i="11"/>
  <c r="P47" i="11"/>
  <c r="M47" i="11"/>
  <c r="J47" i="11"/>
  <c r="G47" i="11"/>
  <c r="AX46" i="11"/>
  <c r="AB46" i="11"/>
  <c r="Y46" i="11"/>
  <c r="V46" i="11"/>
  <c r="S46" i="11"/>
  <c r="P46" i="11"/>
  <c r="M46" i="11"/>
  <c r="J46" i="11"/>
  <c r="G46" i="11"/>
  <c r="AW45" i="11"/>
  <c r="AR45" i="11"/>
  <c r="AS45" i="11" s="1"/>
  <c r="AN45" i="11"/>
  <c r="AO45" i="11" s="1"/>
  <c r="AJ45" i="11"/>
  <c r="AK45" i="11" s="1"/>
  <c r="AF45" i="11"/>
  <c r="AG45" i="11" s="1"/>
  <c r="AX44" i="11"/>
  <c r="Y44" i="11"/>
  <c r="V44" i="11"/>
  <c r="S44" i="11"/>
  <c r="P44" i="11"/>
  <c r="M44" i="11"/>
  <c r="J44" i="11"/>
  <c r="G44" i="11"/>
  <c r="AW43" i="11"/>
  <c r="AR43" i="11"/>
  <c r="AS43" i="11" s="1"/>
  <c r="AN43" i="11"/>
  <c r="AO43" i="11" s="1"/>
  <c r="AJ43" i="11"/>
  <c r="AK43" i="11" s="1"/>
  <c r="AF43" i="11"/>
  <c r="AG43" i="11" s="1"/>
  <c r="AW42" i="11"/>
  <c r="AR42" i="11"/>
  <c r="AS42" i="11" s="1"/>
  <c r="AN42" i="11"/>
  <c r="AO42" i="11" s="1"/>
  <c r="AJ42" i="11"/>
  <c r="AK42" i="11" s="1"/>
  <c r="AF42" i="11"/>
  <c r="AG42" i="11" s="1"/>
  <c r="AB42" i="11"/>
  <c r="Y42" i="11"/>
  <c r="V42" i="11"/>
  <c r="S42" i="11"/>
  <c r="P42" i="11"/>
  <c r="M42" i="11"/>
  <c r="J42" i="11"/>
  <c r="G42" i="11"/>
  <c r="AB41" i="11"/>
  <c r="Y41" i="11"/>
  <c r="V41" i="11"/>
  <c r="S41" i="11"/>
  <c r="P41" i="11"/>
  <c r="M41" i="11"/>
  <c r="J41" i="11"/>
  <c r="G41" i="11"/>
  <c r="AW40" i="11"/>
  <c r="AR40" i="11"/>
  <c r="AS40" i="11" s="1"/>
  <c r="AN40" i="11"/>
  <c r="AO40" i="11" s="1"/>
  <c r="AK40" i="11"/>
  <c r="AF40" i="11"/>
  <c r="AG40" i="11" s="1"/>
  <c r="AC39" i="11"/>
  <c r="AY39" i="11" s="1"/>
  <c r="AB38" i="11"/>
  <c r="Y38" i="11"/>
  <c r="V38" i="11"/>
  <c r="S38" i="11"/>
  <c r="P38" i="11"/>
  <c r="M38" i="11"/>
  <c r="J38" i="11"/>
  <c r="G38" i="11"/>
  <c r="AW37" i="11"/>
  <c r="AR37" i="11"/>
  <c r="AS37" i="11" s="1"/>
  <c r="AN37" i="11"/>
  <c r="AO37" i="11" s="1"/>
  <c r="AJ37" i="11"/>
  <c r="AK37" i="11" s="1"/>
  <c r="AF37" i="11"/>
  <c r="AG37" i="11" s="1"/>
  <c r="AB37" i="11"/>
  <c r="Y37" i="11"/>
  <c r="V37" i="11"/>
  <c r="S37" i="11"/>
  <c r="P37" i="11"/>
  <c r="M37" i="11"/>
  <c r="J37" i="11"/>
  <c r="G37" i="11"/>
  <c r="AV36" i="11"/>
  <c r="AW36" i="11" s="1"/>
  <c r="AR36" i="11"/>
  <c r="AS36" i="11" s="1"/>
  <c r="AN36" i="11"/>
  <c r="AO36" i="11" s="1"/>
  <c r="AJ36" i="11"/>
  <c r="AK36" i="11" s="1"/>
  <c r="AF36" i="11"/>
  <c r="AG36" i="11" s="1"/>
  <c r="AB35" i="11"/>
  <c r="Y35" i="11"/>
  <c r="V35" i="11"/>
  <c r="S35" i="11"/>
  <c r="P35" i="11"/>
  <c r="M35" i="11"/>
  <c r="J35" i="11"/>
  <c r="G35" i="11"/>
  <c r="AV34" i="11"/>
  <c r="AW34" i="11" s="1"/>
  <c r="AR34" i="11"/>
  <c r="AS34" i="11" s="1"/>
  <c r="AN34" i="11"/>
  <c r="AO34" i="11" s="1"/>
  <c r="AJ34" i="11"/>
  <c r="AK34" i="11" s="1"/>
  <c r="AF34" i="11"/>
  <c r="AG34" i="11" s="1"/>
  <c r="AB34" i="11"/>
  <c r="Y34" i="11"/>
  <c r="V34" i="11"/>
  <c r="S34" i="11"/>
  <c r="P34" i="11"/>
  <c r="M34" i="11"/>
  <c r="J34" i="11"/>
  <c r="G34" i="11"/>
  <c r="AW33" i="11"/>
  <c r="AR33" i="11"/>
  <c r="AS33" i="11" s="1"/>
  <c r="AN33" i="11"/>
  <c r="AO33" i="11" s="1"/>
  <c r="AJ33" i="11"/>
  <c r="AK33" i="11" s="1"/>
  <c r="AF33" i="11"/>
  <c r="AG33" i="11" s="1"/>
  <c r="AB33" i="11"/>
  <c r="Y33" i="11"/>
  <c r="V33" i="11"/>
  <c r="S33" i="11"/>
  <c r="P33" i="11"/>
  <c r="M33" i="11"/>
  <c r="J33" i="11"/>
  <c r="G33" i="11"/>
  <c r="AB32" i="11"/>
  <c r="Y32" i="11"/>
  <c r="V32" i="11"/>
  <c r="S32" i="11"/>
  <c r="P32" i="11"/>
  <c r="M32" i="11"/>
  <c r="J32" i="11"/>
  <c r="G32" i="11"/>
  <c r="AW31" i="11"/>
  <c r="AR31" i="11"/>
  <c r="AS31" i="11" s="1"/>
  <c r="AN31" i="11"/>
  <c r="AO31" i="11" s="1"/>
  <c r="AJ31" i="11"/>
  <c r="AK31" i="11" s="1"/>
  <c r="AF31" i="11"/>
  <c r="AG31" i="11" s="1"/>
  <c r="AB30" i="11"/>
  <c r="Y30" i="11"/>
  <c r="V30" i="11"/>
  <c r="S30" i="11"/>
  <c r="P30" i="11"/>
  <c r="M30" i="11"/>
  <c r="J30" i="11"/>
  <c r="G30" i="11"/>
  <c r="AW29" i="11"/>
  <c r="AS29" i="11"/>
  <c r="AN29" i="11"/>
  <c r="AO29" i="11" s="1"/>
  <c r="AJ29" i="11"/>
  <c r="AK29" i="11" s="1"/>
  <c r="AF29" i="11"/>
  <c r="AG29" i="11" s="1"/>
  <c r="AB29" i="11"/>
  <c r="Y29" i="11"/>
  <c r="V29" i="11"/>
  <c r="S29" i="11"/>
  <c r="P29" i="11"/>
  <c r="M29" i="11"/>
  <c r="J29" i="11"/>
  <c r="G29" i="11"/>
  <c r="AW28" i="11"/>
  <c r="AR28" i="11"/>
  <c r="AS28" i="11" s="1"/>
  <c r="AN28" i="11"/>
  <c r="AO28" i="11" s="1"/>
  <c r="AJ28" i="11"/>
  <c r="AK28" i="11" s="1"/>
  <c r="AF28" i="11"/>
  <c r="AG28" i="11" s="1"/>
  <c r="AB27" i="11"/>
  <c r="Y27" i="11"/>
  <c r="V27" i="11"/>
  <c r="S27" i="11"/>
  <c r="P27" i="11"/>
  <c r="M27" i="11"/>
  <c r="J27" i="11"/>
  <c r="G27" i="11"/>
  <c r="AW26" i="11"/>
  <c r="AR26" i="11"/>
  <c r="AS26" i="11" s="1"/>
  <c r="AN26" i="11"/>
  <c r="AO26" i="11" s="1"/>
  <c r="AJ26" i="11"/>
  <c r="AK26" i="11" s="1"/>
  <c r="AF26" i="11"/>
  <c r="AG26" i="11" s="1"/>
  <c r="AB26" i="11"/>
  <c r="Y26" i="11"/>
  <c r="V26" i="11"/>
  <c r="S26" i="11"/>
  <c r="P26" i="11"/>
  <c r="M26" i="11"/>
  <c r="J26" i="11"/>
  <c r="G26" i="11"/>
  <c r="AC25" i="11"/>
  <c r="AY25" i="11" s="1"/>
  <c r="AW24" i="11"/>
  <c r="AR24" i="11"/>
  <c r="AS24" i="11" s="1"/>
  <c r="AN24" i="11"/>
  <c r="AO24" i="11" s="1"/>
  <c r="AJ24" i="11"/>
  <c r="AK24" i="11" s="1"/>
  <c r="AF24" i="11"/>
  <c r="AG24" i="11" s="1"/>
  <c r="AB24" i="11"/>
  <c r="Y24" i="11"/>
  <c r="V24" i="11"/>
  <c r="S24" i="11"/>
  <c r="P24" i="11"/>
  <c r="M24" i="11"/>
  <c r="J24" i="11"/>
  <c r="G24" i="11"/>
  <c r="AB23" i="11"/>
  <c r="Y23" i="11"/>
  <c r="V23" i="11"/>
  <c r="S23" i="11"/>
  <c r="P23" i="11"/>
  <c r="M23" i="11"/>
  <c r="J23" i="11"/>
  <c r="G23" i="11"/>
  <c r="AW22" i="11"/>
  <c r="AR22" i="11"/>
  <c r="AS22" i="11" s="1"/>
  <c r="AN22" i="11"/>
  <c r="AO22" i="11" s="1"/>
  <c r="AJ22" i="11"/>
  <c r="AK22" i="11" s="1"/>
  <c r="AF22" i="11"/>
  <c r="AG22" i="11" s="1"/>
  <c r="AB22" i="11"/>
  <c r="Y22" i="11"/>
  <c r="V22" i="11"/>
  <c r="S22" i="11"/>
  <c r="P22" i="11"/>
  <c r="M22" i="11"/>
  <c r="J22" i="11"/>
  <c r="G22" i="11"/>
  <c r="AB21" i="11"/>
  <c r="Y21" i="11"/>
  <c r="V21" i="11"/>
  <c r="S21" i="11"/>
  <c r="P21" i="11"/>
  <c r="M21" i="11"/>
  <c r="J21" i="11"/>
  <c r="G21" i="11"/>
  <c r="AB20" i="11"/>
  <c r="Y20" i="11"/>
  <c r="V20" i="11"/>
  <c r="S20" i="11"/>
  <c r="P20" i="11"/>
  <c r="M20" i="11"/>
  <c r="J20" i="11"/>
  <c r="G20" i="11"/>
  <c r="AW19" i="11"/>
  <c r="AR19" i="11"/>
  <c r="AS19" i="11" s="1"/>
  <c r="AN19" i="11"/>
  <c r="AO19" i="11" s="1"/>
  <c r="AJ19" i="11"/>
  <c r="AK19" i="11" s="1"/>
  <c r="AF19" i="11"/>
  <c r="AG19" i="11" s="1"/>
  <c r="AB18" i="11"/>
  <c r="Y18" i="11"/>
  <c r="V18" i="11"/>
  <c r="S18" i="11"/>
  <c r="P18" i="11"/>
  <c r="M18" i="11"/>
  <c r="J18" i="11"/>
  <c r="G18" i="11"/>
  <c r="AW17" i="11"/>
  <c r="AR17" i="11"/>
  <c r="AS17" i="11" s="1"/>
  <c r="AN17" i="11"/>
  <c r="AO17" i="11" s="1"/>
  <c r="AJ17" i="11"/>
  <c r="AK17" i="11" s="1"/>
  <c r="AF17" i="11"/>
  <c r="AG17" i="11" s="1"/>
  <c r="AB17" i="11"/>
  <c r="Y17" i="11"/>
  <c r="V17" i="11"/>
  <c r="S17" i="11"/>
  <c r="P17" i="11"/>
  <c r="M17" i="11"/>
  <c r="J17" i="11"/>
  <c r="G17" i="11"/>
  <c r="AB16" i="11"/>
  <c r="Y16" i="11"/>
  <c r="V16" i="11"/>
  <c r="S16" i="11"/>
  <c r="P16" i="11"/>
  <c r="M16" i="11"/>
  <c r="J16" i="11"/>
  <c r="G16" i="11"/>
  <c r="AW15" i="11"/>
  <c r="AR15" i="11"/>
  <c r="AS15" i="11" s="1"/>
  <c r="AN15" i="11"/>
  <c r="AO15" i="11" s="1"/>
  <c r="AJ15" i="11"/>
  <c r="AK15" i="11" s="1"/>
  <c r="AF15" i="11"/>
  <c r="AG15" i="11" s="1"/>
  <c r="AB14" i="11"/>
  <c r="Y14" i="11"/>
  <c r="V14" i="11"/>
  <c r="S14" i="11"/>
  <c r="P14" i="11"/>
  <c r="M14" i="11"/>
  <c r="J14" i="11"/>
  <c r="G14" i="11"/>
  <c r="AW13" i="11"/>
  <c r="AR13" i="11"/>
  <c r="AS13" i="11" s="1"/>
  <c r="AN13" i="11"/>
  <c r="AO13" i="11" s="1"/>
  <c r="AJ13" i="11"/>
  <c r="AK13" i="11" s="1"/>
  <c r="AF13" i="11"/>
  <c r="AG13" i="11" s="1"/>
  <c r="AB13" i="11"/>
  <c r="Y13" i="11"/>
  <c r="V13" i="11"/>
  <c r="S13" i="11"/>
  <c r="P13" i="11"/>
  <c r="M13" i="11"/>
  <c r="J13" i="11"/>
  <c r="G13" i="11"/>
  <c r="AB12" i="11"/>
  <c r="Y12" i="11"/>
  <c r="V12" i="11"/>
  <c r="S12" i="11"/>
  <c r="P12" i="11"/>
  <c r="M12" i="11"/>
  <c r="J12" i="11"/>
  <c r="G12" i="11"/>
  <c r="AW11" i="11"/>
  <c r="AR11" i="11"/>
  <c r="AS11" i="11" s="1"/>
  <c r="AN11" i="11"/>
  <c r="AO11" i="11" s="1"/>
  <c r="AJ11" i="11"/>
  <c r="AK11" i="11" s="1"/>
  <c r="AF11" i="11"/>
  <c r="AG11" i="11" s="1"/>
  <c r="AB11" i="11"/>
  <c r="Y11" i="11"/>
  <c r="V11" i="11"/>
  <c r="S11" i="11"/>
  <c r="P11" i="11"/>
  <c r="M11" i="11"/>
  <c r="J11" i="11"/>
  <c r="G11" i="11"/>
  <c r="AB10" i="11"/>
  <c r="Y10" i="11"/>
  <c r="V10" i="11"/>
  <c r="S10" i="11"/>
  <c r="P10" i="11"/>
  <c r="M10" i="11"/>
  <c r="J10" i="11"/>
  <c r="G10" i="11"/>
  <c r="AB9" i="11"/>
  <c r="Y9" i="11"/>
  <c r="V9" i="11"/>
  <c r="S9" i="11"/>
  <c r="P9" i="11"/>
  <c r="M9" i="11"/>
  <c r="J9" i="11"/>
  <c r="G9" i="11"/>
  <c r="AB8" i="11"/>
  <c r="Y8" i="11"/>
  <c r="V8" i="11"/>
  <c r="S8" i="11"/>
  <c r="P8" i="11"/>
  <c r="M8" i="11"/>
  <c r="J8" i="11"/>
  <c r="G8" i="11"/>
  <c r="AB7" i="11"/>
  <c r="Y7" i="11"/>
  <c r="V7" i="11"/>
  <c r="S7" i="11"/>
  <c r="P7" i="11"/>
  <c r="M7" i="11"/>
  <c r="J7" i="11"/>
  <c r="G7" i="11"/>
  <c r="AR6" i="11"/>
  <c r="AN6" i="11"/>
  <c r="AJ6" i="11"/>
  <c r="AF6" i="11"/>
  <c r="AB6" i="11"/>
  <c r="Y6" i="11"/>
  <c r="V6" i="11"/>
  <c r="S6" i="11"/>
  <c r="P6" i="11"/>
  <c r="M6" i="11"/>
  <c r="J6" i="11"/>
  <c r="G6" i="11"/>
  <c r="AB5" i="11"/>
  <c r="Y5" i="11"/>
  <c r="V5" i="11"/>
  <c r="S5" i="11"/>
  <c r="P5" i="11"/>
  <c r="M5" i="11"/>
  <c r="J5" i="11"/>
  <c r="G5" i="11"/>
  <c r="AB4" i="11"/>
  <c r="Y4" i="11"/>
  <c r="V4" i="11"/>
  <c r="S4" i="11"/>
  <c r="P4" i="11"/>
  <c r="M4" i="11"/>
  <c r="J4" i="11"/>
  <c r="G4" i="11"/>
  <c r="AY3" i="11"/>
  <c r="G55" i="10"/>
  <c r="J55" i="10"/>
  <c r="AV43" i="10"/>
  <c r="AW43" i="10" s="1"/>
  <c r="AV45" i="10"/>
  <c r="AW45" i="10" s="1"/>
  <c r="AV48" i="10"/>
  <c r="AW48" i="10" s="1"/>
  <c r="AV40" i="10"/>
  <c r="AW40" i="10" s="1"/>
  <c r="AV34" i="10"/>
  <c r="AV36" i="10"/>
  <c r="AV11" i="10"/>
  <c r="AV13" i="10"/>
  <c r="AV15" i="10"/>
  <c r="AW15" i="10" s="1"/>
  <c r="AV17" i="10"/>
  <c r="AV22" i="10"/>
  <c r="AW22" i="10" s="1"/>
  <c r="AV55" i="10"/>
  <c r="AW55" i="10" s="1"/>
  <c r="AV56" i="10"/>
  <c r="AV60" i="10"/>
  <c r="AU64" i="10"/>
  <c r="AQ64" i="10"/>
  <c r="AM64" i="10"/>
  <c r="AI64" i="10"/>
  <c r="AE64" i="10"/>
  <c r="AA64" i="10"/>
  <c r="X64" i="10"/>
  <c r="U64" i="10"/>
  <c r="R64" i="10"/>
  <c r="O64" i="10"/>
  <c r="L64" i="10"/>
  <c r="I64" i="10"/>
  <c r="F64" i="10"/>
  <c r="G9" i="10"/>
  <c r="G12" i="10"/>
  <c r="G13" i="10"/>
  <c r="G14" i="10"/>
  <c r="G18" i="10"/>
  <c r="G22" i="10"/>
  <c r="G23" i="10"/>
  <c r="G32" i="10"/>
  <c r="G33" i="10"/>
  <c r="G42" i="10"/>
  <c r="G44" i="10"/>
  <c r="G49" i="10"/>
  <c r="G50" i="10"/>
  <c r="G53" i="10"/>
  <c r="G58" i="10"/>
  <c r="G59" i="10"/>
  <c r="G63" i="10"/>
  <c r="G20" i="10"/>
  <c r="G29" i="10"/>
  <c r="G30" i="10"/>
  <c r="G37" i="10"/>
  <c r="G38" i="10"/>
  <c r="G41" i="10"/>
  <c r="G46" i="10"/>
  <c r="G47" i="10"/>
  <c r="G52" i="10"/>
  <c r="G54" i="10"/>
  <c r="G4" i="10"/>
  <c r="AT64" i="10"/>
  <c r="AP64" i="10"/>
  <c r="AL64" i="10"/>
  <c r="AH64" i="10"/>
  <c r="AD64" i="10"/>
  <c r="Z64" i="10"/>
  <c r="W64" i="10"/>
  <c r="Y64" i="10" s="1"/>
  <c r="T64" i="10"/>
  <c r="Q64" i="10"/>
  <c r="N64" i="10"/>
  <c r="K64" i="10"/>
  <c r="H64" i="10"/>
  <c r="E64" i="10"/>
  <c r="G64" i="10" s="1"/>
  <c r="AB63" i="10"/>
  <c r="Y63" i="10"/>
  <c r="V63" i="10"/>
  <c r="S63" i="10"/>
  <c r="P63" i="10"/>
  <c r="M63" i="10"/>
  <c r="J63" i="10"/>
  <c r="AB62" i="10"/>
  <c r="Y62" i="10"/>
  <c r="V62" i="10"/>
  <c r="S62" i="10"/>
  <c r="P62" i="10"/>
  <c r="M62" i="10"/>
  <c r="J62" i="10"/>
  <c r="G62" i="10"/>
  <c r="AW60" i="10"/>
  <c r="AR60" i="10"/>
  <c r="AS60" i="10" s="1"/>
  <c r="AN60" i="10"/>
  <c r="AO60" i="10" s="1"/>
  <c r="AJ60" i="10"/>
  <c r="AK60" i="10" s="1"/>
  <c r="AF60" i="10"/>
  <c r="AG60" i="10" s="1"/>
  <c r="AB59" i="10"/>
  <c r="Y59" i="10"/>
  <c r="V59" i="10"/>
  <c r="S59" i="10"/>
  <c r="P59" i="10"/>
  <c r="M59" i="10"/>
  <c r="J59" i="10"/>
  <c r="AV58" i="10"/>
  <c r="AW58" i="10" s="1"/>
  <c r="AR58" i="10"/>
  <c r="AS58" i="10" s="1"/>
  <c r="AN58" i="10"/>
  <c r="AO58" i="10" s="1"/>
  <c r="AJ58" i="10"/>
  <c r="AK58" i="10" s="1"/>
  <c r="AF58" i="10"/>
  <c r="AG58" i="10" s="1"/>
  <c r="AB58" i="10"/>
  <c r="Y58" i="10"/>
  <c r="V58" i="10"/>
  <c r="S58" i="10"/>
  <c r="P58" i="10"/>
  <c r="M58" i="10"/>
  <c r="J58" i="10"/>
  <c r="AB57" i="10"/>
  <c r="Y57" i="10"/>
  <c r="V57" i="10"/>
  <c r="S57" i="10"/>
  <c r="P57" i="10"/>
  <c r="M57" i="10"/>
  <c r="J57" i="10"/>
  <c r="G57" i="10"/>
  <c r="AW56" i="10"/>
  <c r="AR56" i="10"/>
  <c r="AS56" i="10" s="1"/>
  <c r="AN56" i="10"/>
  <c r="AO56" i="10" s="1"/>
  <c r="AJ56" i="10"/>
  <c r="AK56" i="10" s="1"/>
  <c r="AF56" i="10"/>
  <c r="AG56" i="10" s="1"/>
  <c r="AR55" i="10"/>
  <c r="AS55" i="10" s="1"/>
  <c r="AN55" i="10"/>
  <c r="AO55" i="10" s="1"/>
  <c r="AJ55" i="10"/>
  <c r="AK55" i="10" s="1"/>
  <c r="AF55" i="10"/>
  <c r="AG55" i="10" s="1"/>
  <c r="AB55" i="10"/>
  <c r="Y55" i="10"/>
  <c r="V55" i="10"/>
  <c r="S55" i="10"/>
  <c r="P55" i="10"/>
  <c r="M55" i="10"/>
  <c r="AB54" i="10"/>
  <c r="Y54" i="10"/>
  <c r="V54" i="10"/>
  <c r="S54" i="10"/>
  <c r="P54" i="10"/>
  <c r="M54" i="10"/>
  <c r="J54" i="10"/>
  <c r="AV53" i="10"/>
  <c r="AW53" i="10" s="1"/>
  <c r="AR53" i="10"/>
  <c r="AS53" i="10" s="1"/>
  <c r="AN53" i="10"/>
  <c r="AO53" i="10" s="1"/>
  <c r="AJ53" i="10"/>
  <c r="AK53" i="10" s="1"/>
  <c r="AF53" i="10"/>
  <c r="AG53" i="10" s="1"/>
  <c r="AB53" i="10"/>
  <c r="Y53" i="10"/>
  <c r="V53" i="10"/>
  <c r="S53" i="10"/>
  <c r="P53" i="10"/>
  <c r="M53" i="10"/>
  <c r="J53" i="10"/>
  <c r="AB52" i="10"/>
  <c r="Y52" i="10"/>
  <c r="V52" i="10"/>
  <c r="S52" i="10"/>
  <c r="P52" i="10"/>
  <c r="M52" i="10"/>
  <c r="J52" i="10"/>
  <c r="AV51" i="10"/>
  <c r="AW51" i="10" s="1"/>
  <c r="AV50" i="10"/>
  <c r="AW50" i="10" s="1"/>
  <c r="AR50" i="10"/>
  <c r="AS50" i="10" s="1"/>
  <c r="AN50" i="10"/>
  <c r="AO50" i="10" s="1"/>
  <c r="AJ50" i="10"/>
  <c r="AK50" i="10" s="1"/>
  <c r="AF50" i="10"/>
  <c r="AG50" i="10" s="1"/>
  <c r="AB50" i="10"/>
  <c r="Y50" i="10"/>
  <c r="V50" i="10"/>
  <c r="S50" i="10"/>
  <c r="P50" i="10"/>
  <c r="M50" i="10"/>
  <c r="J50" i="10"/>
  <c r="AX49" i="10"/>
  <c r="AB49" i="10"/>
  <c r="Y49" i="10"/>
  <c r="V49" i="10"/>
  <c r="S49" i="10"/>
  <c r="P49" i="10"/>
  <c r="M49" i="10"/>
  <c r="J49" i="10"/>
  <c r="AR48" i="10"/>
  <c r="AS48" i="10" s="1"/>
  <c r="AN48" i="10"/>
  <c r="AO48" i="10" s="1"/>
  <c r="AJ48" i="10"/>
  <c r="AK48" i="10" s="1"/>
  <c r="AF48" i="10"/>
  <c r="AG48" i="10" s="1"/>
  <c r="AV47" i="10"/>
  <c r="AW47" i="10" s="1"/>
  <c r="AR47" i="10"/>
  <c r="AS47" i="10" s="1"/>
  <c r="AN47" i="10"/>
  <c r="AO47" i="10" s="1"/>
  <c r="AJ47" i="10"/>
  <c r="AK47" i="10" s="1"/>
  <c r="AF47" i="10"/>
  <c r="AG47" i="10" s="1"/>
  <c r="AB47" i="10"/>
  <c r="Y47" i="10"/>
  <c r="V47" i="10"/>
  <c r="S47" i="10"/>
  <c r="P47" i="10"/>
  <c r="M47" i="10"/>
  <c r="J47" i="10"/>
  <c r="AX46" i="10"/>
  <c r="AB46" i="10"/>
  <c r="Y46" i="10"/>
  <c r="V46" i="10"/>
  <c r="S46" i="10"/>
  <c r="P46" i="10"/>
  <c r="M46" i="10"/>
  <c r="J46" i="10"/>
  <c r="AR45" i="10"/>
  <c r="AS45" i="10" s="1"/>
  <c r="AN45" i="10"/>
  <c r="AO45" i="10" s="1"/>
  <c r="AJ45" i="10"/>
  <c r="AK45" i="10" s="1"/>
  <c r="AF45" i="10"/>
  <c r="AG45" i="10" s="1"/>
  <c r="AX44" i="10"/>
  <c r="AB44" i="10"/>
  <c r="Y44" i="10"/>
  <c r="V44" i="10"/>
  <c r="S44" i="10"/>
  <c r="P44" i="10"/>
  <c r="M44" i="10"/>
  <c r="J44" i="10"/>
  <c r="AR43" i="10"/>
  <c r="AS43" i="10" s="1"/>
  <c r="AN43" i="10"/>
  <c r="AO43" i="10" s="1"/>
  <c r="AJ43" i="10"/>
  <c r="AK43" i="10" s="1"/>
  <c r="AF43" i="10"/>
  <c r="AG43" i="10" s="1"/>
  <c r="AV42" i="10"/>
  <c r="AW42" i="10" s="1"/>
  <c r="AR42" i="10"/>
  <c r="AS42" i="10" s="1"/>
  <c r="AN42" i="10"/>
  <c r="AO42" i="10" s="1"/>
  <c r="AJ42" i="10"/>
  <c r="AK42" i="10" s="1"/>
  <c r="AF42" i="10"/>
  <c r="AG42" i="10" s="1"/>
  <c r="AB42" i="10"/>
  <c r="Y42" i="10"/>
  <c r="V42" i="10"/>
  <c r="S42" i="10"/>
  <c r="P42" i="10"/>
  <c r="M42" i="10"/>
  <c r="J42" i="10"/>
  <c r="AB41" i="10"/>
  <c r="Y41" i="10"/>
  <c r="V41" i="10"/>
  <c r="S41" i="10"/>
  <c r="P41" i="10"/>
  <c r="M41" i="10"/>
  <c r="J41" i="10"/>
  <c r="AR40" i="10"/>
  <c r="AS40" i="10" s="1"/>
  <c r="AN40" i="10"/>
  <c r="AO40" i="10" s="1"/>
  <c r="AJ40" i="10"/>
  <c r="AK40" i="10" s="1"/>
  <c r="AF40" i="10"/>
  <c r="AG40" i="10" s="1"/>
  <c r="AB38" i="10"/>
  <c r="Y38" i="10"/>
  <c r="V38" i="10"/>
  <c r="S38" i="10"/>
  <c r="P38" i="10"/>
  <c r="M38" i="10"/>
  <c r="J38" i="10"/>
  <c r="AV37" i="10"/>
  <c r="AW37" i="10" s="1"/>
  <c r="AR37" i="10"/>
  <c r="AS37" i="10" s="1"/>
  <c r="AN37" i="10"/>
  <c r="AO37" i="10" s="1"/>
  <c r="AJ37" i="10"/>
  <c r="AK37" i="10" s="1"/>
  <c r="AF37" i="10"/>
  <c r="AG37" i="10" s="1"/>
  <c r="AB37" i="10"/>
  <c r="Y37" i="10"/>
  <c r="V37" i="10"/>
  <c r="S37" i="10"/>
  <c r="P37" i="10"/>
  <c r="M37" i="10"/>
  <c r="J37" i="10"/>
  <c r="AW36" i="10"/>
  <c r="AR36" i="10"/>
  <c r="AS36" i="10" s="1"/>
  <c r="AN36" i="10"/>
  <c r="AO36" i="10" s="1"/>
  <c r="AJ36" i="10"/>
  <c r="AK36" i="10" s="1"/>
  <c r="AF36" i="10"/>
  <c r="AG36" i="10" s="1"/>
  <c r="AB35" i="10"/>
  <c r="Y35" i="10"/>
  <c r="V35" i="10"/>
  <c r="S35" i="10"/>
  <c r="P35" i="10"/>
  <c r="M35" i="10"/>
  <c r="J35" i="10"/>
  <c r="G35" i="10"/>
  <c r="AW34" i="10"/>
  <c r="AR34" i="10"/>
  <c r="AS34" i="10" s="1"/>
  <c r="AN34" i="10"/>
  <c r="AO34" i="10" s="1"/>
  <c r="AJ34" i="10"/>
  <c r="AK34" i="10" s="1"/>
  <c r="AF34" i="10"/>
  <c r="AG34" i="10" s="1"/>
  <c r="AB34" i="10"/>
  <c r="Y34" i="10"/>
  <c r="V34" i="10"/>
  <c r="S34" i="10"/>
  <c r="P34" i="10"/>
  <c r="M34" i="10"/>
  <c r="J34" i="10"/>
  <c r="G34" i="10"/>
  <c r="AV33" i="10"/>
  <c r="AW33" i="10" s="1"/>
  <c r="AR33" i="10"/>
  <c r="AS33" i="10" s="1"/>
  <c r="AN33" i="10"/>
  <c r="AO33" i="10" s="1"/>
  <c r="AJ33" i="10"/>
  <c r="AK33" i="10" s="1"/>
  <c r="AF33" i="10"/>
  <c r="AG33" i="10" s="1"/>
  <c r="AB33" i="10"/>
  <c r="Y33" i="10"/>
  <c r="V33" i="10"/>
  <c r="S33" i="10"/>
  <c r="P33" i="10"/>
  <c r="M33" i="10"/>
  <c r="J33" i="10"/>
  <c r="AB32" i="10"/>
  <c r="Y32" i="10"/>
  <c r="V32" i="10"/>
  <c r="S32" i="10"/>
  <c r="P32" i="10"/>
  <c r="M32" i="10"/>
  <c r="J32" i="10"/>
  <c r="AV31" i="10"/>
  <c r="AW31" i="10" s="1"/>
  <c r="AR31" i="10"/>
  <c r="AS31" i="10" s="1"/>
  <c r="AN31" i="10"/>
  <c r="AO31" i="10" s="1"/>
  <c r="AJ31" i="10"/>
  <c r="AK31" i="10" s="1"/>
  <c r="AF31" i="10"/>
  <c r="AG31" i="10" s="1"/>
  <c r="AB30" i="10"/>
  <c r="Y30" i="10"/>
  <c r="V30" i="10"/>
  <c r="S30" i="10"/>
  <c r="P30" i="10"/>
  <c r="M30" i="10"/>
  <c r="J30" i="10"/>
  <c r="AV29" i="10"/>
  <c r="AW29" i="10" s="1"/>
  <c r="AR29" i="10"/>
  <c r="AS29" i="10" s="1"/>
  <c r="AN29" i="10"/>
  <c r="AO29" i="10" s="1"/>
  <c r="AJ29" i="10"/>
  <c r="AK29" i="10" s="1"/>
  <c r="AF29" i="10"/>
  <c r="AG29" i="10" s="1"/>
  <c r="AB29" i="10"/>
  <c r="Y29" i="10"/>
  <c r="V29" i="10"/>
  <c r="S29" i="10"/>
  <c r="P29" i="10"/>
  <c r="M29" i="10"/>
  <c r="J29" i="10"/>
  <c r="AV28" i="10"/>
  <c r="AW28" i="10" s="1"/>
  <c r="AR28" i="10"/>
  <c r="AS28" i="10" s="1"/>
  <c r="AN28" i="10"/>
  <c r="AO28" i="10" s="1"/>
  <c r="AJ28" i="10"/>
  <c r="AK28" i="10" s="1"/>
  <c r="AF28" i="10"/>
  <c r="AG28" i="10" s="1"/>
  <c r="AB27" i="10"/>
  <c r="Y27" i="10"/>
  <c r="V27" i="10"/>
  <c r="S27" i="10"/>
  <c r="P27" i="10"/>
  <c r="M27" i="10"/>
  <c r="J27" i="10"/>
  <c r="G27" i="10"/>
  <c r="AV26" i="10"/>
  <c r="AW26" i="10" s="1"/>
  <c r="AR26" i="10"/>
  <c r="AS26" i="10" s="1"/>
  <c r="AN26" i="10"/>
  <c r="AO26" i="10" s="1"/>
  <c r="AJ26" i="10"/>
  <c r="AK26" i="10" s="1"/>
  <c r="AF26" i="10"/>
  <c r="AG26" i="10" s="1"/>
  <c r="AB26" i="10"/>
  <c r="Y26" i="10"/>
  <c r="V26" i="10"/>
  <c r="S26" i="10"/>
  <c r="P26" i="10"/>
  <c r="M26" i="10"/>
  <c r="J26" i="10"/>
  <c r="G26" i="10"/>
  <c r="AV24" i="10"/>
  <c r="AW24" i="10" s="1"/>
  <c r="AR24" i="10"/>
  <c r="AS24" i="10" s="1"/>
  <c r="AN24" i="10"/>
  <c r="AO24" i="10" s="1"/>
  <c r="AJ24" i="10"/>
  <c r="AK24" i="10" s="1"/>
  <c r="AF24" i="10"/>
  <c r="AG24" i="10" s="1"/>
  <c r="AB24" i="10"/>
  <c r="Y24" i="10"/>
  <c r="V24" i="10"/>
  <c r="S24" i="10"/>
  <c r="P24" i="10"/>
  <c r="M24" i="10"/>
  <c r="J24" i="10"/>
  <c r="G24" i="10"/>
  <c r="AB23" i="10"/>
  <c r="Y23" i="10"/>
  <c r="V23" i="10"/>
  <c r="S23" i="10"/>
  <c r="P23" i="10"/>
  <c r="M23" i="10"/>
  <c r="J23" i="10"/>
  <c r="AR22" i="10"/>
  <c r="AS22" i="10" s="1"/>
  <c r="AN22" i="10"/>
  <c r="AO22" i="10" s="1"/>
  <c r="AJ22" i="10"/>
  <c r="AK22" i="10" s="1"/>
  <c r="AF22" i="10"/>
  <c r="AG22" i="10" s="1"/>
  <c r="AB22" i="10"/>
  <c r="Y22" i="10"/>
  <c r="V22" i="10"/>
  <c r="S22" i="10"/>
  <c r="P22" i="10"/>
  <c r="M22" i="10"/>
  <c r="J22" i="10"/>
  <c r="AB21" i="10"/>
  <c r="Y21" i="10"/>
  <c r="V21" i="10"/>
  <c r="S21" i="10"/>
  <c r="P21" i="10"/>
  <c r="M21" i="10"/>
  <c r="J21" i="10"/>
  <c r="G21" i="10"/>
  <c r="AB20" i="10"/>
  <c r="Y20" i="10"/>
  <c r="V20" i="10"/>
  <c r="S20" i="10"/>
  <c r="P20" i="10"/>
  <c r="M20" i="10"/>
  <c r="J20" i="10"/>
  <c r="AV19" i="10"/>
  <c r="AW19" i="10" s="1"/>
  <c r="AR19" i="10"/>
  <c r="AS19" i="10" s="1"/>
  <c r="AN19" i="10"/>
  <c r="AO19" i="10" s="1"/>
  <c r="AJ19" i="10"/>
  <c r="AK19" i="10" s="1"/>
  <c r="AF19" i="10"/>
  <c r="AG19" i="10" s="1"/>
  <c r="AB18" i="10"/>
  <c r="Y18" i="10"/>
  <c r="V18" i="10"/>
  <c r="S18" i="10"/>
  <c r="P18" i="10"/>
  <c r="M18" i="10"/>
  <c r="J18" i="10"/>
  <c r="AW17" i="10"/>
  <c r="AR17" i="10"/>
  <c r="AS17" i="10" s="1"/>
  <c r="AN17" i="10"/>
  <c r="AO17" i="10" s="1"/>
  <c r="AJ17" i="10"/>
  <c r="AK17" i="10" s="1"/>
  <c r="AF17" i="10"/>
  <c r="AG17" i="10" s="1"/>
  <c r="AB17" i="10"/>
  <c r="Y17" i="10"/>
  <c r="V17" i="10"/>
  <c r="S17" i="10"/>
  <c r="P17" i="10"/>
  <c r="M17" i="10"/>
  <c r="J17" i="10"/>
  <c r="G17" i="10"/>
  <c r="AB16" i="10"/>
  <c r="Y16" i="10"/>
  <c r="V16" i="10"/>
  <c r="S16" i="10"/>
  <c r="P16" i="10"/>
  <c r="M16" i="10"/>
  <c r="J16" i="10"/>
  <c r="G16" i="10"/>
  <c r="AR15" i="10"/>
  <c r="AS15" i="10" s="1"/>
  <c r="AN15" i="10"/>
  <c r="AO15" i="10" s="1"/>
  <c r="AJ15" i="10"/>
  <c r="AK15" i="10" s="1"/>
  <c r="AF15" i="10"/>
  <c r="AG15" i="10" s="1"/>
  <c r="AB14" i="10"/>
  <c r="Y14" i="10"/>
  <c r="V14" i="10"/>
  <c r="S14" i="10"/>
  <c r="P14" i="10"/>
  <c r="M14" i="10"/>
  <c r="J14" i="10"/>
  <c r="AW13" i="10"/>
  <c r="AR13" i="10"/>
  <c r="AS13" i="10" s="1"/>
  <c r="AN13" i="10"/>
  <c r="AO13" i="10" s="1"/>
  <c r="AJ13" i="10"/>
  <c r="AK13" i="10" s="1"/>
  <c r="AF13" i="10"/>
  <c r="AG13" i="10" s="1"/>
  <c r="AB13" i="10"/>
  <c r="Y13" i="10"/>
  <c r="V13" i="10"/>
  <c r="S13" i="10"/>
  <c r="P13" i="10"/>
  <c r="M13" i="10"/>
  <c r="J13" i="10"/>
  <c r="AB12" i="10"/>
  <c r="Y12" i="10"/>
  <c r="V12" i="10"/>
  <c r="S12" i="10"/>
  <c r="P12" i="10"/>
  <c r="M12" i="10"/>
  <c r="J12" i="10"/>
  <c r="AW11" i="10"/>
  <c r="AR11" i="10"/>
  <c r="AS11" i="10" s="1"/>
  <c r="AN11" i="10"/>
  <c r="AO11" i="10" s="1"/>
  <c r="AJ11" i="10"/>
  <c r="AK11" i="10" s="1"/>
  <c r="AF11" i="10"/>
  <c r="AG11" i="10" s="1"/>
  <c r="AB11" i="10"/>
  <c r="Y11" i="10"/>
  <c r="V11" i="10"/>
  <c r="S11" i="10"/>
  <c r="P11" i="10"/>
  <c r="M11" i="10"/>
  <c r="J11" i="10"/>
  <c r="G11" i="10"/>
  <c r="AB10" i="10"/>
  <c r="Y10" i="10"/>
  <c r="V10" i="10"/>
  <c r="S10" i="10"/>
  <c r="P10" i="10"/>
  <c r="M10" i="10"/>
  <c r="J10" i="10"/>
  <c r="G10" i="10"/>
  <c r="AB9" i="10"/>
  <c r="Y9" i="10"/>
  <c r="V9" i="10"/>
  <c r="S9" i="10"/>
  <c r="P9" i="10"/>
  <c r="M9" i="10"/>
  <c r="J9" i="10"/>
  <c r="AB8" i="10"/>
  <c r="Y8" i="10"/>
  <c r="V8" i="10"/>
  <c r="S8" i="10"/>
  <c r="P8" i="10"/>
  <c r="M8" i="10"/>
  <c r="J8" i="10"/>
  <c r="G8" i="10"/>
  <c r="AB7" i="10"/>
  <c r="Y7" i="10"/>
  <c r="V7" i="10"/>
  <c r="S7" i="10"/>
  <c r="P7" i="10"/>
  <c r="M7" i="10"/>
  <c r="J7" i="10"/>
  <c r="G7" i="10"/>
  <c r="AV6" i="10"/>
  <c r="AW6" i="10" s="1"/>
  <c r="AR6" i="10"/>
  <c r="AS6" i="10" s="1"/>
  <c r="AN6" i="10"/>
  <c r="AO6" i="10" s="1"/>
  <c r="AJ6" i="10"/>
  <c r="AK6" i="10" s="1"/>
  <c r="AF6" i="10"/>
  <c r="AG6" i="10" s="1"/>
  <c r="AB6" i="10"/>
  <c r="Y6" i="10"/>
  <c r="V6" i="10"/>
  <c r="S6" i="10"/>
  <c r="P6" i="10"/>
  <c r="M6" i="10"/>
  <c r="J6" i="10"/>
  <c r="G6" i="10"/>
  <c r="AB5" i="10"/>
  <c r="Y5" i="10"/>
  <c r="V5" i="10"/>
  <c r="S5" i="10"/>
  <c r="P5" i="10"/>
  <c r="M5" i="10"/>
  <c r="J5" i="10"/>
  <c r="G5" i="10"/>
  <c r="AB4" i="10"/>
  <c r="Y4" i="10"/>
  <c r="V4" i="10"/>
  <c r="S4" i="10"/>
  <c r="P4" i="10"/>
  <c r="M4" i="10"/>
  <c r="J4" i="10"/>
  <c r="AY3" i="10"/>
  <c r="AV29" i="9"/>
  <c r="F13" i="9"/>
  <c r="F27" i="9"/>
  <c r="AU64" i="9"/>
  <c r="AU60" i="9"/>
  <c r="AU58" i="9"/>
  <c r="AU56" i="9"/>
  <c r="AU55" i="9"/>
  <c r="AU53" i="9"/>
  <c r="AU50" i="9"/>
  <c r="AU48" i="9"/>
  <c r="AU47" i="9"/>
  <c r="AU45" i="9"/>
  <c r="AU43" i="9"/>
  <c r="AU42" i="9"/>
  <c r="AU40" i="9"/>
  <c r="AU37" i="9"/>
  <c r="AU36" i="9"/>
  <c r="AU34" i="9"/>
  <c r="AU33" i="9"/>
  <c r="AU31" i="9"/>
  <c r="AU29" i="9"/>
  <c r="AU28" i="9"/>
  <c r="AU26" i="9"/>
  <c r="AU24" i="9"/>
  <c r="AU22" i="9"/>
  <c r="AU19" i="9"/>
  <c r="AU17" i="9"/>
  <c r="AU15" i="9"/>
  <c r="AU13" i="9"/>
  <c r="AU11" i="9"/>
  <c r="AU6" i="9"/>
  <c r="AQ64" i="9"/>
  <c r="AQ60" i="9"/>
  <c r="AQ58" i="9"/>
  <c r="AQ56" i="9"/>
  <c r="AQ55" i="9"/>
  <c r="AQ53" i="9"/>
  <c r="AQ50" i="9"/>
  <c r="AQ48" i="9"/>
  <c r="AQ47" i="9"/>
  <c r="AQ45" i="9"/>
  <c r="AQ43" i="9"/>
  <c r="AQ42" i="9"/>
  <c r="AQ40" i="9"/>
  <c r="AQ37" i="9"/>
  <c r="AQ36" i="9"/>
  <c r="AQ34" i="9"/>
  <c r="AQ33" i="9"/>
  <c r="AQ31" i="9"/>
  <c r="AQ29" i="9"/>
  <c r="AQ28" i="9"/>
  <c r="AQ26" i="9"/>
  <c r="AQ24" i="9"/>
  <c r="AQ22" i="9"/>
  <c r="AQ19" i="9"/>
  <c r="AQ17" i="9"/>
  <c r="AQ15" i="9"/>
  <c r="AQ13" i="9"/>
  <c r="AQ11" i="9"/>
  <c r="AQ6" i="9"/>
  <c r="AM64" i="9"/>
  <c r="AM60" i="9"/>
  <c r="AM58" i="9"/>
  <c r="AM56" i="9"/>
  <c r="AM55" i="9"/>
  <c r="AM53" i="9"/>
  <c r="AM50" i="9"/>
  <c r="AM48" i="9"/>
  <c r="AM47" i="9"/>
  <c r="AM45" i="9"/>
  <c r="AM43" i="9"/>
  <c r="AM42" i="9"/>
  <c r="AM40" i="9"/>
  <c r="AM37" i="9"/>
  <c r="AM36" i="9"/>
  <c r="AM34" i="9"/>
  <c r="AM33" i="9"/>
  <c r="AM31" i="9"/>
  <c r="AM29" i="9"/>
  <c r="AM28" i="9"/>
  <c r="AM26" i="9"/>
  <c r="AM24" i="9"/>
  <c r="AM22" i="9"/>
  <c r="AM19" i="9"/>
  <c r="AM17" i="9"/>
  <c r="AM15" i="9"/>
  <c r="AM13" i="9"/>
  <c r="AM11" i="9"/>
  <c r="AM6" i="9"/>
  <c r="AI64" i="9"/>
  <c r="AI60" i="9"/>
  <c r="AI58" i="9"/>
  <c r="AI56" i="9"/>
  <c r="AI55" i="9"/>
  <c r="AI53" i="9"/>
  <c r="AI50" i="9"/>
  <c r="AI48" i="9"/>
  <c r="AI47" i="9"/>
  <c r="AI45" i="9"/>
  <c r="AI43" i="9"/>
  <c r="AI42" i="9"/>
  <c r="AI40" i="9"/>
  <c r="AI37" i="9"/>
  <c r="AI36" i="9"/>
  <c r="AI34" i="9"/>
  <c r="AI33" i="9"/>
  <c r="AI31" i="9"/>
  <c r="AI29" i="9"/>
  <c r="AI28" i="9"/>
  <c r="AI26" i="9"/>
  <c r="AI24" i="9"/>
  <c r="AI22" i="9"/>
  <c r="AI19" i="9"/>
  <c r="AI17" i="9"/>
  <c r="AI15" i="9"/>
  <c r="AI13" i="9"/>
  <c r="AI11" i="9"/>
  <c r="AI6" i="9"/>
  <c r="AE60" i="9"/>
  <c r="AE58" i="9"/>
  <c r="AE56" i="9"/>
  <c r="AE55" i="9"/>
  <c r="AE53" i="9"/>
  <c r="AE50" i="9"/>
  <c r="AE48" i="9"/>
  <c r="AE47" i="9"/>
  <c r="AE45" i="9"/>
  <c r="AE43" i="9"/>
  <c r="AE42" i="9"/>
  <c r="AE40" i="9"/>
  <c r="AE37" i="9"/>
  <c r="AE36" i="9"/>
  <c r="AE34" i="9"/>
  <c r="AE33" i="9"/>
  <c r="AE31" i="9"/>
  <c r="AE29" i="9"/>
  <c r="AE28" i="9"/>
  <c r="AE26" i="9"/>
  <c r="AE24" i="9"/>
  <c r="AE22" i="9"/>
  <c r="AE19" i="9"/>
  <c r="AE17" i="9"/>
  <c r="AE15" i="9"/>
  <c r="AE13" i="9"/>
  <c r="AE11" i="9"/>
  <c r="AE6" i="9"/>
  <c r="AA5" i="9"/>
  <c r="AA6" i="9"/>
  <c r="AA7" i="9"/>
  <c r="AA8" i="9"/>
  <c r="AA9" i="9"/>
  <c r="AA10" i="9"/>
  <c r="AA11" i="9"/>
  <c r="AA12" i="9"/>
  <c r="AA13" i="9"/>
  <c r="AA14" i="9"/>
  <c r="AA16" i="9"/>
  <c r="AA17" i="9"/>
  <c r="AA18" i="9"/>
  <c r="AA20" i="9"/>
  <c r="AA21" i="9"/>
  <c r="AA22" i="9"/>
  <c r="AA23" i="9"/>
  <c r="AA24" i="9"/>
  <c r="AA25" i="9"/>
  <c r="AA26" i="9"/>
  <c r="AA27" i="9"/>
  <c r="AA29" i="9"/>
  <c r="AA30" i="9"/>
  <c r="AA32" i="9"/>
  <c r="AA33" i="9"/>
  <c r="AA34" i="9"/>
  <c r="AA35" i="9"/>
  <c r="AA37" i="9"/>
  <c r="AA38" i="9"/>
  <c r="AA39" i="9"/>
  <c r="AA41" i="9"/>
  <c r="AA42" i="9"/>
  <c r="AA44" i="9"/>
  <c r="AA46" i="9"/>
  <c r="AA47" i="9"/>
  <c r="AA49" i="9"/>
  <c r="AA50" i="9"/>
  <c r="AA51" i="9"/>
  <c r="AA52" i="9"/>
  <c r="AA53" i="9"/>
  <c r="AA54" i="9"/>
  <c r="AA55" i="9"/>
  <c r="AA57" i="9"/>
  <c r="AA58" i="9"/>
  <c r="AA59" i="9"/>
  <c r="AA61" i="9"/>
  <c r="AA62" i="9"/>
  <c r="AA63" i="9"/>
  <c r="AA64" i="9"/>
  <c r="AA4" i="9"/>
  <c r="X5" i="9"/>
  <c r="X6" i="9"/>
  <c r="X7" i="9"/>
  <c r="X8" i="9"/>
  <c r="X9" i="9"/>
  <c r="X10" i="9"/>
  <c r="X11" i="9"/>
  <c r="X12" i="9"/>
  <c r="X13" i="9"/>
  <c r="X14" i="9"/>
  <c r="X16" i="9"/>
  <c r="X17" i="9"/>
  <c r="X18" i="9"/>
  <c r="X20" i="9"/>
  <c r="X21" i="9"/>
  <c r="X22" i="9"/>
  <c r="X23" i="9"/>
  <c r="X24" i="9"/>
  <c r="X25" i="9"/>
  <c r="X26" i="9"/>
  <c r="X27" i="9"/>
  <c r="X29" i="9"/>
  <c r="X30" i="9"/>
  <c r="X32" i="9"/>
  <c r="X33" i="9"/>
  <c r="X34" i="9"/>
  <c r="X35" i="9"/>
  <c r="X37" i="9"/>
  <c r="X38" i="9"/>
  <c r="X39" i="9"/>
  <c r="X41" i="9"/>
  <c r="X42" i="9"/>
  <c r="X44" i="9"/>
  <c r="X46" i="9"/>
  <c r="X47" i="9"/>
  <c r="X49" i="9"/>
  <c r="X50" i="9"/>
  <c r="X51" i="9"/>
  <c r="X52" i="9"/>
  <c r="X53" i="9"/>
  <c r="X54" i="9"/>
  <c r="X55" i="9"/>
  <c r="X57" i="9"/>
  <c r="X58" i="9"/>
  <c r="X59" i="9"/>
  <c r="X61" i="9"/>
  <c r="X62" i="9"/>
  <c r="X63" i="9"/>
  <c r="X64" i="9"/>
  <c r="X4" i="9"/>
  <c r="U16" i="9"/>
  <c r="U17" i="9"/>
  <c r="U18" i="9"/>
  <c r="U20" i="9"/>
  <c r="U21" i="9"/>
  <c r="U22" i="9"/>
  <c r="U23" i="9"/>
  <c r="U24" i="9"/>
  <c r="U25" i="9"/>
  <c r="U26" i="9"/>
  <c r="U27" i="9"/>
  <c r="U29" i="9"/>
  <c r="U30" i="9"/>
  <c r="U32" i="9"/>
  <c r="U33" i="9"/>
  <c r="U34" i="9"/>
  <c r="U35" i="9"/>
  <c r="U37" i="9"/>
  <c r="U38" i="9"/>
  <c r="U39" i="9"/>
  <c r="U41" i="9"/>
  <c r="U42" i="9"/>
  <c r="U44" i="9"/>
  <c r="U46" i="9"/>
  <c r="U47" i="9"/>
  <c r="U49" i="9"/>
  <c r="U50" i="9"/>
  <c r="U51" i="9"/>
  <c r="U52" i="9"/>
  <c r="U53" i="9"/>
  <c r="U54" i="9"/>
  <c r="U55" i="9"/>
  <c r="U57" i="9"/>
  <c r="U58" i="9"/>
  <c r="U59" i="9"/>
  <c r="U61" i="9"/>
  <c r="U62" i="9"/>
  <c r="U63" i="9"/>
  <c r="U64" i="9"/>
  <c r="U5" i="9"/>
  <c r="U6" i="9"/>
  <c r="U7" i="9"/>
  <c r="U8" i="9"/>
  <c r="U9" i="9"/>
  <c r="U10" i="9"/>
  <c r="U11" i="9"/>
  <c r="U12" i="9"/>
  <c r="U13" i="9"/>
  <c r="U14" i="9"/>
  <c r="U4" i="9"/>
  <c r="R5" i="9"/>
  <c r="R6" i="9"/>
  <c r="R7" i="9"/>
  <c r="R8" i="9"/>
  <c r="R9" i="9"/>
  <c r="R10" i="9"/>
  <c r="R11" i="9"/>
  <c r="R12" i="9"/>
  <c r="R13" i="9"/>
  <c r="R14" i="9"/>
  <c r="R16" i="9"/>
  <c r="R17" i="9"/>
  <c r="R18" i="9"/>
  <c r="R20" i="9"/>
  <c r="R21" i="9"/>
  <c r="R22" i="9"/>
  <c r="R23" i="9"/>
  <c r="R24" i="9"/>
  <c r="R25" i="9"/>
  <c r="R26" i="9"/>
  <c r="R27" i="9"/>
  <c r="R29" i="9"/>
  <c r="R30" i="9"/>
  <c r="R32" i="9"/>
  <c r="R33" i="9"/>
  <c r="R34" i="9"/>
  <c r="R35" i="9"/>
  <c r="R37" i="9"/>
  <c r="R38" i="9"/>
  <c r="R39" i="9"/>
  <c r="R42" i="9"/>
  <c r="R44" i="9"/>
  <c r="R46" i="9"/>
  <c r="R47" i="9"/>
  <c r="R49" i="9"/>
  <c r="R50" i="9"/>
  <c r="R51" i="9"/>
  <c r="R52" i="9"/>
  <c r="R53" i="9"/>
  <c r="R54" i="9"/>
  <c r="R55" i="9"/>
  <c r="R57" i="9"/>
  <c r="R58" i="9"/>
  <c r="R59" i="9"/>
  <c r="R61" i="9"/>
  <c r="R62" i="9"/>
  <c r="R63" i="9"/>
  <c r="R64" i="9"/>
  <c r="R4" i="9"/>
  <c r="O5" i="9"/>
  <c r="O6" i="9"/>
  <c r="O7" i="9"/>
  <c r="O8" i="9"/>
  <c r="O9" i="9"/>
  <c r="O10" i="9"/>
  <c r="O11" i="9"/>
  <c r="O12" i="9"/>
  <c r="O13" i="9"/>
  <c r="O14" i="9"/>
  <c r="O16" i="9"/>
  <c r="O17" i="9"/>
  <c r="O18" i="9"/>
  <c r="O20" i="9"/>
  <c r="O21" i="9"/>
  <c r="O22" i="9"/>
  <c r="O23" i="9"/>
  <c r="O24" i="9"/>
  <c r="O25" i="9"/>
  <c r="O26" i="9"/>
  <c r="O27" i="9"/>
  <c r="O29" i="9"/>
  <c r="O30" i="9"/>
  <c r="O32" i="9"/>
  <c r="O33" i="9"/>
  <c r="O34" i="9"/>
  <c r="O35" i="9"/>
  <c r="O37" i="9"/>
  <c r="O38" i="9"/>
  <c r="O39" i="9"/>
  <c r="O41" i="9"/>
  <c r="O42" i="9"/>
  <c r="O44" i="9"/>
  <c r="O46" i="9"/>
  <c r="O47" i="9"/>
  <c r="O49" i="9"/>
  <c r="O50" i="9"/>
  <c r="O51" i="9"/>
  <c r="O52" i="9"/>
  <c r="O53" i="9"/>
  <c r="O54" i="9"/>
  <c r="O55" i="9"/>
  <c r="O57" i="9"/>
  <c r="O58" i="9"/>
  <c r="O59" i="9"/>
  <c r="O61" i="9"/>
  <c r="O62" i="9"/>
  <c r="O63" i="9"/>
  <c r="O64" i="9"/>
  <c r="O4" i="9"/>
  <c r="L5" i="9"/>
  <c r="L6" i="9"/>
  <c r="L7" i="9"/>
  <c r="L8" i="9"/>
  <c r="L9" i="9"/>
  <c r="L10" i="9"/>
  <c r="L11" i="9"/>
  <c r="L12" i="9"/>
  <c r="L13" i="9"/>
  <c r="L14" i="9"/>
  <c r="L16" i="9"/>
  <c r="L17" i="9"/>
  <c r="L18" i="9"/>
  <c r="L20" i="9"/>
  <c r="L21" i="9"/>
  <c r="L22" i="9"/>
  <c r="L23" i="9"/>
  <c r="L24" i="9"/>
  <c r="L25" i="9"/>
  <c r="L26" i="9"/>
  <c r="L27" i="9"/>
  <c r="L29" i="9"/>
  <c r="L30" i="9"/>
  <c r="L32" i="9"/>
  <c r="L33" i="9"/>
  <c r="L34" i="9"/>
  <c r="L35" i="9"/>
  <c r="L37" i="9"/>
  <c r="L38" i="9"/>
  <c r="L39" i="9"/>
  <c r="L41" i="9"/>
  <c r="L42" i="9"/>
  <c r="L44" i="9"/>
  <c r="L46" i="9"/>
  <c r="L47" i="9"/>
  <c r="L49" i="9"/>
  <c r="L50" i="9"/>
  <c r="L51" i="9"/>
  <c r="L52" i="9"/>
  <c r="L53" i="9"/>
  <c r="L54" i="9"/>
  <c r="L55" i="9"/>
  <c r="L57" i="9"/>
  <c r="L58" i="9"/>
  <c r="L59" i="9"/>
  <c r="L61" i="9"/>
  <c r="L62" i="9"/>
  <c r="L63" i="9"/>
  <c r="L64" i="9"/>
  <c r="L4" i="9"/>
  <c r="I5" i="9"/>
  <c r="I6" i="9"/>
  <c r="I7" i="9"/>
  <c r="I8" i="9"/>
  <c r="I9" i="9"/>
  <c r="I10" i="9"/>
  <c r="I11" i="9"/>
  <c r="I12" i="9"/>
  <c r="I13" i="9"/>
  <c r="I14" i="9"/>
  <c r="I16" i="9"/>
  <c r="I17" i="9"/>
  <c r="I18" i="9"/>
  <c r="I20" i="9"/>
  <c r="I21" i="9"/>
  <c r="I22" i="9"/>
  <c r="I23" i="9"/>
  <c r="I24" i="9"/>
  <c r="I25" i="9"/>
  <c r="I26" i="9"/>
  <c r="I27" i="9"/>
  <c r="I29" i="9"/>
  <c r="I30" i="9"/>
  <c r="I32" i="9"/>
  <c r="I33" i="9"/>
  <c r="I34" i="9"/>
  <c r="I35" i="9"/>
  <c r="I37" i="9"/>
  <c r="I38" i="9"/>
  <c r="I39" i="9"/>
  <c r="I41" i="9"/>
  <c r="I42" i="9"/>
  <c r="I44" i="9"/>
  <c r="I46" i="9"/>
  <c r="I47" i="9"/>
  <c r="I49" i="9"/>
  <c r="I50" i="9"/>
  <c r="I51" i="9"/>
  <c r="I52" i="9"/>
  <c r="I53" i="9"/>
  <c r="I54" i="9"/>
  <c r="I55" i="9"/>
  <c r="I57" i="9"/>
  <c r="I58" i="9"/>
  <c r="I59" i="9"/>
  <c r="I61" i="9"/>
  <c r="I62" i="9"/>
  <c r="I63" i="9"/>
  <c r="I64" i="9"/>
  <c r="I4" i="9"/>
  <c r="F64" i="9"/>
  <c r="F17" i="9"/>
  <c r="F18" i="9"/>
  <c r="F20" i="9"/>
  <c r="F21" i="9"/>
  <c r="F22" i="9"/>
  <c r="F23" i="9"/>
  <c r="F24" i="9"/>
  <c r="F25" i="9"/>
  <c r="F26" i="9"/>
  <c r="F29" i="9"/>
  <c r="F30" i="9"/>
  <c r="F32" i="9"/>
  <c r="F33" i="9"/>
  <c r="F34" i="9"/>
  <c r="F35" i="9"/>
  <c r="F37" i="9"/>
  <c r="F38" i="9"/>
  <c r="F39" i="9"/>
  <c r="F41" i="9"/>
  <c r="F42" i="9"/>
  <c r="F44" i="9"/>
  <c r="F46" i="9"/>
  <c r="F47" i="9"/>
  <c r="F49" i="9"/>
  <c r="F50" i="9"/>
  <c r="F51" i="9"/>
  <c r="F52" i="9"/>
  <c r="F53" i="9"/>
  <c r="F54" i="9"/>
  <c r="F55" i="9"/>
  <c r="F57" i="9"/>
  <c r="F58" i="9"/>
  <c r="F59" i="9"/>
  <c r="F61" i="9"/>
  <c r="F62" i="9"/>
  <c r="F63" i="9"/>
  <c r="F16" i="9"/>
  <c r="F5" i="9"/>
  <c r="F6" i="9"/>
  <c r="F7" i="9"/>
  <c r="F8" i="9"/>
  <c r="F9" i="9"/>
  <c r="F10" i="9"/>
  <c r="F11" i="9"/>
  <c r="F12" i="9"/>
  <c r="F14" i="9"/>
  <c r="F4" i="9"/>
  <c r="AT64" i="9"/>
  <c r="AV64" i="9" s="1"/>
  <c r="AP64" i="9"/>
  <c r="AR64" i="9" s="1"/>
  <c r="AL64" i="9"/>
  <c r="AN64" i="9" s="1"/>
  <c r="AH64" i="9"/>
  <c r="AJ64" i="9" s="1"/>
  <c r="AE64" i="9"/>
  <c r="AD64" i="9"/>
  <c r="AF64" i="9" s="1"/>
  <c r="Z64" i="9"/>
  <c r="AB64" i="9" s="1"/>
  <c r="W64" i="9"/>
  <c r="Y64" i="9" s="1"/>
  <c r="T64" i="9"/>
  <c r="V64" i="9" s="1"/>
  <c r="Q64" i="9"/>
  <c r="S64" i="9" s="1"/>
  <c r="N64" i="9"/>
  <c r="P64" i="9" s="1"/>
  <c r="K64" i="9"/>
  <c r="M64" i="9" s="1"/>
  <c r="H64" i="9"/>
  <c r="J64" i="9" s="1"/>
  <c r="E64" i="9"/>
  <c r="G64" i="9" s="1"/>
  <c r="AB63" i="9"/>
  <c r="Y63" i="9"/>
  <c r="V63" i="9"/>
  <c r="S63" i="9"/>
  <c r="P63" i="9"/>
  <c r="M63" i="9"/>
  <c r="J63" i="9"/>
  <c r="G63" i="9"/>
  <c r="AB62" i="9"/>
  <c r="Y62" i="9"/>
  <c r="V62" i="9"/>
  <c r="S62" i="9"/>
  <c r="P62" i="9"/>
  <c r="M62" i="9"/>
  <c r="J62" i="9"/>
  <c r="G62" i="9"/>
  <c r="AB61" i="9"/>
  <c r="Y61" i="9"/>
  <c r="V61" i="9"/>
  <c r="S61" i="9"/>
  <c r="P61" i="9"/>
  <c r="M61" i="9"/>
  <c r="J61" i="9"/>
  <c r="G61" i="9"/>
  <c r="AV60" i="9"/>
  <c r="AW60" i="9" s="1"/>
  <c r="AR60" i="9"/>
  <c r="AS60" i="9" s="1"/>
  <c r="AN60" i="9"/>
  <c r="AO60" i="9" s="1"/>
  <c r="AJ60" i="9"/>
  <c r="AK60" i="9" s="1"/>
  <c r="AF60" i="9"/>
  <c r="AG60" i="9" s="1"/>
  <c r="AB59" i="9"/>
  <c r="Y59" i="9"/>
  <c r="V59" i="9"/>
  <c r="S59" i="9"/>
  <c r="P59" i="9"/>
  <c r="M59" i="9"/>
  <c r="J59" i="9"/>
  <c r="G59" i="9"/>
  <c r="AV58" i="9"/>
  <c r="AW58" i="9" s="1"/>
  <c r="AR58" i="9"/>
  <c r="AS58" i="9" s="1"/>
  <c r="AN58" i="9"/>
  <c r="AO58" i="9" s="1"/>
  <c r="AJ58" i="9"/>
  <c r="AK58" i="9" s="1"/>
  <c r="AF58" i="9"/>
  <c r="AG58" i="9" s="1"/>
  <c r="AB58" i="9"/>
  <c r="Y58" i="9"/>
  <c r="V58" i="9"/>
  <c r="S58" i="9"/>
  <c r="P58" i="9"/>
  <c r="M58" i="9"/>
  <c r="J58" i="9"/>
  <c r="G58" i="9"/>
  <c r="AB57" i="9"/>
  <c r="Y57" i="9"/>
  <c r="V57" i="9"/>
  <c r="S57" i="9"/>
  <c r="P57" i="9"/>
  <c r="M57" i="9"/>
  <c r="J57" i="9"/>
  <c r="G57" i="9"/>
  <c r="AV56" i="9"/>
  <c r="AW56" i="9" s="1"/>
  <c r="AR56" i="9"/>
  <c r="AS56" i="9" s="1"/>
  <c r="AN56" i="9"/>
  <c r="AO56" i="9" s="1"/>
  <c r="AJ56" i="9"/>
  <c r="AK56" i="9" s="1"/>
  <c r="AF56" i="9"/>
  <c r="AG56" i="9" s="1"/>
  <c r="AV55" i="9"/>
  <c r="AW55" i="9" s="1"/>
  <c r="AR55" i="9"/>
  <c r="AS55" i="9" s="1"/>
  <c r="AN55" i="9"/>
  <c r="AO55" i="9" s="1"/>
  <c r="AJ55" i="9"/>
  <c r="AK55" i="9" s="1"/>
  <c r="AF55" i="9"/>
  <c r="AG55" i="9" s="1"/>
  <c r="AB55" i="9"/>
  <c r="Y55" i="9"/>
  <c r="V55" i="9"/>
  <c r="S55" i="9"/>
  <c r="P55" i="9"/>
  <c r="M55" i="9"/>
  <c r="J55" i="9"/>
  <c r="G55" i="9"/>
  <c r="AB54" i="9"/>
  <c r="Y54" i="9"/>
  <c r="V54" i="9"/>
  <c r="S54" i="9"/>
  <c r="P54" i="9"/>
  <c r="M54" i="9"/>
  <c r="J54" i="9"/>
  <c r="G54" i="9"/>
  <c r="AV53" i="9"/>
  <c r="AW53" i="9" s="1"/>
  <c r="AR53" i="9"/>
  <c r="AS53" i="9" s="1"/>
  <c r="AN53" i="9"/>
  <c r="AO53" i="9" s="1"/>
  <c r="AJ53" i="9"/>
  <c r="AK53" i="9" s="1"/>
  <c r="AF53" i="9"/>
  <c r="AG53" i="9" s="1"/>
  <c r="AB53" i="9"/>
  <c r="Y53" i="9"/>
  <c r="V53" i="9"/>
  <c r="S53" i="9"/>
  <c r="P53" i="9"/>
  <c r="M53" i="9"/>
  <c r="J53" i="9"/>
  <c r="G53" i="9"/>
  <c r="AU52" i="9"/>
  <c r="AB52" i="9"/>
  <c r="Y52" i="9"/>
  <c r="V52" i="9"/>
  <c r="S52" i="9"/>
  <c r="P52" i="9"/>
  <c r="M52" i="9"/>
  <c r="J52" i="9"/>
  <c r="G52" i="9"/>
  <c r="AU51" i="9"/>
  <c r="AV51" i="9" s="1"/>
  <c r="AW51" i="9" s="1"/>
  <c r="AB51" i="9"/>
  <c r="Y51" i="9"/>
  <c r="V51" i="9"/>
  <c r="S51" i="9"/>
  <c r="P51" i="9"/>
  <c r="M51" i="9"/>
  <c r="J51" i="9"/>
  <c r="G51" i="9"/>
  <c r="AV50" i="9"/>
  <c r="AW50" i="9" s="1"/>
  <c r="AR50" i="9"/>
  <c r="AS50" i="9" s="1"/>
  <c r="AN50" i="9"/>
  <c r="AO50" i="9" s="1"/>
  <c r="AJ50" i="9"/>
  <c r="AK50" i="9" s="1"/>
  <c r="AF50" i="9"/>
  <c r="AG50" i="9" s="1"/>
  <c r="AB50" i="9"/>
  <c r="Y50" i="9"/>
  <c r="V50" i="9"/>
  <c r="S50" i="9"/>
  <c r="P50" i="9"/>
  <c r="M50" i="9"/>
  <c r="J50" i="9"/>
  <c r="G50" i="9"/>
  <c r="AX49" i="9"/>
  <c r="AU49" i="9"/>
  <c r="AB49" i="9"/>
  <c r="Y49" i="9"/>
  <c r="V49" i="9"/>
  <c r="S49" i="9"/>
  <c r="P49" i="9"/>
  <c r="M49" i="9"/>
  <c r="J49" i="9"/>
  <c r="G49" i="9"/>
  <c r="AV48" i="9"/>
  <c r="AW48" i="9" s="1"/>
  <c r="AR48" i="9"/>
  <c r="AS48" i="9" s="1"/>
  <c r="AN48" i="9"/>
  <c r="AO48" i="9" s="1"/>
  <c r="AJ48" i="9"/>
  <c r="AK48" i="9" s="1"/>
  <c r="AF48" i="9"/>
  <c r="AG48" i="9" s="1"/>
  <c r="AV47" i="9"/>
  <c r="AW47" i="9" s="1"/>
  <c r="AR47" i="9"/>
  <c r="AS47" i="9" s="1"/>
  <c r="AN47" i="9"/>
  <c r="AO47" i="9" s="1"/>
  <c r="AJ47" i="9"/>
  <c r="AK47" i="9" s="1"/>
  <c r="AF47" i="9"/>
  <c r="AG47" i="9" s="1"/>
  <c r="AB47" i="9"/>
  <c r="Y47" i="9"/>
  <c r="V47" i="9"/>
  <c r="S47" i="9"/>
  <c r="P47" i="9"/>
  <c r="M47" i="9"/>
  <c r="J47" i="9"/>
  <c r="G47" i="9"/>
  <c r="AX46" i="9"/>
  <c r="AB46" i="9"/>
  <c r="Y46" i="9"/>
  <c r="V46" i="9"/>
  <c r="S46" i="9"/>
  <c r="P46" i="9"/>
  <c r="M46" i="9"/>
  <c r="J46" i="9"/>
  <c r="G46" i="9"/>
  <c r="AV45" i="9"/>
  <c r="AW45" i="9" s="1"/>
  <c r="AR45" i="9"/>
  <c r="AS45" i="9" s="1"/>
  <c r="AN45" i="9"/>
  <c r="AO45" i="9" s="1"/>
  <c r="AJ45" i="9"/>
  <c r="AK45" i="9" s="1"/>
  <c r="AF45" i="9"/>
  <c r="AG45" i="9" s="1"/>
  <c r="AX44" i="9"/>
  <c r="AB44" i="9"/>
  <c r="Y44" i="9"/>
  <c r="V44" i="9"/>
  <c r="S44" i="9"/>
  <c r="P44" i="9"/>
  <c r="M44" i="9"/>
  <c r="J44" i="9"/>
  <c r="G44" i="9"/>
  <c r="AV43" i="9"/>
  <c r="AW43" i="9" s="1"/>
  <c r="AR43" i="9"/>
  <c r="AS43" i="9" s="1"/>
  <c r="AN43" i="9"/>
  <c r="AO43" i="9" s="1"/>
  <c r="AJ43" i="9"/>
  <c r="AK43" i="9" s="1"/>
  <c r="AF43" i="9"/>
  <c r="AG43" i="9" s="1"/>
  <c r="AV42" i="9"/>
  <c r="AW42" i="9" s="1"/>
  <c r="AR42" i="9"/>
  <c r="AS42" i="9" s="1"/>
  <c r="AN42" i="9"/>
  <c r="AO42" i="9" s="1"/>
  <c r="AJ42" i="9"/>
  <c r="AK42" i="9" s="1"/>
  <c r="AF42" i="9"/>
  <c r="AG42" i="9" s="1"/>
  <c r="AB42" i="9"/>
  <c r="Y42" i="9"/>
  <c r="V42" i="9"/>
  <c r="S42" i="9"/>
  <c r="P42" i="9"/>
  <c r="M42" i="9"/>
  <c r="J42" i="9"/>
  <c r="G42" i="9"/>
  <c r="AB41" i="9"/>
  <c r="Y41" i="9"/>
  <c r="V41" i="9"/>
  <c r="S41" i="9"/>
  <c r="P41" i="9"/>
  <c r="M41" i="9"/>
  <c r="J41" i="9"/>
  <c r="G41" i="9"/>
  <c r="AV40" i="9"/>
  <c r="AW40" i="9" s="1"/>
  <c r="AR40" i="9"/>
  <c r="AS40" i="9" s="1"/>
  <c r="AN40" i="9"/>
  <c r="AO40" i="9" s="1"/>
  <c r="AJ40" i="9"/>
  <c r="AK40" i="9" s="1"/>
  <c r="AF40" i="9"/>
  <c r="AG40" i="9" s="1"/>
  <c r="AB39" i="9"/>
  <c r="Y39" i="9"/>
  <c r="V39" i="9"/>
  <c r="S39" i="9"/>
  <c r="P39" i="9"/>
  <c r="M39" i="9"/>
  <c r="J39" i="9"/>
  <c r="G39" i="9"/>
  <c r="AB38" i="9"/>
  <c r="Y38" i="9"/>
  <c r="V38" i="9"/>
  <c r="S38" i="9"/>
  <c r="P38" i="9"/>
  <c r="M38" i="9"/>
  <c r="J38" i="9"/>
  <c r="G38" i="9"/>
  <c r="AV37" i="9"/>
  <c r="AW37" i="9" s="1"/>
  <c r="AR37" i="9"/>
  <c r="AS37" i="9" s="1"/>
  <c r="AN37" i="9"/>
  <c r="AO37" i="9" s="1"/>
  <c r="AJ37" i="9"/>
  <c r="AK37" i="9" s="1"/>
  <c r="AF37" i="9"/>
  <c r="AG37" i="9" s="1"/>
  <c r="AB37" i="9"/>
  <c r="Y37" i="9"/>
  <c r="V37" i="9"/>
  <c r="S37" i="9"/>
  <c r="P37" i="9"/>
  <c r="M37" i="9"/>
  <c r="J37" i="9"/>
  <c r="G37" i="9"/>
  <c r="AV36" i="9"/>
  <c r="AW36" i="9" s="1"/>
  <c r="AR36" i="9"/>
  <c r="AS36" i="9" s="1"/>
  <c r="AN36" i="9"/>
  <c r="AO36" i="9" s="1"/>
  <c r="AJ36" i="9"/>
  <c r="AK36" i="9" s="1"/>
  <c r="AF36" i="9"/>
  <c r="AG36" i="9" s="1"/>
  <c r="AB35" i="9"/>
  <c r="Y35" i="9"/>
  <c r="V35" i="9"/>
  <c r="S35" i="9"/>
  <c r="P35" i="9"/>
  <c r="M35" i="9"/>
  <c r="J35" i="9"/>
  <c r="G35" i="9"/>
  <c r="AV34" i="9"/>
  <c r="AW34" i="9" s="1"/>
  <c r="AR34" i="9"/>
  <c r="AS34" i="9" s="1"/>
  <c r="AN34" i="9"/>
  <c r="AO34" i="9" s="1"/>
  <c r="AJ34" i="9"/>
  <c r="AK34" i="9" s="1"/>
  <c r="AF34" i="9"/>
  <c r="AG34" i="9" s="1"/>
  <c r="AB34" i="9"/>
  <c r="Y34" i="9"/>
  <c r="V34" i="9"/>
  <c r="S34" i="9"/>
  <c r="P34" i="9"/>
  <c r="M34" i="9"/>
  <c r="J34" i="9"/>
  <c r="G34" i="9"/>
  <c r="AV33" i="9"/>
  <c r="AW33" i="9" s="1"/>
  <c r="AR33" i="9"/>
  <c r="AS33" i="9" s="1"/>
  <c r="AN33" i="9"/>
  <c r="AO33" i="9" s="1"/>
  <c r="AJ33" i="9"/>
  <c r="AK33" i="9" s="1"/>
  <c r="AF33" i="9"/>
  <c r="AG33" i="9" s="1"/>
  <c r="AB33" i="9"/>
  <c r="Y33" i="9"/>
  <c r="V33" i="9"/>
  <c r="S33" i="9"/>
  <c r="P33" i="9"/>
  <c r="M33" i="9"/>
  <c r="J33" i="9"/>
  <c r="G33" i="9"/>
  <c r="AB32" i="9"/>
  <c r="Y32" i="9"/>
  <c r="V32" i="9"/>
  <c r="S32" i="9"/>
  <c r="P32" i="9"/>
  <c r="M32" i="9"/>
  <c r="J32" i="9"/>
  <c r="G32" i="9"/>
  <c r="AV31" i="9"/>
  <c r="AW31" i="9" s="1"/>
  <c r="AR31" i="9"/>
  <c r="AS31" i="9" s="1"/>
  <c r="AN31" i="9"/>
  <c r="AO31" i="9" s="1"/>
  <c r="AJ31" i="9"/>
  <c r="AK31" i="9" s="1"/>
  <c r="AF31" i="9"/>
  <c r="AG31" i="9" s="1"/>
  <c r="AU30" i="9"/>
  <c r="AB30" i="9"/>
  <c r="Y30" i="9"/>
  <c r="V30" i="9"/>
  <c r="S30" i="9"/>
  <c r="P30" i="9"/>
  <c r="M30" i="9"/>
  <c r="J30" i="9"/>
  <c r="G30" i="9"/>
  <c r="AW29" i="9"/>
  <c r="AR29" i="9"/>
  <c r="AS29" i="9" s="1"/>
  <c r="AN29" i="9"/>
  <c r="AO29" i="9" s="1"/>
  <c r="AJ29" i="9"/>
  <c r="AK29" i="9" s="1"/>
  <c r="AF29" i="9"/>
  <c r="AG29" i="9" s="1"/>
  <c r="AB29" i="9"/>
  <c r="Y29" i="9"/>
  <c r="V29" i="9"/>
  <c r="S29" i="9"/>
  <c r="P29" i="9"/>
  <c r="M29" i="9"/>
  <c r="J29" i="9"/>
  <c r="G29" i="9"/>
  <c r="AV28" i="9"/>
  <c r="AW28" i="9" s="1"/>
  <c r="AR28" i="9"/>
  <c r="AS28" i="9" s="1"/>
  <c r="AN28" i="9"/>
  <c r="AO28" i="9" s="1"/>
  <c r="AJ28" i="9"/>
  <c r="AK28" i="9" s="1"/>
  <c r="AF28" i="9"/>
  <c r="AG28" i="9" s="1"/>
  <c r="AU27" i="9"/>
  <c r="AB27" i="9"/>
  <c r="Y27" i="9"/>
  <c r="V27" i="9"/>
  <c r="S27" i="9"/>
  <c r="P27" i="9"/>
  <c r="M27" i="9"/>
  <c r="J27" i="9"/>
  <c r="G27" i="9"/>
  <c r="AV26" i="9"/>
  <c r="AW26" i="9" s="1"/>
  <c r="AR26" i="9"/>
  <c r="AS26" i="9" s="1"/>
  <c r="AN26" i="9"/>
  <c r="AO26" i="9" s="1"/>
  <c r="AJ26" i="9"/>
  <c r="AK26" i="9" s="1"/>
  <c r="AF26" i="9"/>
  <c r="AG26" i="9" s="1"/>
  <c r="AB26" i="9"/>
  <c r="Y26" i="9"/>
  <c r="V26" i="9"/>
  <c r="S26" i="9"/>
  <c r="P26" i="9"/>
  <c r="M26" i="9"/>
  <c r="J26" i="9"/>
  <c r="G26" i="9"/>
  <c r="AB25" i="9"/>
  <c r="Y25" i="9"/>
  <c r="V25" i="9"/>
  <c r="S25" i="9"/>
  <c r="P25" i="9"/>
  <c r="M25" i="9"/>
  <c r="J25" i="9"/>
  <c r="G25" i="9"/>
  <c r="AV24" i="9"/>
  <c r="AW24" i="9" s="1"/>
  <c r="AR24" i="9"/>
  <c r="AS24" i="9" s="1"/>
  <c r="AN24" i="9"/>
  <c r="AO24" i="9" s="1"/>
  <c r="AJ24" i="9"/>
  <c r="AK24" i="9" s="1"/>
  <c r="AF24" i="9"/>
  <c r="AG24" i="9" s="1"/>
  <c r="AB24" i="9"/>
  <c r="Y24" i="9"/>
  <c r="V24" i="9"/>
  <c r="S24" i="9"/>
  <c r="P24" i="9"/>
  <c r="M24" i="9"/>
  <c r="J24" i="9"/>
  <c r="G24" i="9"/>
  <c r="AB23" i="9"/>
  <c r="Y23" i="9"/>
  <c r="V23" i="9"/>
  <c r="S23" i="9"/>
  <c r="P23" i="9"/>
  <c r="M23" i="9"/>
  <c r="J23" i="9"/>
  <c r="G23" i="9"/>
  <c r="AV22" i="9"/>
  <c r="AW22" i="9" s="1"/>
  <c r="AR22" i="9"/>
  <c r="AS22" i="9" s="1"/>
  <c r="AN22" i="9"/>
  <c r="AO22" i="9" s="1"/>
  <c r="AJ22" i="9"/>
  <c r="AK22" i="9" s="1"/>
  <c r="AF22" i="9"/>
  <c r="AG22" i="9" s="1"/>
  <c r="AB22" i="9"/>
  <c r="Y22" i="9"/>
  <c r="V22" i="9"/>
  <c r="S22" i="9"/>
  <c r="P22" i="9"/>
  <c r="M22" i="9"/>
  <c r="J22" i="9"/>
  <c r="G22" i="9"/>
  <c r="AB21" i="9"/>
  <c r="Y21" i="9"/>
  <c r="V21" i="9"/>
  <c r="S21" i="9"/>
  <c r="P21" i="9"/>
  <c r="M21" i="9"/>
  <c r="J21" i="9"/>
  <c r="G21" i="9"/>
  <c r="AB20" i="9"/>
  <c r="Y20" i="9"/>
  <c r="V20" i="9"/>
  <c r="S20" i="9"/>
  <c r="P20" i="9"/>
  <c r="M20" i="9"/>
  <c r="J20" i="9"/>
  <c r="G20" i="9"/>
  <c r="AV19" i="9"/>
  <c r="AW19" i="9" s="1"/>
  <c r="AR19" i="9"/>
  <c r="AS19" i="9" s="1"/>
  <c r="AN19" i="9"/>
  <c r="AO19" i="9" s="1"/>
  <c r="AJ19" i="9"/>
  <c r="AK19" i="9" s="1"/>
  <c r="AF19" i="9"/>
  <c r="AG19" i="9" s="1"/>
  <c r="AB18" i="9"/>
  <c r="Y18" i="9"/>
  <c r="V18" i="9"/>
  <c r="S18" i="9"/>
  <c r="P18" i="9"/>
  <c r="M18" i="9"/>
  <c r="J18" i="9"/>
  <c r="G18" i="9"/>
  <c r="AV17" i="9"/>
  <c r="AW17" i="9" s="1"/>
  <c r="AR17" i="9"/>
  <c r="AS17" i="9" s="1"/>
  <c r="AN17" i="9"/>
  <c r="AO17" i="9" s="1"/>
  <c r="AJ17" i="9"/>
  <c r="AK17" i="9" s="1"/>
  <c r="AF17" i="9"/>
  <c r="AG17" i="9" s="1"/>
  <c r="AB17" i="9"/>
  <c r="Y17" i="9"/>
  <c r="V17" i="9"/>
  <c r="S17" i="9"/>
  <c r="P17" i="9"/>
  <c r="M17" i="9"/>
  <c r="J17" i="9"/>
  <c r="G17" i="9"/>
  <c r="AB16" i="9"/>
  <c r="Y16" i="9"/>
  <c r="V16" i="9"/>
  <c r="S16" i="9"/>
  <c r="P16" i="9"/>
  <c r="M16" i="9"/>
  <c r="J16" i="9"/>
  <c r="G16" i="9"/>
  <c r="AV15" i="9"/>
  <c r="AW15" i="9" s="1"/>
  <c r="AR15" i="9"/>
  <c r="AS15" i="9" s="1"/>
  <c r="AN15" i="9"/>
  <c r="AO15" i="9" s="1"/>
  <c r="AJ15" i="9"/>
  <c r="AK15" i="9" s="1"/>
  <c r="AF15" i="9"/>
  <c r="AG15" i="9" s="1"/>
  <c r="AB14" i="9"/>
  <c r="Y14" i="9"/>
  <c r="V14" i="9"/>
  <c r="S14" i="9"/>
  <c r="P14" i="9"/>
  <c r="M14" i="9"/>
  <c r="J14" i="9"/>
  <c r="G14" i="9"/>
  <c r="AV13" i="9"/>
  <c r="AW13" i="9" s="1"/>
  <c r="AR13" i="9"/>
  <c r="AS13" i="9" s="1"/>
  <c r="AN13" i="9"/>
  <c r="AO13" i="9" s="1"/>
  <c r="AJ13" i="9"/>
  <c r="AK13" i="9" s="1"/>
  <c r="AF13" i="9"/>
  <c r="AG13" i="9" s="1"/>
  <c r="AB13" i="9"/>
  <c r="Y13" i="9"/>
  <c r="V13" i="9"/>
  <c r="S13" i="9"/>
  <c r="P13" i="9"/>
  <c r="M13" i="9"/>
  <c r="J13" i="9"/>
  <c r="G13" i="9"/>
  <c r="AB12" i="9"/>
  <c r="Y12" i="9"/>
  <c r="V12" i="9"/>
  <c r="S12" i="9"/>
  <c r="P12" i="9"/>
  <c r="M12" i="9"/>
  <c r="J12" i="9"/>
  <c r="G12" i="9"/>
  <c r="AV11" i="9"/>
  <c r="AW11" i="9" s="1"/>
  <c r="AR11" i="9"/>
  <c r="AS11" i="9" s="1"/>
  <c r="AN11" i="9"/>
  <c r="AO11" i="9" s="1"/>
  <c r="AJ11" i="9"/>
  <c r="AK11" i="9" s="1"/>
  <c r="AF11" i="9"/>
  <c r="AG11" i="9" s="1"/>
  <c r="AB11" i="9"/>
  <c r="Y11" i="9"/>
  <c r="V11" i="9"/>
  <c r="S11" i="9"/>
  <c r="P11" i="9"/>
  <c r="M11" i="9"/>
  <c r="J11" i="9"/>
  <c r="G11" i="9"/>
  <c r="AB10" i="9"/>
  <c r="Y10" i="9"/>
  <c r="V10" i="9"/>
  <c r="S10" i="9"/>
  <c r="P10" i="9"/>
  <c r="M10" i="9"/>
  <c r="J10" i="9"/>
  <c r="G10" i="9"/>
  <c r="AB9" i="9"/>
  <c r="Y9" i="9"/>
  <c r="V9" i="9"/>
  <c r="S9" i="9"/>
  <c r="P9" i="9"/>
  <c r="M9" i="9"/>
  <c r="J9" i="9"/>
  <c r="G9" i="9"/>
  <c r="AB8" i="9"/>
  <c r="Y8" i="9"/>
  <c r="V8" i="9"/>
  <c r="S8" i="9"/>
  <c r="P8" i="9"/>
  <c r="M8" i="9"/>
  <c r="J8" i="9"/>
  <c r="G8" i="9"/>
  <c r="AB7" i="9"/>
  <c r="Y7" i="9"/>
  <c r="V7" i="9"/>
  <c r="S7" i="9"/>
  <c r="P7" i="9"/>
  <c r="M7" i="9"/>
  <c r="J7" i="9"/>
  <c r="G7" i="9"/>
  <c r="AV6" i="9"/>
  <c r="AW6" i="9" s="1"/>
  <c r="AR6" i="9"/>
  <c r="AS6" i="9" s="1"/>
  <c r="AN6" i="9"/>
  <c r="AO6" i="9" s="1"/>
  <c r="AJ6" i="9"/>
  <c r="AK6" i="9" s="1"/>
  <c r="AF6" i="9"/>
  <c r="AG6" i="9" s="1"/>
  <c r="AB6" i="9"/>
  <c r="Y6" i="9"/>
  <c r="V6" i="9"/>
  <c r="S6" i="9"/>
  <c r="P6" i="9"/>
  <c r="M6" i="9"/>
  <c r="J6" i="9"/>
  <c r="G6" i="9"/>
  <c r="AB5" i="9"/>
  <c r="Y5" i="9"/>
  <c r="V5" i="9"/>
  <c r="S5" i="9"/>
  <c r="P5" i="9"/>
  <c r="M5" i="9"/>
  <c r="J5" i="9"/>
  <c r="G5" i="9"/>
  <c r="AB4" i="9"/>
  <c r="Y4" i="9"/>
  <c r="V4" i="9"/>
  <c r="S4" i="9"/>
  <c r="P4" i="9"/>
  <c r="M4" i="9"/>
  <c r="J4" i="9"/>
  <c r="G4" i="9"/>
  <c r="AY3" i="9"/>
  <c r="AX44" i="8"/>
  <c r="AY12" i="38" l="1"/>
  <c r="AX65" i="38"/>
  <c r="AY65" i="38" s="1"/>
  <c r="AX64" i="15"/>
  <c r="AY6" i="15"/>
  <c r="AY64" i="14"/>
  <c r="AX64" i="13"/>
  <c r="AY64" i="13" s="1"/>
  <c r="AY6" i="13"/>
  <c r="AX64" i="12"/>
  <c r="AY64" i="12" s="1"/>
  <c r="AY6" i="12"/>
  <c r="AX56" i="11"/>
  <c r="AX33" i="11"/>
  <c r="AC46" i="11"/>
  <c r="J64" i="11"/>
  <c r="V64" i="11"/>
  <c r="AB64" i="11"/>
  <c r="Y64" i="11"/>
  <c r="M64" i="11"/>
  <c r="S64" i="11"/>
  <c r="P64" i="11"/>
  <c r="G64" i="11"/>
  <c r="AC4" i="11"/>
  <c r="AC5" i="11"/>
  <c r="AY5" i="11" s="1"/>
  <c r="AC6" i="11"/>
  <c r="AF64" i="11"/>
  <c r="AG6" i="11"/>
  <c r="AG64" i="11" s="1"/>
  <c r="AJ64" i="11"/>
  <c r="AK6" i="11"/>
  <c r="AK64" i="11" s="1"/>
  <c r="AN64" i="11"/>
  <c r="AO6" i="11"/>
  <c r="AO64" i="11" s="1"/>
  <c r="AR64" i="11"/>
  <c r="AS6" i="11"/>
  <c r="AS64" i="11" s="1"/>
  <c r="AV64" i="11"/>
  <c r="AW6" i="11"/>
  <c r="AC7" i="11"/>
  <c r="AY7" i="11" s="1"/>
  <c r="AC8" i="11"/>
  <c r="AY8" i="11" s="1"/>
  <c r="AC9" i="11"/>
  <c r="AY9" i="11" s="1"/>
  <c r="AC10" i="11"/>
  <c r="AY10" i="11" s="1"/>
  <c r="AC11" i="11"/>
  <c r="AX11" i="11"/>
  <c r="AC12" i="11"/>
  <c r="AY12" i="11" s="1"/>
  <c r="AC13" i="11"/>
  <c r="AX13" i="11"/>
  <c r="AC14" i="11"/>
  <c r="AY14" i="11" s="1"/>
  <c r="AX15" i="11"/>
  <c r="AY15" i="11" s="1"/>
  <c r="AC16" i="11"/>
  <c r="AY16" i="11" s="1"/>
  <c r="AC17" i="11"/>
  <c r="AX17" i="11"/>
  <c r="AC18" i="11"/>
  <c r="AY18" i="11" s="1"/>
  <c r="AX19" i="11"/>
  <c r="AY19" i="11" s="1"/>
  <c r="AC20" i="11"/>
  <c r="AY20" i="11" s="1"/>
  <c r="AC21" i="11"/>
  <c r="AY21" i="11" s="1"/>
  <c r="AC22" i="11"/>
  <c r="AX22" i="11"/>
  <c r="AC23" i="11"/>
  <c r="AY23" i="11" s="1"/>
  <c r="AC24" i="11"/>
  <c r="AX24" i="11"/>
  <c r="AC26" i="11"/>
  <c r="AX26" i="11"/>
  <c r="AC27" i="11"/>
  <c r="AY27" i="11" s="1"/>
  <c r="AX28" i="11"/>
  <c r="AY28" i="11" s="1"/>
  <c r="AC29" i="11"/>
  <c r="AX29" i="11"/>
  <c r="AC30" i="11"/>
  <c r="AY30" i="11" s="1"/>
  <c r="AX31" i="11"/>
  <c r="AY31" i="11" s="1"/>
  <c r="AC32" i="11"/>
  <c r="AY32" i="11" s="1"/>
  <c r="AC33" i="11"/>
  <c r="AC34" i="11"/>
  <c r="AX34" i="11"/>
  <c r="AC35" i="11"/>
  <c r="AY35" i="11" s="1"/>
  <c r="AX36" i="11"/>
  <c r="AY36" i="11" s="1"/>
  <c r="AC37" i="11"/>
  <c r="AX37" i="11"/>
  <c r="AC38" i="11"/>
  <c r="AY38" i="11" s="1"/>
  <c r="AX40" i="11"/>
  <c r="AY40" i="11" s="1"/>
  <c r="AC41" i="11"/>
  <c r="AY41" i="11" s="1"/>
  <c r="AC42" i="11"/>
  <c r="AX42" i="11"/>
  <c r="AX43" i="11"/>
  <c r="AY43" i="11" s="1"/>
  <c r="AC44" i="11"/>
  <c r="AY44" i="11" s="1"/>
  <c r="AX45" i="11"/>
  <c r="AY45" i="11" s="1"/>
  <c r="AY46" i="11"/>
  <c r="AC47" i="11"/>
  <c r="AX47" i="11"/>
  <c r="AX48" i="11"/>
  <c r="AY48" i="11" s="1"/>
  <c r="AC49" i="11"/>
  <c r="AY49" i="11" s="1"/>
  <c r="AC50" i="11"/>
  <c r="AX50" i="11"/>
  <c r="AC52" i="11"/>
  <c r="AY52" i="11" s="1"/>
  <c r="AC53" i="11"/>
  <c r="AX53" i="11"/>
  <c r="AC54" i="11"/>
  <c r="AY54" i="11" s="1"/>
  <c r="AC55" i="11"/>
  <c r="AX55" i="11"/>
  <c r="AY56" i="11"/>
  <c r="AC57" i="11"/>
  <c r="AY57" i="11" s="1"/>
  <c r="AC58" i="11"/>
  <c r="AX58" i="11"/>
  <c r="AC59" i="11"/>
  <c r="AY59" i="11" s="1"/>
  <c r="AX60" i="11"/>
  <c r="AY60" i="11" s="1"/>
  <c r="AC62" i="11"/>
  <c r="AY62" i="11" s="1"/>
  <c r="AC63" i="11"/>
  <c r="AY63" i="11" s="1"/>
  <c r="J64" i="10"/>
  <c r="M64" i="10"/>
  <c r="P64" i="10"/>
  <c r="AX58" i="10"/>
  <c r="S64" i="10"/>
  <c r="AV64" i="10"/>
  <c r="AR64" i="10"/>
  <c r="AN64" i="10"/>
  <c r="AX36" i="10"/>
  <c r="AY36" i="10" s="1"/>
  <c r="AX31" i="10"/>
  <c r="AY31" i="10" s="1"/>
  <c r="AJ64" i="10"/>
  <c r="AG64" i="10"/>
  <c r="AX19" i="10"/>
  <c r="AY19" i="10" s="1"/>
  <c r="AX43" i="10"/>
  <c r="AY43" i="10" s="1"/>
  <c r="AX50" i="10"/>
  <c r="AF64" i="10"/>
  <c r="AB64" i="10"/>
  <c r="V64" i="10"/>
  <c r="AC41" i="10"/>
  <c r="AY41" i="10" s="1"/>
  <c r="AC27" i="10"/>
  <c r="AY27" i="10" s="1"/>
  <c r="AC50" i="10"/>
  <c r="AC59" i="10"/>
  <c r="AY59" i="10" s="1"/>
  <c r="AC17" i="10"/>
  <c r="AC51" i="10"/>
  <c r="AY51" i="10" s="1"/>
  <c r="AC44" i="10"/>
  <c r="AY44" i="10" s="1"/>
  <c r="AC23" i="10"/>
  <c r="AY23" i="10" s="1"/>
  <c r="AC25" i="10"/>
  <c r="AY25" i="10" s="1"/>
  <c r="AC42" i="10"/>
  <c r="AC49" i="10"/>
  <c r="AY49" i="10" s="1"/>
  <c r="AC7" i="10"/>
  <c r="AY7" i="10" s="1"/>
  <c r="AC9" i="10"/>
  <c r="AY9" i="10" s="1"/>
  <c r="AC11" i="10"/>
  <c r="AX11" i="10"/>
  <c r="AC13" i="10"/>
  <c r="AC14" i="10"/>
  <c r="AY14" i="10" s="1"/>
  <c r="AC16" i="10"/>
  <c r="AY16" i="10" s="1"/>
  <c r="AX17" i="10"/>
  <c r="AC6" i="10"/>
  <c r="AC8" i="10"/>
  <c r="AY8" i="10" s="1"/>
  <c r="AC12" i="10"/>
  <c r="AY12" i="10" s="1"/>
  <c r="AX15" i="10"/>
  <c r="AY15" i="10" s="1"/>
  <c r="AK64" i="10"/>
  <c r="AW64" i="10"/>
  <c r="AX6" i="10"/>
  <c r="AC10" i="10"/>
  <c r="AY10" i="10" s="1"/>
  <c r="AX13" i="10"/>
  <c r="AC4" i="10"/>
  <c r="AC5" i="10"/>
  <c r="AY5" i="10" s="1"/>
  <c r="AC18" i="10"/>
  <c r="AY18" i="10" s="1"/>
  <c r="AC20" i="10"/>
  <c r="AY20" i="10" s="1"/>
  <c r="AX24" i="10"/>
  <c r="AC35" i="10"/>
  <c r="AY35" i="10" s="1"/>
  <c r="AX42" i="10"/>
  <c r="AX45" i="10"/>
  <c r="AY45" i="10" s="1"/>
  <c r="AC61" i="10"/>
  <c r="AY61" i="10" s="1"/>
  <c r="AC22" i="10"/>
  <c r="AX22" i="10"/>
  <c r="AC37" i="10"/>
  <c r="AX37" i="10"/>
  <c r="AC38" i="10"/>
  <c r="AY38" i="10" s="1"/>
  <c r="AC39" i="10"/>
  <c r="AY39" i="10" s="1"/>
  <c r="AX40" i="10"/>
  <c r="AY40" i="10" s="1"/>
  <c r="AC46" i="10"/>
  <c r="AY46" i="10" s="1"/>
  <c r="AX48" i="10"/>
  <c r="AY48" i="10" s="1"/>
  <c r="AC55" i="10"/>
  <c r="AX55" i="10"/>
  <c r="AX56" i="10"/>
  <c r="AY56" i="10" s="1"/>
  <c r="AC57" i="10"/>
  <c r="AY57" i="10" s="1"/>
  <c r="AC58" i="10"/>
  <c r="AS64" i="10"/>
  <c r="AX28" i="10"/>
  <c r="AY28" i="10" s="1"/>
  <c r="AC32" i="10"/>
  <c r="AY32" i="10" s="1"/>
  <c r="AC33" i="10"/>
  <c r="AY33" i="10" s="1"/>
  <c r="AX34" i="10"/>
  <c r="AC47" i="10"/>
  <c r="AX47" i="10"/>
  <c r="AC54" i="10"/>
  <c r="AY54" i="10" s="1"/>
  <c r="AX60" i="10"/>
  <c r="AY60" i="10" s="1"/>
  <c r="AC34" i="10"/>
  <c r="AC26" i="10"/>
  <c r="AX26" i="10"/>
  <c r="AC29" i="10"/>
  <c r="AX29" i="10"/>
  <c r="AC30" i="10"/>
  <c r="AY30" i="10" s="1"/>
  <c r="AX53" i="10"/>
  <c r="AC63" i="10"/>
  <c r="AY63" i="10" s="1"/>
  <c r="AC53" i="10"/>
  <c r="AO64" i="10"/>
  <c r="AC21" i="10"/>
  <c r="AY21" i="10" s="1"/>
  <c r="AC24" i="10"/>
  <c r="AC52" i="10"/>
  <c r="AY52" i="10" s="1"/>
  <c r="AC62" i="10"/>
  <c r="AY62" i="10" s="1"/>
  <c r="AG64" i="9"/>
  <c r="AK64" i="9"/>
  <c r="AO64" i="9"/>
  <c r="AS64" i="9"/>
  <c r="AC4" i="9"/>
  <c r="AC5" i="9"/>
  <c r="AY5" i="9" s="1"/>
  <c r="AC6" i="9"/>
  <c r="AW64" i="9"/>
  <c r="AX6" i="9"/>
  <c r="AC7" i="9"/>
  <c r="AY7" i="9" s="1"/>
  <c r="AC8" i="9"/>
  <c r="AY8" i="9" s="1"/>
  <c r="AC9" i="9"/>
  <c r="AY9" i="9" s="1"/>
  <c r="AC10" i="9"/>
  <c r="AY10" i="9" s="1"/>
  <c r="AC11" i="9"/>
  <c r="AX11" i="9"/>
  <c r="AC12" i="9"/>
  <c r="AY12" i="9" s="1"/>
  <c r="AC13" i="9"/>
  <c r="AX13" i="9"/>
  <c r="AY13" i="9" s="1"/>
  <c r="AC14" i="9"/>
  <c r="AY14" i="9" s="1"/>
  <c r="AX15" i="9"/>
  <c r="AY15" i="9" s="1"/>
  <c r="AC16" i="9"/>
  <c r="AY16" i="9" s="1"/>
  <c r="AC17" i="9"/>
  <c r="AX17" i="9"/>
  <c r="AC18" i="9"/>
  <c r="AY18" i="9" s="1"/>
  <c r="AX19" i="9"/>
  <c r="AY19" i="9" s="1"/>
  <c r="AC20" i="9"/>
  <c r="AY20" i="9" s="1"/>
  <c r="AC21" i="9"/>
  <c r="AY21" i="9" s="1"/>
  <c r="AC22" i="9"/>
  <c r="AX22" i="9"/>
  <c r="AY22" i="9" s="1"/>
  <c r="AC23" i="9"/>
  <c r="AY23" i="9" s="1"/>
  <c r="AC24" i="9"/>
  <c r="AX24" i="9"/>
  <c r="AY24" i="9" s="1"/>
  <c r="AC25" i="9"/>
  <c r="AY25" i="9" s="1"/>
  <c r="AC26" i="9"/>
  <c r="AX26" i="9"/>
  <c r="AY26" i="9" s="1"/>
  <c r="AC27" i="9"/>
  <c r="AY27" i="9" s="1"/>
  <c r="AX28" i="9"/>
  <c r="AY28" i="9" s="1"/>
  <c r="AC29" i="9"/>
  <c r="AX29" i="9"/>
  <c r="AC30" i="9"/>
  <c r="AY30" i="9" s="1"/>
  <c r="AX31" i="9"/>
  <c r="AY31" i="9" s="1"/>
  <c r="AC32" i="9"/>
  <c r="AY32" i="9" s="1"/>
  <c r="AC33" i="9"/>
  <c r="AY33" i="9" s="1"/>
  <c r="AC34" i="9"/>
  <c r="AX34" i="9"/>
  <c r="AY34" i="9" s="1"/>
  <c r="AC35" i="9"/>
  <c r="AY35" i="9" s="1"/>
  <c r="AX36" i="9"/>
  <c r="AY36" i="9" s="1"/>
  <c r="AC37" i="9"/>
  <c r="AX37" i="9"/>
  <c r="AC38" i="9"/>
  <c r="AY38" i="9" s="1"/>
  <c r="AC39" i="9"/>
  <c r="AY39" i="9" s="1"/>
  <c r="AX40" i="9"/>
  <c r="AY40" i="9" s="1"/>
  <c r="AC41" i="9"/>
  <c r="AY41" i="9" s="1"/>
  <c r="AC42" i="9"/>
  <c r="AX42" i="9"/>
  <c r="AX43" i="9"/>
  <c r="AY43" i="9" s="1"/>
  <c r="AC44" i="9"/>
  <c r="AY44" i="9" s="1"/>
  <c r="AX45" i="9"/>
  <c r="AY45" i="9" s="1"/>
  <c r="AC46" i="9"/>
  <c r="AY46" i="9" s="1"/>
  <c r="AC47" i="9"/>
  <c r="AX47" i="9"/>
  <c r="AY47" i="9" s="1"/>
  <c r="AX48" i="9"/>
  <c r="AY48" i="9" s="1"/>
  <c r="AC49" i="9"/>
  <c r="AY49" i="9" s="1"/>
  <c r="AC50" i="9"/>
  <c r="AX50" i="9"/>
  <c r="AY50" i="9" s="1"/>
  <c r="AC51" i="9"/>
  <c r="AY51" i="9" s="1"/>
  <c r="AC52" i="9"/>
  <c r="AY52" i="9" s="1"/>
  <c r="AC53" i="9"/>
  <c r="AX53" i="9"/>
  <c r="AC54" i="9"/>
  <c r="AY54" i="9" s="1"/>
  <c r="AC55" i="9"/>
  <c r="AX55" i="9"/>
  <c r="AX56" i="9"/>
  <c r="AY56" i="9" s="1"/>
  <c r="AC57" i="9"/>
  <c r="AY57" i="9" s="1"/>
  <c r="AC58" i="9"/>
  <c r="AX58" i="9"/>
  <c r="AY58" i="9" s="1"/>
  <c r="AC59" i="9"/>
  <c r="AY59" i="9" s="1"/>
  <c r="AX60" i="9"/>
  <c r="AY60" i="9" s="1"/>
  <c r="AC61" i="9"/>
  <c r="AY61" i="9" s="1"/>
  <c r="AC62" i="9"/>
  <c r="AY62" i="9" s="1"/>
  <c r="AC63" i="9"/>
  <c r="AY63" i="9" s="1"/>
  <c r="AA4" i="8"/>
  <c r="AA5" i="8"/>
  <c r="AA6" i="8"/>
  <c r="AA7" i="8"/>
  <c r="AA8" i="8"/>
  <c r="AB8" i="8" s="1"/>
  <c r="AA9" i="8"/>
  <c r="AA10" i="8"/>
  <c r="AA11" i="8"/>
  <c r="AA12" i="8"/>
  <c r="AA13" i="8"/>
  <c r="AA14" i="8"/>
  <c r="AA16" i="8"/>
  <c r="AB16" i="8" s="1"/>
  <c r="AA17" i="8"/>
  <c r="AB17" i="8" s="1"/>
  <c r="AA18" i="8"/>
  <c r="AB18" i="8" s="1"/>
  <c r="AA20" i="8"/>
  <c r="AA21" i="8"/>
  <c r="AA22" i="8"/>
  <c r="AA23" i="8"/>
  <c r="AA24" i="8"/>
  <c r="AB24" i="8" s="1"/>
  <c r="AA25" i="8"/>
  <c r="AA26" i="8"/>
  <c r="AB26" i="8" s="1"/>
  <c r="AA27" i="8"/>
  <c r="AA29" i="8"/>
  <c r="AA30" i="8"/>
  <c r="AA32" i="8"/>
  <c r="AB32" i="8" s="1"/>
  <c r="AA33" i="8"/>
  <c r="AB33" i="8" s="1"/>
  <c r="AA34" i="8"/>
  <c r="AB34" i="8" s="1"/>
  <c r="AA35" i="8"/>
  <c r="AA37" i="8"/>
  <c r="AA38" i="8"/>
  <c r="AA39" i="8"/>
  <c r="AA41" i="8"/>
  <c r="AB41" i="8" s="1"/>
  <c r="AA42" i="8"/>
  <c r="AB42" i="8" s="1"/>
  <c r="AA44" i="8"/>
  <c r="AA46" i="8"/>
  <c r="AA47" i="8"/>
  <c r="AA49" i="8"/>
  <c r="AA50" i="8"/>
  <c r="AA51" i="8"/>
  <c r="AA52" i="8"/>
  <c r="AA53" i="8"/>
  <c r="AA54" i="8"/>
  <c r="AA55" i="8"/>
  <c r="AA57" i="8"/>
  <c r="AA58" i="8"/>
  <c r="AB58" i="8" s="1"/>
  <c r="AA59" i="8"/>
  <c r="AA61" i="8"/>
  <c r="AA62" i="8"/>
  <c r="AA63" i="8"/>
  <c r="AA64" i="8"/>
  <c r="AB10" i="8"/>
  <c r="AB11" i="8"/>
  <c r="AB12" i="8"/>
  <c r="AB20" i="8"/>
  <c r="AB35" i="8"/>
  <c r="AB44" i="8"/>
  <c r="AB52" i="8"/>
  <c r="AB62" i="8"/>
  <c r="AU6" i="8"/>
  <c r="AU11" i="8"/>
  <c r="AU13" i="8"/>
  <c r="AU15" i="8"/>
  <c r="AU17" i="8"/>
  <c r="AV17" i="8" s="1"/>
  <c r="AW17" i="8" s="1"/>
  <c r="AU19" i="8"/>
  <c r="AU22" i="8"/>
  <c r="AU24" i="8"/>
  <c r="AU26" i="8"/>
  <c r="AV26" i="8" s="1"/>
  <c r="AW26" i="8" s="1"/>
  <c r="AU27" i="8"/>
  <c r="AU28" i="8"/>
  <c r="AU29" i="8"/>
  <c r="AU30" i="8"/>
  <c r="AU31" i="8"/>
  <c r="AU33" i="8"/>
  <c r="AV33" i="8" s="1"/>
  <c r="AW33" i="8" s="1"/>
  <c r="AU34" i="8"/>
  <c r="AV34" i="8" s="1"/>
  <c r="AW34" i="8" s="1"/>
  <c r="AU36" i="8"/>
  <c r="AU37" i="8"/>
  <c r="AU40" i="8"/>
  <c r="AU42" i="8"/>
  <c r="AV42" i="8" s="1"/>
  <c r="AW42" i="8" s="1"/>
  <c r="AU43" i="8"/>
  <c r="AU45" i="8"/>
  <c r="AU47" i="8"/>
  <c r="AU48" i="8"/>
  <c r="AV48" i="8" s="1"/>
  <c r="AW48" i="8" s="1"/>
  <c r="AU49" i="8"/>
  <c r="AU50" i="8"/>
  <c r="AV50" i="8" s="1"/>
  <c r="AW50" i="8" s="1"/>
  <c r="AU51" i="8"/>
  <c r="AU52" i="8"/>
  <c r="AU53" i="8"/>
  <c r="AU55" i="8"/>
  <c r="AU56" i="8"/>
  <c r="AV56" i="8" s="1"/>
  <c r="AW56" i="8" s="1"/>
  <c r="AU58" i="8"/>
  <c r="AV58" i="8" s="1"/>
  <c r="AW58" i="8" s="1"/>
  <c r="AU60" i="8"/>
  <c r="AQ6" i="8"/>
  <c r="AQ11" i="8"/>
  <c r="AQ13" i="8"/>
  <c r="AQ15" i="8"/>
  <c r="AQ17" i="8"/>
  <c r="AR17" i="8" s="1"/>
  <c r="AS17" i="8" s="1"/>
  <c r="AQ19" i="8"/>
  <c r="AQ22" i="8"/>
  <c r="AQ24" i="8"/>
  <c r="AR24" i="8" s="1"/>
  <c r="AS24" i="8" s="1"/>
  <c r="AQ26" i="8"/>
  <c r="AR26" i="8" s="1"/>
  <c r="AS26" i="8" s="1"/>
  <c r="AQ28" i="8"/>
  <c r="AQ29" i="8"/>
  <c r="AQ31" i="8"/>
  <c r="AQ33" i="8"/>
  <c r="AR33" i="8" s="1"/>
  <c r="AS33" i="8" s="1"/>
  <c r="AQ34" i="8"/>
  <c r="AR34" i="8" s="1"/>
  <c r="AS34" i="8" s="1"/>
  <c r="AQ36" i="8"/>
  <c r="AQ37" i="8"/>
  <c r="AQ40" i="8"/>
  <c r="AR40" i="8" s="1"/>
  <c r="AS40" i="8" s="1"/>
  <c r="AQ42" i="8"/>
  <c r="AR42" i="8" s="1"/>
  <c r="AS42" i="8" s="1"/>
  <c r="AQ43" i="8"/>
  <c r="AQ45" i="8"/>
  <c r="AQ47" i="8"/>
  <c r="AQ48" i="8"/>
  <c r="AR48" i="8" s="1"/>
  <c r="AS48" i="8" s="1"/>
  <c r="AQ50" i="8"/>
  <c r="AR50" i="8" s="1"/>
  <c r="AS50" i="8" s="1"/>
  <c r="AQ53" i="8"/>
  <c r="AQ55" i="8"/>
  <c r="AQ56" i="8"/>
  <c r="AR56" i="8" s="1"/>
  <c r="AS56" i="8" s="1"/>
  <c r="AQ58" i="8"/>
  <c r="AR58" i="8" s="1"/>
  <c r="AS58" i="8" s="1"/>
  <c r="AQ60" i="8"/>
  <c r="AM6" i="8"/>
  <c r="AM11" i="8"/>
  <c r="AM13" i="8"/>
  <c r="AM15" i="8"/>
  <c r="AM17" i="8"/>
  <c r="AM19" i="8"/>
  <c r="AM22" i="8"/>
  <c r="AM24" i="8"/>
  <c r="AN24" i="8" s="1"/>
  <c r="AO24" i="8" s="1"/>
  <c r="AM26" i="8"/>
  <c r="AN26" i="8" s="1"/>
  <c r="AO26" i="8" s="1"/>
  <c r="AM28" i="8"/>
  <c r="AM29" i="8"/>
  <c r="AM31" i="8"/>
  <c r="AM33" i="8"/>
  <c r="AM34" i="8"/>
  <c r="AM36" i="8"/>
  <c r="AM37" i="8"/>
  <c r="AM40" i="8"/>
  <c r="AN40" i="8" s="1"/>
  <c r="AO40" i="8" s="1"/>
  <c r="AM42" i="8"/>
  <c r="AN42" i="8" s="1"/>
  <c r="AO42" i="8" s="1"/>
  <c r="AM43" i="8"/>
  <c r="AM45" i="8"/>
  <c r="AM47" i="8"/>
  <c r="AM48" i="8"/>
  <c r="AN48" i="8" s="1"/>
  <c r="AO48" i="8" s="1"/>
  <c r="AM50" i="8"/>
  <c r="AN50" i="8" s="1"/>
  <c r="AO50" i="8" s="1"/>
  <c r="AM53" i="8"/>
  <c r="AM55" i="8"/>
  <c r="AM56" i="8"/>
  <c r="AN56" i="8" s="1"/>
  <c r="AO56" i="8" s="1"/>
  <c r="AM58" i="8"/>
  <c r="AN58" i="8" s="1"/>
  <c r="AO58" i="8" s="1"/>
  <c r="AM60" i="8"/>
  <c r="AM64" i="8"/>
  <c r="AI6" i="8"/>
  <c r="AI11" i="8"/>
  <c r="AI13" i="8"/>
  <c r="AI15" i="8"/>
  <c r="AI17" i="8"/>
  <c r="AJ17" i="8" s="1"/>
  <c r="AK17" i="8" s="1"/>
  <c r="AI19" i="8"/>
  <c r="AI22" i="8"/>
  <c r="AI24" i="8"/>
  <c r="AI26" i="8"/>
  <c r="AJ26" i="8" s="1"/>
  <c r="AK26" i="8" s="1"/>
  <c r="AI28" i="8"/>
  <c r="AI29" i="8"/>
  <c r="AI31" i="8"/>
  <c r="AI33" i="8"/>
  <c r="AJ33" i="8" s="1"/>
  <c r="AK33" i="8" s="1"/>
  <c r="AI34" i="8"/>
  <c r="AI36" i="8"/>
  <c r="AI37" i="8"/>
  <c r="AI40" i="8"/>
  <c r="AI42" i="8"/>
  <c r="AJ42" i="8" s="1"/>
  <c r="AK42" i="8" s="1"/>
  <c r="AI43" i="8"/>
  <c r="AI45" i="8"/>
  <c r="AI47" i="8"/>
  <c r="AI48" i="8"/>
  <c r="AI50" i="8"/>
  <c r="AJ50" i="8" s="1"/>
  <c r="AK50" i="8" s="1"/>
  <c r="AI53" i="8"/>
  <c r="AI55" i="8"/>
  <c r="AI56" i="8"/>
  <c r="AJ56" i="8" s="1"/>
  <c r="AK56" i="8" s="1"/>
  <c r="AI58" i="8"/>
  <c r="AJ58" i="8" s="1"/>
  <c r="AK58" i="8" s="1"/>
  <c r="AI60" i="8"/>
  <c r="AI64" i="8"/>
  <c r="AE6" i="8"/>
  <c r="AE11" i="8"/>
  <c r="AE13" i="8"/>
  <c r="AE15" i="8"/>
  <c r="AE17" i="8"/>
  <c r="AE19" i="8"/>
  <c r="AE22" i="8"/>
  <c r="AE24" i="8"/>
  <c r="AF24" i="8" s="1"/>
  <c r="AG24" i="8" s="1"/>
  <c r="AE26" i="8"/>
  <c r="AF26" i="8" s="1"/>
  <c r="AG26" i="8" s="1"/>
  <c r="AE28" i="8"/>
  <c r="AE29" i="8"/>
  <c r="AE31" i="8"/>
  <c r="AE33" i="8"/>
  <c r="AE34" i="8"/>
  <c r="AF34" i="8" s="1"/>
  <c r="AG34" i="8" s="1"/>
  <c r="AE36" i="8"/>
  <c r="AE37" i="8"/>
  <c r="AE40" i="8"/>
  <c r="AF40" i="8" s="1"/>
  <c r="AG40" i="8" s="1"/>
  <c r="AE42" i="8"/>
  <c r="AF42" i="8" s="1"/>
  <c r="AG42" i="8" s="1"/>
  <c r="AE43" i="8"/>
  <c r="AE45" i="8"/>
  <c r="AE47" i="8"/>
  <c r="AE48" i="8"/>
  <c r="AF48" i="8" s="1"/>
  <c r="AG48" i="8" s="1"/>
  <c r="AE50" i="8"/>
  <c r="AF50" i="8" s="1"/>
  <c r="AG50" i="8" s="1"/>
  <c r="AE53" i="8"/>
  <c r="AE55" i="8"/>
  <c r="AE56" i="8"/>
  <c r="AE58" i="8"/>
  <c r="AF58" i="8" s="1"/>
  <c r="AG58" i="8" s="1"/>
  <c r="AE60" i="8"/>
  <c r="AE64" i="8"/>
  <c r="AB50" i="8"/>
  <c r="AB54" i="8"/>
  <c r="AB57" i="8"/>
  <c r="X4" i="8"/>
  <c r="X5" i="8"/>
  <c r="X6" i="8"/>
  <c r="X7" i="8"/>
  <c r="X8" i="8"/>
  <c r="X9" i="8"/>
  <c r="Y9" i="8" s="1"/>
  <c r="X10" i="8"/>
  <c r="Y10" i="8" s="1"/>
  <c r="X11" i="8"/>
  <c r="X12" i="8"/>
  <c r="X13" i="8"/>
  <c r="X14" i="8"/>
  <c r="X16" i="8"/>
  <c r="X17" i="8"/>
  <c r="Y17" i="8" s="1"/>
  <c r="X18" i="8"/>
  <c r="Y18" i="8" s="1"/>
  <c r="X20" i="8"/>
  <c r="X21" i="8"/>
  <c r="X22" i="8"/>
  <c r="X23" i="8"/>
  <c r="X24" i="8"/>
  <c r="X25" i="8"/>
  <c r="X26" i="8"/>
  <c r="Y26" i="8" s="1"/>
  <c r="X27" i="8"/>
  <c r="X29" i="8"/>
  <c r="X30" i="8"/>
  <c r="X32" i="8"/>
  <c r="X33" i="8"/>
  <c r="Y33" i="8" s="1"/>
  <c r="X34" i="8"/>
  <c r="Y34" i="8" s="1"/>
  <c r="X35" i="8"/>
  <c r="X37" i="8"/>
  <c r="X38" i="8"/>
  <c r="X39" i="8"/>
  <c r="X41" i="8"/>
  <c r="Y41" i="8" s="1"/>
  <c r="X42" i="8"/>
  <c r="Y42" i="8" s="1"/>
  <c r="X44" i="8"/>
  <c r="X46" i="8"/>
  <c r="X47" i="8"/>
  <c r="X49" i="8"/>
  <c r="Y49" i="8" s="1"/>
  <c r="X50" i="8"/>
  <c r="Y50" i="8" s="1"/>
  <c r="X51" i="8"/>
  <c r="X52" i="8"/>
  <c r="X53" i="8"/>
  <c r="X54" i="8"/>
  <c r="X55" i="8"/>
  <c r="X57" i="8"/>
  <c r="Y57" i="8" s="1"/>
  <c r="X58" i="8"/>
  <c r="Y58" i="8" s="1"/>
  <c r="X59" i="8"/>
  <c r="X61" i="8"/>
  <c r="X62" i="8"/>
  <c r="X63" i="8"/>
  <c r="X64" i="8"/>
  <c r="U4" i="8"/>
  <c r="U5" i="8"/>
  <c r="U6" i="8"/>
  <c r="U7" i="8"/>
  <c r="U8" i="8"/>
  <c r="U9" i="8"/>
  <c r="U10" i="8"/>
  <c r="V10" i="8" s="1"/>
  <c r="U11" i="8"/>
  <c r="U12" i="8"/>
  <c r="U13" i="8"/>
  <c r="U14" i="8"/>
  <c r="V14" i="8" s="1"/>
  <c r="U16" i="8"/>
  <c r="U17" i="8"/>
  <c r="U18" i="8"/>
  <c r="V18" i="8" s="1"/>
  <c r="U20" i="8"/>
  <c r="U21" i="8"/>
  <c r="U22" i="8"/>
  <c r="V22" i="8" s="1"/>
  <c r="U23" i="8"/>
  <c r="U24" i="8"/>
  <c r="U25" i="8"/>
  <c r="V25" i="8" s="1"/>
  <c r="U26" i="8"/>
  <c r="V26" i="8" s="1"/>
  <c r="U27" i="8"/>
  <c r="U29" i="8"/>
  <c r="U30" i="8"/>
  <c r="V30" i="8" s="1"/>
  <c r="U32" i="8"/>
  <c r="U33" i="8"/>
  <c r="U34" i="8"/>
  <c r="V34" i="8" s="1"/>
  <c r="U35" i="8"/>
  <c r="U37" i="8"/>
  <c r="U38" i="8"/>
  <c r="V38" i="8" s="1"/>
  <c r="U39" i="8"/>
  <c r="U41" i="8"/>
  <c r="V41" i="8" s="1"/>
  <c r="U42" i="8"/>
  <c r="V42" i="8" s="1"/>
  <c r="U44" i="8"/>
  <c r="U46" i="8"/>
  <c r="V46" i="8" s="1"/>
  <c r="U47" i="8"/>
  <c r="U49" i="8"/>
  <c r="V49" i="8" s="1"/>
  <c r="U50" i="8"/>
  <c r="V50" i="8" s="1"/>
  <c r="U51" i="8"/>
  <c r="U52" i="8"/>
  <c r="U53" i="8"/>
  <c r="U54" i="8"/>
  <c r="V54" i="8" s="1"/>
  <c r="U55" i="8"/>
  <c r="U57" i="8"/>
  <c r="U58" i="8"/>
  <c r="V58" i="8" s="1"/>
  <c r="U59" i="8"/>
  <c r="U61" i="8"/>
  <c r="U62" i="8"/>
  <c r="V62" i="8" s="1"/>
  <c r="U63" i="8"/>
  <c r="U64" i="8"/>
  <c r="R4" i="8"/>
  <c r="R5" i="8"/>
  <c r="R6" i="8"/>
  <c r="R7" i="8"/>
  <c r="R8" i="8"/>
  <c r="R9" i="8"/>
  <c r="R10" i="8"/>
  <c r="S10" i="8" s="1"/>
  <c r="R11" i="8"/>
  <c r="R12" i="8"/>
  <c r="R13" i="8"/>
  <c r="R14" i="8"/>
  <c r="R16" i="8"/>
  <c r="S16" i="8" s="1"/>
  <c r="R17" i="8"/>
  <c r="R18" i="8"/>
  <c r="S18" i="8" s="1"/>
  <c r="R20" i="8"/>
  <c r="R21" i="8"/>
  <c r="R22" i="8"/>
  <c r="R23" i="8"/>
  <c r="R24" i="8"/>
  <c r="S24" i="8" s="1"/>
  <c r="R25" i="8"/>
  <c r="R26" i="8"/>
  <c r="R27" i="8"/>
  <c r="R29" i="8"/>
  <c r="R30" i="8"/>
  <c r="R32" i="8"/>
  <c r="S32" i="8" s="1"/>
  <c r="R33" i="8"/>
  <c r="R34" i="8"/>
  <c r="R35" i="8"/>
  <c r="R37" i="8"/>
  <c r="R38" i="8"/>
  <c r="R39" i="8"/>
  <c r="R41" i="8"/>
  <c r="R42" i="8"/>
  <c r="S42" i="8" s="1"/>
  <c r="R44" i="8"/>
  <c r="R46" i="8"/>
  <c r="R47" i="8"/>
  <c r="R49" i="8"/>
  <c r="R50" i="8"/>
  <c r="S50" i="8" s="1"/>
  <c r="R51" i="8"/>
  <c r="R52" i="8"/>
  <c r="R53" i="8"/>
  <c r="R54" i="8"/>
  <c r="R55" i="8"/>
  <c r="R57" i="8"/>
  <c r="R58" i="8"/>
  <c r="S58" i="8" s="1"/>
  <c r="R59" i="8"/>
  <c r="R61" i="8"/>
  <c r="R62" i="8"/>
  <c r="R63" i="8"/>
  <c r="R64" i="8"/>
  <c r="O4" i="8"/>
  <c r="O5" i="8"/>
  <c r="O6" i="8"/>
  <c r="O7" i="8"/>
  <c r="O8" i="8"/>
  <c r="P8" i="8" s="1"/>
  <c r="O9" i="8"/>
  <c r="P9" i="8" s="1"/>
  <c r="O10" i="8"/>
  <c r="P10" i="8" s="1"/>
  <c r="O11" i="8"/>
  <c r="O12" i="8"/>
  <c r="O13" i="8"/>
  <c r="O14" i="8"/>
  <c r="O16" i="8"/>
  <c r="P16" i="8" s="1"/>
  <c r="O17" i="8"/>
  <c r="P17" i="8" s="1"/>
  <c r="O18" i="8"/>
  <c r="P18" i="8" s="1"/>
  <c r="O20" i="8"/>
  <c r="O21" i="8"/>
  <c r="P21" i="8" s="1"/>
  <c r="O22" i="8"/>
  <c r="O23" i="8"/>
  <c r="O24" i="8"/>
  <c r="O25" i="8"/>
  <c r="O26" i="8"/>
  <c r="P26" i="8" s="1"/>
  <c r="O27" i="8"/>
  <c r="O29" i="8"/>
  <c r="P29" i="8" s="1"/>
  <c r="O30" i="8"/>
  <c r="O32" i="8"/>
  <c r="O33" i="8"/>
  <c r="O34" i="8"/>
  <c r="P34" i="8" s="1"/>
  <c r="O35" i="8"/>
  <c r="O37" i="8"/>
  <c r="O38" i="8"/>
  <c r="O39" i="8"/>
  <c r="O41" i="8"/>
  <c r="P41" i="8" s="1"/>
  <c r="O42" i="8"/>
  <c r="P42" i="8" s="1"/>
  <c r="O44" i="8"/>
  <c r="O46" i="8"/>
  <c r="O47" i="8"/>
  <c r="O49" i="8"/>
  <c r="P49" i="8" s="1"/>
  <c r="O50" i="8"/>
  <c r="P50" i="8" s="1"/>
  <c r="O51" i="8"/>
  <c r="O52" i="8"/>
  <c r="O53" i="8"/>
  <c r="P53" i="8" s="1"/>
  <c r="O54" i="8"/>
  <c r="O55" i="8"/>
  <c r="O57" i="8"/>
  <c r="P57" i="8" s="1"/>
  <c r="O58" i="8"/>
  <c r="P58" i="8" s="1"/>
  <c r="O59" i="8"/>
  <c r="O61" i="8"/>
  <c r="P61" i="8" s="1"/>
  <c r="O62" i="8"/>
  <c r="O63" i="8"/>
  <c r="O64" i="8"/>
  <c r="L4" i="8"/>
  <c r="L5" i="8"/>
  <c r="L6" i="8"/>
  <c r="L7" i="8"/>
  <c r="M7" i="8" s="1"/>
  <c r="L8" i="8"/>
  <c r="M8" i="8" s="1"/>
  <c r="L9" i="8"/>
  <c r="L10" i="8"/>
  <c r="M10" i="8" s="1"/>
  <c r="L11" i="8"/>
  <c r="L12" i="8"/>
  <c r="L13" i="8"/>
  <c r="L14" i="8"/>
  <c r="L16" i="8"/>
  <c r="L17" i="8"/>
  <c r="L18" i="8"/>
  <c r="M18" i="8" s="1"/>
  <c r="L20" i="8"/>
  <c r="L21" i="8"/>
  <c r="L22" i="8"/>
  <c r="L23" i="8"/>
  <c r="L24" i="8"/>
  <c r="M24" i="8" s="1"/>
  <c r="L25" i="8"/>
  <c r="L26" i="8"/>
  <c r="M26" i="8" s="1"/>
  <c r="L27" i="8"/>
  <c r="L29" i="8"/>
  <c r="L30" i="8"/>
  <c r="L32" i="8"/>
  <c r="M32" i="8" s="1"/>
  <c r="L33" i="8"/>
  <c r="L34" i="8"/>
  <c r="M34" i="8" s="1"/>
  <c r="L35" i="8"/>
  <c r="L37" i="8"/>
  <c r="L38" i="8"/>
  <c r="L39" i="8"/>
  <c r="M39" i="8" s="1"/>
  <c r="L41" i="8"/>
  <c r="L42" i="8"/>
  <c r="M42" i="8" s="1"/>
  <c r="L44" i="8"/>
  <c r="L46" i="8"/>
  <c r="L47" i="8"/>
  <c r="M47" i="8" s="1"/>
  <c r="L49" i="8"/>
  <c r="L50" i="8"/>
  <c r="M50" i="8" s="1"/>
  <c r="L51" i="8"/>
  <c r="L52" i="8"/>
  <c r="L53" i="8"/>
  <c r="L54" i="8"/>
  <c r="L55" i="8"/>
  <c r="L57" i="8"/>
  <c r="L58" i="8"/>
  <c r="M58" i="8" s="1"/>
  <c r="L59" i="8"/>
  <c r="L61" i="8"/>
  <c r="L62" i="8"/>
  <c r="L63" i="8"/>
  <c r="M63" i="8" s="1"/>
  <c r="L64" i="8"/>
  <c r="I63" i="8"/>
  <c r="I62" i="8"/>
  <c r="I61" i="8"/>
  <c r="I59" i="8"/>
  <c r="I58" i="8"/>
  <c r="J58" i="8" s="1"/>
  <c r="I57" i="8"/>
  <c r="I55" i="8"/>
  <c r="I54" i="8"/>
  <c r="I53" i="8"/>
  <c r="I52" i="8"/>
  <c r="I51" i="8"/>
  <c r="I50" i="8"/>
  <c r="J50" i="8" s="1"/>
  <c r="I49" i="8"/>
  <c r="I47" i="8"/>
  <c r="I46" i="8"/>
  <c r="I44" i="8"/>
  <c r="I42" i="8"/>
  <c r="J42" i="8" s="1"/>
  <c r="I41" i="8"/>
  <c r="I39" i="8"/>
  <c r="I38" i="8"/>
  <c r="I37" i="8"/>
  <c r="I35" i="8"/>
  <c r="I34" i="8"/>
  <c r="J34" i="8" s="1"/>
  <c r="I33" i="8"/>
  <c r="I32" i="8"/>
  <c r="I30" i="8"/>
  <c r="I29" i="8"/>
  <c r="I27" i="8"/>
  <c r="I26" i="8"/>
  <c r="J26" i="8" s="1"/>
  <c r="I25" i="8"/>
  <c r="I24" i="8"/>
  <c r="I23" i="8"/>
  <c r="I22" i="8"/>
  <c r="I21" i="8"/>
  <c r="I20" i="8"/>
  <c r="I18" i="8"/>
  <c r="J18" i="8" s="1"/>
  <c r="I17" i="8"/>
  <c r="I16" i="8"/>
  <c r="I14" i="8"/>
  <c r="I13" i="8"/>
  <c r="I12" i="8"/>
  <c r="I11" i="8"/>
  <c r="I10" i="8"/>
  <c r="J10" i="8" s="1"/>
  <c r="I9" i="8"/>
  <c r="I8" i="8"/>
  <c r="I7" i="8"/>
  <c r="I6" i="8"/>
  <c r="I5" i="8"/>
  <c r="J5" i="8"/>
  <c r="J13" i="8"/>
  <c r="J14" i="8"/>
  <c r="J20" i="8"/>
  <c r="J23" i="8"/>
  <c r="J29" i="8"/>
  <c r="J33" i="8"/>
  <c r="J39" i="8"/>
  <c r="J44" i="8"/>
  <c r="J46" i="8"/>
  <c r="J61" i="8"/>
  <c r="J52" i="8"/>
  <c r="J53" i="8"/>
  <c r="I4" i="8"/>
  <c r="J4" i="8" s="1"/>
  <c r="F63" i="8"/>
  <c r="F62" i="8"/>
  <c r="F61" i="8"/>
  <c r="F59" i="8"/>
  <c r="F58" i="8"/>
  <c r="F57" i="8"/>
  <c r="G57" i="8" s="1"/>
  <c r="F55" i="8"/>
  <c r="F54" i="8"/>
  <c r="F53" i="8"/>
  <c r="F52" i="8"/>
  <c r="F51" i="8"/>
  <c r="F50" i="8"/>
  <c r="F49" i="8"/>
  <c r="G49" i="8" s="1"/>
  <c r="F47" i="8"/>
  <c r="F46" i="8"/>
  <c r="F44" i="8"/>
  <c r="F42" i="8"/>
  <c r="F41" i="8"/>
  <c r="G41" i="8" s="1"/>
  <c r="F39" i="8"/>
  <c r="F38" i="8"/>
  <c r="F37" i="8"/>
  <c r="F35" i="8"/>
  <c r="F34" i="8"/>
  <c r="F33" i="8"/>
  <c r="G33" i="8" s="1"/>
  <c r="F32" i="8"/>
  <c r="G32" i="8" s="1"/>
  <c r="F30" i="8"/>
  <c r="F29" i="8"/>
  <c r="F27" i="8"/>
  <c r="F26" i="8"/>
  <c r="F25" i="8"/>
  <c r="F24" i="8"/>
  <c r="G24" i="8" s="1"/>
  <c r="F23" i="8"/>
  <c r="F22" i="8"/>
  <c r="F21" i="8"/>
  <c r="F20" i="8"/>
  <c r="F18" i="8"/>
  <c r="F17" i="8"/>
  <c r="G17" i="8" s="1"/>
  <c r="F16" i="8"/>
  <c r="G16" i="8" s="1"/>
  <c r="F14" i="8"/>
  <c r="F13" i="8"/>
  <c r="F12" i="8"/>
  <c r="G12" i="8" s="1"/>
  <c r="F11" i="8"/>
  <c r="F10" i="8"/>
  <c r="F9" i="8"/>
  <c r="G9" i="8" s="1"/>
  <c r="F8" i="8"/>
  <c r="G8" i="8" s="1"/>
  <c r="F7" i="8"/>
  <c r="F6" i="8"/>
  <c r="F5" i="8"/>
  <c r="G11" i="8"/>
  <c r="G13" i="8"/>
  <c r="G22" i="8"/>
  <c r="G23" i="8"/>
  <c r="G26" i="8"/>
  <c r="G30" i="8"/>
  <c r="G37" i="8"/>
  <c r="G42" i="8"/>
  <c r="G44" i="8"/>
  <c r="G53" i="8"/>
  <c r="G54" i="8"/>
  <c r="G63" i="8"/>
  <c r="G5" i="8"/>
  <c r="G7" i="8"/>
  <c r="G29" i="8"/>
  <c r="G52" i="8"/>
  <c r="G55" i="8"/>
  <c r="G61" i="8"/>
  <c r="F4" i="8"/>
  <c r="G4" i="8" s="1"/>
  <c r="E64" i="8"/>
  <c r="P6" i="8"/>
  <c r="S6" i="8"/>
  <c r="V6" i="8"/>
  <c r="Y6" i="8"/>
  <c r="AB6" i="8"/>
  <c r="M6" i="8"/>
  <c r="J6" i="8"/>
  <c r="G6" i="8"/>
  <c r="AT64" i="8"/>
  <c r="AP64" i="8"/>
  <c r="AL64" i="8"/>
  <c r="AH64" i="8"/>
  <c r="AJ64" i="8" s="1"/>
  <c r="AD64" i="8"/>
  <c r="Z64" i="8"/>
  <c r="W64" i="8"/>
  <c r="Y64" i="8" s="1"/>
  <c r="T64" i="8"/>
  <c r="V64" i="8" s="1"/>
  <c r="Q64" i="8"/>
  <c r="N64" i="8"/>
  <c r="P64" i="8" s="1"/>
  <c r="K64" i="8"/>
  <c r="I64" i="8"/>
  <c r="H64" i="8"/>
  <c r="J64" i="8" s="1"/>
  <c r="F64" i="8"/>
  <c r="AB63" i="8"/>
  <c r="Y63" i="8"/>
  <c r="V63" i="8"/>
  <c r="S63" i="8"/>
  <c r="P63" i="8"/>
  <c r="J63" i="8"/>
  <c r="Y62" i="8"/>
  <c r="S62" i="8"/>
  <c r="P62" i="8"/>
  <c r="M62" i="8"/>
  <c r="J62" i="8"/>
  <c r="G62" i="8"/>
  <c r="AB61" i="8"/>
  <c r="Y61" i="8"/>
  <c r="V61" i="8"/>
  <c r="S61" i="8"/>
  <c r="M61" i="8"/>
  <c r="AV60" i="8"/>
  <c r="AW60" i="8" s="1"/>
  <c r="AR60" i="8"/>
  <c r="AS60" i="8" s="1"/>
  <c r="AN60" i="8"/>
  <c r="AO60" i="8" s="1"/>
  <c r="AJ60" i="8"/>
  <c r="AK60" i="8" s="1"/>
  <c r="AF60" i="8"/>
  <c r="AG60" i="8" s="1"/>
  <c r="AB59" i="8"/>
  <c r="Y59" i="8"/>
  <c r="V59" i="8"/>
  <c r="S59" i="8"/>
  <c r="P59" i="8"/>
  <c r="M59" i="8"/>
  <c r="J59" i="8"/>
  <c r="G59" i="8"/>
  <c r="G58" i="8"/>
  <c r="V57" i="8"/>
  <c r="S57" i="8"/>
  <c r="M57" i="8"/>
  <c r="J57" i="8"/>
  <c r="AF56" i="8"/>
  <c r="AG56" i="8" s="1"/>
  <c r="AV55" i="8"/>
  <c r="AW55" i="8" s="1"/>
  <c r="AR55" i="8"/>
  <c r="AS55" i="8" s="1"/>
  <c r="AN55" i="8"/>
  <c r="AO55" i="8" s="1"/>
  <c r="AJ55" i="8"/>
  <c r="AK55" i="8" s="1"/>
  <c r="AF55" i="8"/>
  <c r="AG55" i="8" s="1"/>
  <c r="AB55" i="8"/>
  <c r="Y55" i="8"/>
  <c r="V55" i="8"/>
  <c r="S55" i="8"/>
  <c r="P55" i="8"/>
  <c r="M55" i="8"/>
  <c r="J55" i="8"/>
  <c r="Y54" i="8"/>
  <c r="S54" i="8"/>
  <c r="P54" i="8"/>
  <c r="M54" i="8"/>
  <c r="J54" i="8"/>
  <c r="AV53" i="8"/>
  <c r="AW53" i="8" s="1"/>
  <c r="AR53" i="8"/>
  <c r="AS53" i="8" s="1"/>
  <c r="AN53" i="8"/>
  <c r="AO53" i="8" s="1"/>
  <c r="AJ53" i="8"/>
  <c r="AK53" i="8" s="1"/>
  <c r="AF53" i="8"/>
  <c r="AG53" i="8" s="1"/>
  <c r="AB53" i="8"/>
  <c r="Y53" i="8"/>
  <c r="V53" i="8"/>
  <c r="S53" i="8"/>
  <c r="M53" i="8"/>
  <c r="Y52" i="8"/>
  <c r="V52" i="8"/>
  <c r="S52" i="8"/>
  <c r="P52" i="8"/>
  <c r="M52" i="8"/>
  <c r="AV51" i="8"/>
  <c r="AW51" i="8" s="1"/>
  <c r="AB51" i="8"/>
  <c r="Y51" i="8"/>
  <c r="V51" i="8"/>
  <c r="S51" i="8"/>
  <c r="P51" i="8"/>
  <c r="M51" i="8"/>
  <c r="J51" i="8"/>
  <c r="G51" i="8"/>
  <c r="G50" i="8"/>
  <c r="AX49" i="8"/>
  <c r="AB49" i="8"/>
  <c r="S49" i="8"/>
  <c r="M49" i="8"/>
  <c r="J49" i="8"/>
  <c r="AJ48" i="8"/>
  <c r="AK48" i="8" s="1"/>
  <c r="AV47" i="8"/>
  <c r="AW47" i="8" s="1"/>
  <c r="AR47" i="8"/>
  <c r="AS47" i="8" s="1"/>
  <c r="AN47" i="8"/>
  <c r="AO47" i="8" s="1"/>
  <c r="AJ47" i="8"/>
  <c r="AK47" i="8" s="1"/>
  <c r="AF47" i="8"/>
  <c r="AG47" i="8" s="1"/>
  <c r="AB47" i="8"/>
  <c r="Y47" i="8"/>
  <c r="V47" i="8"/>
  <c r="S47" i="8"/>
  <c r="P47" i="8"/>
  <c r="J47" i="8"/>
  <c r="G47" i="8"/>
  <c r="AX46" i="8"/>
  <c r="AB46" i="8"/>
  <c r="Y46" i="8"/>
  <c r="S46" i="8"/>
  <c r="P46" i="8"/>
  <c r="M46" i="8"/>
  <c r="G46" i="8"/>
  <c r="AV45" i="8"/>
  <c r="AW45" i="8" s="1"/>
  <c r="AR45" i="8"/>
  <c r="AS45" i="8" s="1"/>
  <c r="AN45" i="8"/>
  <c r="AO45" i="8" s="1"/>
  <c r="AJ45" i="8"/>
  <c r="AK45" i="8" s="1"/>
  <c r="AF45" i="8"/>
  <c r="AG45" i="8" s="1"/>
  <c r="Y44" i="8"/>
  <c r="V44" i="8"/>
  <c r="S44" i="8"/>
  <c r="P44" i="8"/>
  <c r="M44" i="8"/>
  <c r="AV43" i="8"/>
  <c r="AW43" i="8" s="1"/>
  <c r="AR43" i="8"/>
  <c r="AS43" i="8" s="1"/>
  <c r="AN43" i="8"/>
  <c r="AO43" i="8" s="1"/>
  <c r="AJ43" i="8"/>
  <c r="AK43" i="8" s="1"/>
  <c r="AF43" i="8"/>
  <c r="AG43" i="8" s="1"/>
  <c r="S41" i="8"/>
  <c r="M41" i="8"/>
  <c r="J41" i="8"/>
  <c r="AV40" i="8"/>
  <c r="AW40" i="8" s="1"/>
  <c r="AJ40" i="8"/>
  <c r="AK40" i="8" s="1"/>
  <c r="AB39" i="8"/>
  <c r="Y39" i="8"/>
  <c r="V39" i="8"/>
  <c r="S39" i="8"/>
  <c r="P39" i="8"/>
  <c r="G39" i="8"/>
  <c r="AB38" i="8"/>
  <c r="Y38" i="8"/>
  <c r="S38" i="8"/>
  <c r="P38" i="8"/>
  <c r="M38" i="8"/>
  <c r="J38" i="8"/>
  <c r="G38" i="8"/>
  <c r="AV37" i="8"/>
  <c r="AW37" i="8" s="1"/>
  <c r="AR37" i="8"/>
  <c r="AS37" i="8" s="1"/>
  <c r="AN37" i="8"/>
  <c r="AO37" i="8" s="1"/>
  <c r="AJ37" i="8"/>
  <c r="AK37" i="8" s="1"/>
  <c r="AF37" i="8"/>
  <c r="AG37" i="8" s="1"/>
  <c r="AB37" i="8"/>
  <c r="Y37" i="8"/>
  <c r="V37" i="8"/>
  <c r="S37" i="8"/>
  <c r="P37" i="8"/>
  <c r="M37" i="8"/>
  <c r="J37" i="8"/>
  <c r="AV36" i="8"/>
  <c r="AW36" i="8" s="1"/>
  <c r="AR36" i="8"/>
  <c r="AS36" i="8" s="1"/>
  <c r="AN36" i="8"/>
  <c r="AO36" i="8" s="1"/>
  <c r="AJ36" i="8"/>
  <c r="AK36" i="8" s="1"/>
  <c r="AF36" i="8"/>
  <c r="AG36" i="8" s="1"/>
  <c r="Y35" i="8"/>
  <c r="V35" i="8"/>
  <c r="S35" i="8"/>
  <c r="P35" i="8"/>
  <c r="M35" i="8"/>
  <c r="J35" i="8"/>
  <c r="G35" i="8"/>
  <c r="AN34" i="8"/>
  <c r="AO34" i="8" s="1"/>
  <c r="AJ34" i="8"/>
  <c r="AK34" i="8" s="1"/>
  <c r="S34" i="8"/>
  <c r="G34" i="8"/>
  <c r="AN33" i="8"/>
  <c r="AO33" i="8" s="1"/>
  <c r="AF33" i="8"/>
  <c r="AG33" i="8" s="1"/>
  <c r="V33" i="8"/>
  <c r="S33" i="8"/>
  <c r="P33" i="8"/>
  <c r="M33" i="8"/>
  <c r="Y32" i="8"/>
  <c r="V32" i="8"/>
  <c r="P32" i="8"/>
  <c r="J32" i="8"/>
  <c r="AV31" i="8"/>
  <c r="AW31" i="8" s="1"/>
  <c r="AR31" i="8"/>
  <c r="AS31" i="8" s="1"/>
  <c r="AN31" i="8"/>
  <c r="AO31" i="8" s="1"/>
  <c r="AJ31" i="8"/>
  <c r="AK31" i="8" s="1"/>
  <c r="AF31" i="8"/>
  <c r="AG31" i="8" s="1"/>
  <c r="AB30" i="8"/>
  <c r="Y30" i="8"/>
  <c r="S30" i="8"/>
  <c r="P30" i="8"/>
  <c r="M30" i="8"/>
  <c r="J30" i="8"/>
  <c r="AV29" i="8"/>
  <c r="AW29" i="8" s="1"/>
  <c r="AR29" i="8"/>
  <c r="AS29" i="8" s="1"/>
  <c r="AN29" i="8"/>
  <c r="AO29" i="8" s="1"/>
  <c r="AJ29" i="8"/>
  <c r="AK29" i="8" s="1"/>
  <c r="AF29" i="8"/>
  <c r="AG29" i="8" s="1"/>
  <c r="AB29" i="8"/>
  <c r="Y29" i="8"/>
  <c r="V29" i="8"/>
  <c r="S29" i="8"/>
  <c r="M29" i="8"/>
  <c r="AV28" i="8"/>
  <c r="AW28" i="8" s="1"/>
  <c r="AR28" i="8"/>
  <c r="AS28" i="8" s="1"/>
  <c r="AN28" i="8"/>
  <c r="AO28" i="8" s="1"/>
  <c r="AJ28" i="8"/>
  <c r="AK28" i="8" s="1"/>
  <c r="AF28" i="8"/>
  <c r="AG28" i="8" s="1"/>
  <c r="AB27" i="8"/>
  <c r="Y27" i="8"/>
  <c r="V27" i="8"/>
  <c r="S27" i="8"/>
  <c r="P27" i="8"/>
  <c r="M27" i="8"/>
  <c r="J27" i="8"/>
  <c r="G27" i="8"/>
  <c r="S26" i="8"/>
  <c r="AB25" i="8"/>
  <c r="Y25" i="8"/>
  <c r="S25" i="8"/>
  <c r="P25" i="8"/>
  <c r="M25" i="8"/>
  <c r="J25" i="8"/>
  <c r="G25" i="8"/>
  <c r="AV24" i="8"/>
  <c r="AW24" i="8" s="1"/>
  <c r="AJ24" i="8"/>
  <c r="AK24" i="8" s="1"/>
  <c r="Y24" i="8"/>
  <c r="V24" i="8"/>
  <c r="P24" i="8"/>
  <c r="J24" i="8"/>
  <c r="AB23" i="8"/>
  <c r="Y23" i="8"/>
  <c r="V23" i="8"/>
  <c r="S23" i="8"/>
  <c r="P23" i="8"/>
  <c r="M23" i="8"/>
  <c r="AV22" i="8"/>
  <c r="AW22" i="8" s="1"/>
  <c r="AR22" i="8"/>
  <c r="AS22" i="8" s="1"/>
  <c r="AN22" i="8"/>
  <c r="AO22" i="8" s="1"/>
  <c r="AJ22" i="8"/>
  <c r="AK22" i="8" s="1"/>
  <c r="AF22" i="8"/>
  <c r="AG22" i="8" s="1"/>
  <c r="AB22" i="8"/>
  <c r="Y22" i="8"/>
  <c r="S22" i="8"/>
  <c r="P22" i="8"/>
  <c r="M22" i="8"/>
  <c r="J22" i="8"/>
  <c r="AB21" i="8"/>
  <c r="Y21" i="8"/>
  <c r="V21" i="8"/>
  <c r="S21" i="8"/>
  <c r="M21" i="8"/>
  <c r="J21" i="8"/>
  <c r="G21" i="8"/>
  <c r="Y20" i="8"/>
  <c r="V20" i="8"/>
  <c r="S20" i="8"/>
  <c r="P20" i="8"/>
  <c r="M20" i="8"/>
  <c r="G20" i="8"/>
  <c r="AV19" i="8"/>
  <c r="AW19" i="8" s="1"/>
  <c r="AR19" i="8"/>
  <c r="AS19" i="8" s="1"/>
  <c r="AN19" i="8"/>
  <c r="AO19" i="8" s="1"/>
  <c r="AJ19" i="8"/>
  <c r="AK19" i="8" s="1"/>
  <c r="AF19" i="8"/>
  <c r="AG19" i="8" s="1"/>
  <c r="G18" i="8"/>
  <c r="AN17" i="8"/>
  <c r="AO17" i="8" s="1"/>
  <c r="AF17" i="8"/>
  <c r="AG17" i="8" s="1"/>
  <c r="V17" i="8"/>
  <c r="S17" i="8"/>
  <c r="M17" i="8"/>
  <c r="J17" i="8"/>
  <c r="Y16" i="8"/>
  <c r="V16" i="8"/>
  <c r="M16" i="8"/>
  <c r="J16" i="8"/>
  <c r="AV15" i="8"/>
  <c r="AW15" i="8" s="1"/>
  <c r="AR15" i="8"/>
  <c r="AS15" i="8" s="1"/>
  <c r="AN15" i="8"/>
  <c r="AO15" i="8" s="1"/>
  <c r="AJ15" i="8"/>
  <c r="AK15" i="8" s="1"/>
  <c r="AF15" i="8"/>
  <c r="AG15" i="8" s="1"/>
  <c r="AB14" i="8"/>
  <c r="Y14" i="8"/>
  <c r="S14" i="8"/>
  <c r="P14" i="8"/>
  <c r="M14" i="8"/>
  <c r="G14" i="8"/>
  <c r="AV13" i="8"/>
  <c r="AW13" i="8" s="1"/>
  <c r="AR13" i="8"/>
  <c r="AS13" i="8" s="1"/>
  <c r="AN13" i="8"/>
  <c r="AO13" i="8" s="1"/>
  <c r="AJ13" i="8"/>
  <c r="AK13" i="8" s="1"/>
  <c r="AF13" i="8"/>
  <c r="AG13" i="8" s="1"/>
  <c r="AB13" i="8"/>
  <c r="Y13" i="8"/>
  <c r="V13" i="8"/>
  <c r="S13" i="8"/>
  <c r="P13" i="8"/>
  <c r="M13" i="8"/>
  <c r="Y12" i="8"/>
  <c r="V12" i="8"/>
  <c r="S12" i="8"/>
  <c r="P12" i="8"/>
  <c r="M12" i="8"/>
  <c r="J12" i="8"/>
  <c r="AV11" i="8"/>
  <c r="AW11" i="8" s="1"/>
  <c r="AR11" i="8"/>
  <c r="AS11" i="8" s="1"/>
  <c r="AN11" i="8"/>
  <c r="AO11" i="8" s="1"/>
  <c r="AJ11" i="8"/>
  <c r="AK11" i="8" s="1"/>
  <c r="AF11" i="8"/>
  <c r="AG11" i="8" s="1"/>
  <c r="Y11" i="8"/>
  <c r="V11" i="8"/>
  <c r="S11" i="8"/>
  <c r="P11" i="8"/>
  <c r="M11" i="8"/>
  <c r="J11" i="8"/>
  <c r="G10" i="8"/>
  <c r="AB9" i="8"/>
  <c r="V9" i="8"/>
  <c r="S9" i="8"/>
  <c r="M9" i="8"/>
  <c r="J9" i="8"/>
  <c r="Y8" i="8"/>
  <c r="V8" i="8"/>
  <c r="S8" i="8"/>
  <c r="J8" i="8"/>
  <c r="AB7" i="8"/>
  <c r="Y7" i="8"/>
  <c r="V7" i="8"/>
  <c r="S7" i="8"/>
  <c r="P7" i="8"/>
  <c r="J7" i="8"/>
  <c r="AV6" i="8"/>
  <c r="AW6" i="8" s="1"/>
  <c r="AR6" i="8"/>
  <c r="AS6" i="8" s="1"/>
  <c r="AN6" i="8"/>
  <c r="AO6" i="8" s="1"/>
  <c r="AJ6" i="8"/>
  <c r="AK6" i="8" s="1"/>
  <c r="AF6" i="8"/>
  <c r="AG6" i="8" s="1"/>
  <c r="AB5" i="8"/>
  <c r="Y5" i="8"/>
  <c r="V5" i="8"/>
  <c r="S5" i="8"/>
  <c r="P5" i="8"/>
  <c r="M5" i="8"/>
  <c r="AB4" i="8"/>
  <c r="Y4" i="8"/>
  <c r="V4" i="8"/>
  <c r="S4" i="8"/>
  <c r="P4" i="8"/>
  <c r="M4" i="8"/>
  <c r="AY3" i="8"/>
  <c r="AW29" i="7"/>
  <c r="AV60" i="7"/>
  <c r="AW60" i="7" s="1"/>
  <c r="AV58" i="7"/>
  <c r="AW58" i="7" s="1"/>
  <c r="AV56" i="7"/>
  <c r="AW56" i="7" s="1"/>
  <c r="AV55" i="7"/>
  <c r="AW55" i="7" s="1"/>
  <c r="AV53" i="7"/>
  <c r="AW53" i="7" s="1"/>
  <c r="AV51" i="7"/>
  <c r="AW51" i="7" s="1"/>
  <c r="AV50" i="7"/>
  <c r="AW50" i="7" s="1"/>
  <c r="AV48" i="7"/>
  <c r="AW48" i="7" s="1"/>
  <c r="AV47" i="7"/>
  <c r="AW47" i="7" s="1"/>
  <c r="AV45" i="7"/>
  <c r="AW45" i="7" s="1"/>
  <c r="AV43" i="7"/>
  <c r="AW43" i="7" s="1"/>
  <c r="AV42" i="7"/>
  <c r="AW42" i="7" s="1"/>
  <c r="AV40" i="7"/>
  <c r="AW40" i="7" s="1"/>
  <c r="AV39" i="7"/>
  <c r="AW39" i="7" s="1"/>
  <c r="AV37" i="7"/>
  <c r="AW37" i="7" s="1"/>
  <c r="AV36" i="7"/>
  <c r="AW36" i="7" s="1"/>
  <c r="AV34" i="7"/>
  <c r="AW34" i="7" s="1"/>
  <c r="AV33" i="7"/>
  <c r="AW33" i="7" s="1"/>
  <c r="AV31" i="7"/>
  <c r="AW31" i="7" s="1"/>
  <c r="AV29" i="7"/>
  <c r="AV28" i="7"/>
  <c r="AW28" i="7" s="1"/>
  <c r="AV26" i="7"/>
  <c r="AW26" i="7" s="1"/>
  <c r="AV25" i="7"/>
  <c r="AW25" i="7" s="1"/>
  <c r="AV24" i="7"/>
  <c r="AW24" i="7" s="1"/>
  <c r="AV22" i="7"/>
  <c r="AW22" i="7" s="1"/>
  <c r="AV19" i="7"/>
  <c r="AW19" i="7" s="1"/>
  <c r="AV17" i="7"/>
  <c r="AW17" i="7" s="1"/>
  <c r="AV15" i="7"/>
  <c r="AW15" i="7" s="1"/>
  <c r="AV13" i="7"/>
  <c r="AW13" i="7" s="1"/>
  <c r="AV11" i="7"/>
  <c r="AW11" i="7" s="1"/>
  <c r="AV6" i="7"/>
  <c r="AW6" i="7" s="1"/>
  <c r="AU60" i="7"/>
  <c r="AU58" i="7"/>
  <c r="AU56" i="7"/>
  <c r="AU55" i="7"/>
  <c r="AU53" i="7"/>
  <c r="AU51" i="7"/>
  <c r="AU50" i="7"/>
  <c r="AU48" i="7"/>
  <c r="AU47" i="7"/>
  <c r="AU45" i="7"/>
  <c r="AU43" i="7"/>
  <c r="AU42" i="7"/>
  <c r="AU40" i="7"/>
  <c r="AU39" i="7"/>
  <c r="AU37" i="7"/>
  <c r="AU36" i="7"/>
  <c r="AU34" i="7"/>
  <c r="AU33" i="7"/>
  <c r="AU31" i="7"/>
  <c r="AU29" i="7"/>
  <c r="AU28" i="7"/>
  <c r="AU26" i="7"/>
  <c r="AU25" i="7"/>
  <c r="AU24" i="7"/>
  <c r="AU22" i="7"/>
  <c r="AU19" i="7"/>
  <c r="AU17" i="7"/>
  <c r="AU15" i="7"/>
  <c r="AU13" i="7"/>
  <c r="AU11" i="7"/>
  <c r="AU6" i="7"/>
  <c r="AQ60" i="7"/>
  <c r="AR60" i="7" s="1"/>
  <c r="AS60" i="7" s="1"/>
  <c r="AQ58" i="7"/>
  <c r="AR58" i="7" s="1"/>
  <c r="AS58" i="7" s="1"/>
  <c r="AQ56" i="7"/>
  <c r="AR56" i="7" s="1"/>
  <c r="AS56" i="7" s="1"/>
  <c r="AQ55" i="7"/>
  <c r="AR55" i="7" s="1"/>
  <c r="AS55" i="7" s="1"/>
  <c r="AQ53" i="7"/>
  <c r="AR53" i="7" s="1"/>
  <c r="AS53" i="7" s="1"/>
  <c r="AQ51" i="7"/>
  <c r="AR51" i="7" s="1"/>
  <c r="AS51" i="7" s="1"/>
  <c r="AQ50" i="7"/>
  <c r="AR50" i="7" s="1"/>
  <c r="AS50" i="7" s="1"/>
  <c r="AQ48" i="7"/>
  <c r="AR48" i="7" s="1"/>
  <c r="AS48" i="7" s="1"/>
  <c r="AQ47" i="7"/>
  <c r="AR47" i="7" s="1"/>
  <c r="AS47" i="7" s="1"/>
  <c r="AQ45" i="7"/>
  <c r="AR45" i="7" s="1"/>
  <c r="AS45" i="7" s="1"/>
  <c r="AQ43" i="7"/>
  <c r="AR43" i="7" s="1"/>
  <c r="AS43" i="7" s="1"/>
  <c r="AQ42" i="7"/>
  <c r="AR42" i="7" s="1"/>
  <c r="AS42" i="7" s="1"/>
  <c r="AQ40" i="7"/>
  <c r="AR40" i="7" s="1"/>
  <c r="AS40" i="7" s="1"/>
  <c r="AQ39" i="7"/>
  <c r="AR39" i="7" s="1"/>
  <c r="AS39" i="7" s="1"/>
  <c r="AQ37" i="7"/>
  <c r="AR37" i="7" s="1"/>
  <c r="AS37" i="7" s="1"/>
  <c r="AQ36" i="7"/>
  <c r="AR36" i="7" s="1"/>
  <c r="AS36" i="7" s="1"/>
  <c r="AQ34" i="7"/>
  <c r="AR34" i="7" s="1"/>
  <c r="AS34" i="7" s="1"/>
  <c r="AQ33" i="7"/>
  <c r="AR33" i="7" s="1"/>
  <c r="AS33" i="7" s="1"/>
  <c r="AQ31" i="7"/>
  <c r="AR31" i="7" s="1"/>
  <c r="AS31" i="7" s="1"/>
  <c r="AQ29" i="7"/>
  <c r="AR29" i="7" s="1"/>
  <c r="AS29" i="7" s="1"/>
  <c r="AQ28" i="7"/>
  <c r="AR28" i="7" s="1"/>
  <c r="AS28" i="7" s="1"/>
  <c r="AQ26" i="7"/>
  <c r="AR26" i="7" s="1"/>
  <c r="AS26" i="7" s="1"/>
  <c r="AQ25" i="7"/>
  <c r="AR25" i="7" s="1"/>
  <c r="AS25" i="7" s="1"/>
  <c r="AQ24" i="7"/>
  <c r="AR24" i="7" s="1"/>
  <c r="AS24" i="7" s="1"/>
  <c r="AQ22" i="7"/>
  <c r="AR22" i="7" s="1"/>
  <c r="AS22" i="7" s="1"/>
  <c r="AQ19" i="7"/>
  <c r="AR19" i="7" s="1"/>
  <c r="AS19" i="7" s="1"/>
  <c r="AQ17" i="7"/>
  <c r="AR17" i="7" s="1"/>
  <c r="AS17" i="7" s="1"/>
  <c r="AQ15" i="7"/>
  <c r="AR15" i="7" s="1"/>
  <c r="AS15" i="7" s="1"/>
  <c r="AQ13" i="7"/>
  <c r="AR13" i="7" s="1"/>
  <c r="AS13" i="7" s="1"/>
  <c r="AQ11" i="7"/>
  <c r="AR11" i="7" s="1"/>
  <c r="AS11" i="7" s="1"/>
  <c r="AQ6" i="7"/>
  <c r="AR6" i="7" s="1"/>
  <c r="AS6" i="7" s="1"/>
  <c r="AM60" i="7"/>
  <c r="AN60" i="7" s="1"/>
  <c r="AO60" i="7" s="1"/>
  <c r="AM58" i="7"/>
  <c r="AN58" i="7" s="1"/>
  <c r="AO58" i="7" s="1"/>
  <c r="AM56" i="7"/>
  <c r="AN56" i="7" s="1"/>
  <c r="AO56" i="7" s="1"/>
  <c r="AM55" i="7"/>
  <c r="AN55" i="7" s="1"/>
  <c r="AO55" i="7" s="1"/>
  <c r="AM53" i="7"/>
  <c r="AN53" i="7" s="1"/>
  <c r="AO53" i="7" s="1"/>
  <c r="AM51" i="7"/>
  <c r="AN51" i="7" s="1"/>
  <c r="AO51" i="7" s="1"/>
  <c r="AM50" i="7"/>
  <c r="AN50" i="7" s="1"/>
  <c r="AO50" i="7" s="1"/>
  <c r="AM48" i="7"/>
  <c r="AN48" i="7" s="1"/>
  <c r="AO48" i="7" s="1"/>
  <c r="AM47" i="7"/>
  <c r="AN47" i="7" s="1"/>
  <c r="AO47" i="7" s="1"/>
  <c r="AM45" i="7"/>
  <c r="AN45" i="7" s="1"/>
  <c r="AO45" i="7" s="1"/>
  <c r="AM43" i="7"/>
  <c r="AN43" i="7" s="1"/>
  <c r="AO43" i="7" s="1"/>
  <c r="AM42" i="7"/>
  <c r="AN42" i="7" s="1"/>
  <c r="AO42" i="7" s="1"/>
  <c r="AM40" i="7"/>
  <c r="AN40" i="7" s="1"/>
  <c r="AO40" i="7" s="1"/>
  <c r="AM39" i="7"/>
  <c r="AN39" i="7" s="1"/>
  <c r="AO39" i="7" s="1"/>
  <c r="AM37" i="7"/>
  <c r="AN37" i="7" s="1"/>
  <c r="AO37" i="7" s="1"/>
  <c r="AM36" i="7"/>
  <c r="AN36" i="7" s="1"/>
  <c r="AO36" i="7" s="1"/>
  <c r="AM34" i="7"/>
  <c r="AN34" i="7" s="1"/>
  <c r="AO34" i="7" s="1"/>
  <c r="AM33" i="7"/>
  <c r="AN33" i="7" s="1"/>
  <c r="AO33" i="7" s="1"/>
  <c r="AM31" i="7"/>
  <c r="AN31" i="7" s="1"/>
  <c r="AO31" i="7" s="1"/>
  <c r="AM29" i="7"/>
  <c r="AN29" i="7" s="1"/>
  <c r="AO29" i="7" s="1"/>
  <c r="AM28" i="7"/>
  <c r="AN28" i="7" s="1"/>
  <c r="AO28" i="7" s="1"/>
  <c r="AM26" i="7"/>
  <c r="AN26" i="7" s="1"/>
  <c r="AO26" i="7" s="1"/>
  <c r="AM25" i="7"/>
  <c r="AN25" i="7" s="1"/>
  <c r="AO25" i="7" s="1"/>
  <c r="AM24" i="7"/>
  <c r="AN24" i="7" s="1"/>
  <c r="AO24" i="7" s="1"/>
  <c r="AM22" i="7"/>
  <c r="AN22" i="7" s="1"/>
  <c r="AO22" i="7" s="1"/>
  <c r="AM19" i="7"/>
  <c r="AN19" i="7" s="1"/>
  <c r="AO19" i="7" s="1"/>
  <c r="AM17" i="7"/>
  <c r="AN17" i="7" s="1"/>
  <c r="AO17" i="7" s="1"/>
  <c r="AM15" i="7"/>
  <c r="AN15" i="7" s="1"/>
  <c r="AO15" i="7" s="1"/>
  <c r="AM13" i="7"/>
  <c r="AN13" i="7" s="1"/>
  <c r="AO13" i="7" s="1"/>
  <c r="AM11" i="7"/>
  <c r="AN11" i="7" s="1"/>
  <c r="AO11" i="7" s="1"/>
  <c r="AM6" i="7"/>
  <c r="AN6" i="7" s="1"/>
  <c r="AO6" i="7" s="1"/>
  <c r="AI60" i="7"/>
  <c r="AJ60" i="7" s="1"/>
  <c r="AK60" i="7" s="1"/>
  <c r="AI58" i="7"/>
  <c r="AJ58" i="7" s="1"/>
  <c r="AK58" i="7" s="1"/>
  <c r="AI56" i="7"/>
  <c r="AJ56" i="7" s="1"/>
  <c r="AK56" i="7" s="1"/>
  <c r="AI55" i="7"/>
  <c r="AJ55" i="7" s="1"/>
  <c r="AK55" i="7" s="1"/>
  <c r="AI53" i="7"/>
  <c r="AJ53" i="7" s="1"/>
  <c r="AK53" i="7" s="1"/>
  <c r="AI51" i="7"/>
  <c r="AJ51" i="7" s="1"/>
  <c r="AK51" i="7" s="1"/>
  <c r="AI50" i="7"/>
  <c r="AJ50" i="7" s="1"/>
  <c r="AK50" i="7" s="1"/>
  <c r="AI48" i="7"/>
  <c r="AJ48" i="7" s="1"/>
  <c r="AK48" i="7" s="1"/>
  <c r="AI47" i="7"/>
  <c r="AJ47" i="7" s="1"/>
  <c r="AK47" i="7" s="1"/>
  <c r="AI45" i="7"/>
  <c r="AJ45" i="7" s="1"/>
  <c r="AK45" i="7" s="1"/>
  <c r="AI43" i="7"/>
  <c r="AJ43" i="7" s="1"/>
  <c r="AK43" i="7" s="1"/>
  <c r="AI42" i="7"/>
  <c r="AJ42" i="7" s="1"/>
  <c r="AK42" i="7" s="1"/>
  <c r="AI40" i="7"/>
  <c r="AJ40" i="7" s="1"/>
  <c r="AK40" i="7" s="1"/>
  <c r="AI39" i="7"/>
  <c r="AJ39" i="7" s="1"/>
  <c r="AK39" i="7" s="1"/>
  <c r="AI37" i="7"/>
  <c r="AJ37" i="7" s="1"/>
  <c r="AK37" i="7" s="1"/>
  <c r="AI36" i="7"/>
  <c r="AJ36" i="7" s="1"/>
  <c r="AK36" i="7" s="1"/>
  <c r="AI34" i="7"/>
  <c r="AJ34" i="7" s="1"/>
  <c r="AK34" i="7" s="1"/>
  <c r="AI33" i="7"/>
  <c r="AJ33" i="7" s="1"/>
  <c r="AK33" i="7" s="1"/>
  <c r="AI31" i="7"/>
  <c r="AJ31" i="7" s="1"/>
  <c r="AK31" i="7" s="1"/>
  <c r="AI29" i="7"/>
  <c r="AJ29" i="7" s="1"/>
  <c r="AK29" i="7" s="1"/>
  <c r="AI28" i="7"/>
  <c r="AJ28" i="7" s="1"/>
  <c r="AK28" i="7" s="1"/>
  <c r="AI26" i="7"/>
  <c r="AJ26" i="7" s="1"/>
  <c r="AK26" i="7" s="1"/>
  <c r="AI25" i="7"/>
  <c r="AJ25" i="7" s="1"/>
  <c r="AK25" i="7" s="1"/>
  <c r="AI24" i="7"/>
  <c r="AJ24" i="7" s="1"/>
  <c r="AK24" i="7" s="1"/>
  <c r="AI22" i="7"/>
  <c r="AJ22" i="7" s="1"/>
  <c r="AK22" i="7" s="1"/>
  <c r="AI19" i="7"/>
  <c r="AJ19" i="7" s="1"/>
  <c r="AK19" i="7" s="1"/>
  <c r="AI17" i="7"/>
  <c r="AJ17" i="7" s="1"/>
  <c r="AK17" i="7" s="1"/>
  <c r="AI15" i="7"/>
  <c r="AJ15" i="7" s="1"/>
  <c r="AK15" i="7" s="1"/>
  <c r="AI13" i="7"/>
  <c r="AJ13" i="7" s="1"/>
  <c r="AK13" i="7" s="1"/>
  <c r="AI11" i="7"/>
  <c r="AJ11" i="7" s="1"/>
  <c r="AK11" i="7" s="1"/>
  <c r="AI6" i="7"/>
  <c r="AJ6" i="7" s="1"/>
  <c r="AK6" i="7" s="1"/>
  <c r="AG61" i="7"/>
  <c r="AF51" i="7"/>
  <c r="AG51" i="7" s="1"/>
  <c r="AF39" i="7"/>
  <c r="AG39" i="7" s="1"/>
  <c r="AF25" i="7"/>
  <c r="AG25" i="7" s="1"/>
  <c r="AE60" i="7"/>
  <c r="AF60" i="7" s="1"/>
  <c r="AG60" i="7" s="1"/>
  <c r="AE58" i="7"/>
  <c r="AF58" i="7" s="1"/>
  <c r="AG58" i="7" s="1"/>
  <c r="AE56" i="7"/>
  <c r="AF56" i="7" s="1"/>
  <c r="AG56" i="7" s="1"/>
  <c r="AE55" i="7"/>
  <c r="AF55" i="7" s="1"/>
  <c r="AG55" i="7" s="1"/>
  <c r="AE53" i="7"/>
  <c r="AF53" i="7" s="1"/>
  <c r="AG53" i="7" s="1"/>
  <c r="AE50" i="7"/>
  <c r="AF50" i="7" s="1"/>
  <c r="AG50" i="7" s="1"/>
  <c r="AE48" i="7"/>
  <c r="AF48" i="7" s="1"/>
  <c r="AG48" i="7" s="1"/>
  <c r="AE47" i="7"/>
  <c r="AF47" i="7" s="1"/>
  <c r="AG47" i="7" s="1"/>
  <c r="AE45" i="7"/>
  <c r="AF45" i="7" s="1"/>
  <c r="AG45" i="7" s="1"/>
  <c r="AE43" i="7"/>
  <c r="AF43" i="7" s="1"/>
  <c r="AG43" i="7" s="1"/>
  <c r="AE42" i="7"/>
  <c r="AF42" i="7" s="1"/>
  <c r="AG42" i="7" s="1"/>
  <c r="AE40" i="7"/>
  <c r="AF40" i="7" s="1"/>
  <c r="AG40" i="7" s="1"/>
  <c r="AE37" i="7"/>
  <c r="AF37" i="7" s="1"/>
  <c r="AG37" i="7" s="1"/>
  <c r="AE36" i="7"/>
  <c r="AF36" i="7" s="1"/>
  <c r="AG36" i="7" s="1"/>
  <c r="AE34" i="7"/>
  <c r="AF34" i="7" s="1"/>
  <c r="AG34" i="7" s="1"/>
  <c r="AE33" i="7"/>
  <c r="AF33" i="7" s="1"/>
  <c r="AG33" i="7" s="1"/>
  <c r="AE31" i="7"/>
  <c r="AF31" i="7" s="1"/>
  <c r="AG31" i="7" s="1"/>
  <c r="AE29" i="7"/>
  <c r="AF29" i="7" s="1"/>
  <c r="AG29" i="7" s="1"/>
  <c r="AE28" i="7"/>
  <c r="AF28" i="7" s="1"/>
  <c r="AG28" i="7" s="1"/>
  <c r="AE26" i="7"/>
  <c r="AF26" i="7" s="1"/>
  <c r="AG26" i="7" s="1"/>
  <c r="AE24" i="7"/>
  <c r="AF24" i="7" s="1"/>
  <c r="AG24" i="7" s="1"/>
  <c r="AE22" i="7"/>
  <c r="AF22" i="7" s="1"/>
  <c r="AG22" i="7" s="1"/>
  <c r="AE19" i="7"/>
  <c r="AF19" i="7" s="1"/>
  <c r="AG19" i="7" s="1"/>
  <c r="AE17" i="7"/>
  <c r="AF17" i="7" s="1"/>
  <c r="AG17" i="7" s="1"/>
  <c r="AE15" i="7"/>
  <c r="AF15" i="7" s="1"/>
  <c r="AG15" i="7" s="1"/>
  <c r="AE13" i="7"/>
  <c r="AF13" i="7" s="1"/>
  <c r="AG13" i="7" s="1"/>
  <c r="AE11" i="7"/>
  <c r="AF11" i="7" s="1"/>
  <c r="AG11" i="7" s="1"/>
  <c r="AE6" i="7"/>
  <c r="AF6" i="7" s="1"/>
  <c r="AG6" i="7" s="1"/>
  <c r="AB5" i="7"/>
  <c r="AB7" i="7"/>
  <c r="AB8" i="7"/>
  <c r="AB9" i="7"/>
  <c r="AB10" i="7"/>
  <c r="AB11" i="7"/>
  <c r="AB12" i="7"/>
  <c r="AB13" i="7"/>
  <c r="AB14" i="7"/>
  <c r="AB16" i="7"/>
  <c r="AB17" i="7"/>
  <c r="AB18" i="7"/>
  <c r="AB20" i="7"/>
  <c r="AB21" i="7"/>
  <c r="AB22" i="7"/>
  <c r="AB23" i="7"/>
  <c r="AB24" i="7"/>
  <c r="AB25" i="7"/>
  <c r="AB26" i="7"/>
  <c r="AB27" i="7"/>
  <c r="AB29" i="7"/>
  <c r="AB30" i="7"/>
  <c r="AB32" i="7"/>
  <c r="AB33" i="7"/>
  <c r="AB34" i="7"/>
  <c r="AB35" i="7"/>
  <c r="AB37" i="7"/>
  <c r="AB38" i="7"/>
  <c r="AB39" i="7"/>
  <c r="AB41" i="7"/>
  <c r="AB42" i="7"/>
  <c r="AB44" i="7"/>
  <c r="AB46" i="7"/>
  <c r="AB47" i="7"/>
  <c r="AB49" i="7"/>
  <c r="AB50" i="7"/>
  <c r="AB51" i="7"/>
  <c r="AB52" i="7"/>
  <c r="AB53" i="7"/>
  <c r="AB54" i="7"/>
  <c r="AB55" i="7"/>
  <c r="AB57" i="7"/>
  <c r="AB58" i="7"/>
  <c r="AB59" i="7"/>
  <c r="AB61" i="7"/>
  <c r="AB62" i="7"/>
  <c r="AB63" i="7"/>
  <c r="AB4" i="7"/>
  <c r="AA5" i="7"/>
  <c r="AA8" i="7"/>
  <c r="AA9" i="7"/>
  <c r="AA10" i="7"/>
  <c r="AA11" i="7"/>
  <c r="AA12" i="7"/>
  <c r="AA13" i="7"/>
  <c r="AA14" i="7"/>
  <c r="AA16" i="7"/>
  <c r="AA17" i="7"/>
  <c r="AA18" i="7"/>
  <c r="AA20" i="7"/>
  <c r="AA21" i="7"/>
  <c r="AA22" i="7"/>
  <c r="AA23" i="7"/>
  <c r="AA24" i="7"/>
  <c r="AA25" i="7"/>
  <c r="AA26" i="7"/>
  <c r="AA27" i="7"/>
  <c r="AA29" i="7"/>
  <c r="AA30" i="7"/>
  <c r="AA32" i="7"/>
  <c r="AA33" i="7"/>
  <c r="AA34" i="7"/>
  <c r="AA35" i="7"/>
  <c r="AA37" i="7"/>
  <c r="AA38" i="7"/>
  <c r="AA39" i="7"/>
  <c r="AA41" i="7"/>
  <c r="AA42" i="7"/>
  <c r="AA44" i="7"/>
  <c r="AA46" i="7"/>
  <c r="AA47" i="7"/>
  <c r="AA49" i="7"/>
  <c r="AA50" i="7"/>
  <c r="AA51" i="7"/>
  <c r="AA52" i="7"/>
  <c r="AA53" i="7"/>
  <c r="AA54" i="7"/>
  <c r="AA55" i="7"/>
  <c r="AA57" i="7"/>
  <c r="AA58" i="7"/>
  <c r="AA59" i="7"/>
  <c r="AA61" i="7"/>
  <c r="AA62" i="7"/>
  <c r="AA63" i="7"/>
  <c r="AA4" i="7"/>
  <c r="X5" i="7"/>
  <c r="Y5" i="7" s="1"/>
  <c r="Y7" i="7"/>
  <c r="X8" i="7"/>
  <c r="Y8" i="7" s="1"/>
  <c r="X9" i="7"/>
  <c r="Y9" i="7" s="1"/>
  <c r="X10" i="7"/>
  <c r="Y10" i="7" s="1"/>
  <c r="X11" i="7"/>
  <c r="Y11" i="7" s="1"/>
  <c r="X12" i="7"/>
  <c r="Y12" i="7" s="1"/>
  <c r="X13" i="7"/>
  <c r="Y13" i="7" s="1"/>
  <c r="X14" i="7"/>
  <c r="Y14" i="7" s="1"/>
  <c r="X16" i="7"/>
  <c r="Y16" i="7" s="1"/>
  <c r="X17" i="7"/>
  <c r="Y17" i="7" s="1"/>
  <c r="X18" i="7"/>
  <c r="Y18" i="7" s="1"/>
  <c r="X20" i="7"/>
  <c r="Y20" i="7" s="1"/>
  <c r="X21" i="7"/>
  <c r="Y21" i="7" s="1"/>
  <c r="X22" i="7"/>
  <c r="Y22" i="7" s="1"/>
  <c r="X23" i="7"/>
  <c r="Y23" i="7" s="1"/>
  <c r="X24" i="7"/>
  <c r="Y24" i="7" s="1"/>
  <c r="X25" i="7"/>
  <c r="Y25" i="7" s="1"/>
  <c r="X26" i="7"/>
  <c r="Y26" i="7" s="1"/>
  <c r="X27" i="7"/>
  <c r="Y27" i="7" s="1"/>
  <c r="X29" i="7"/>
  <c r="Y29" i="7" s="1"/>
  <c r="X30" i="7"/>
  <c r="Y30" i="7" s="1"/>
  <c r="X32" i="7"/>
  <c r="Y32" i="7" s="1"/>
  <c r="X33" i="7"/>
  <c r="Y33" i="7" s="1"/>
  <c r="X34" i="7"/>
  <c r="Y34" i="7" s="1"/>
  <c r="X35" i="7"/>
  <c r="Y35" i="7" s="1"/>
  <c r="X37" i="7"/>
  <c r="Y37" i="7" s="1"/>
  <c r="X38" i="7"/>
  <c r="Y38" i="7" s="1"/>
  <c r="X39" i="7"/>
  <c r="Y39" i="7" s="1"/>
  <c r="X41" i="7"/>
  <c r="Y41" i="7" s="1"/>
  <c r="X42" i="7"/>
  <c r="Y42" i="7" s="1"/>
  <c r="X44" i="7"/>
  <c r="Y44" i="7" s="1"/>
  <c r="X46" i="7"/>
  <c r="Y46" i="7" s="1"/>
  <c r="X47" i="7"/>
  <c r="Y47" i="7" s="1"/>
  <c r="X49" i="7"/>
  <c r="Y49" i="7" s="1"/>
  <c r="X50" i="7"/>
  <c r="Y50" i="7" s="1"/>
  <c r="X51" i="7"/>
  <c r="Y51" i="7" s="1"/>
  <c r="X52" i="7"/>
  <c r="Y52" i="7" s="1"/>
  <c r="X53" i="7"/>
  <c r="Y53" i="7" s="1"/>
  <c r="X54" i="7"/>
  <c r="Y54" i="7" s="1"/>
  <c r="X55" i="7"/>
  <c r="Y55" i="7" s="1"/>
  <c r="X57" i="7"/>
  <c r="Y57" i="7" s="1"/>
  <c r="X58" i="7"/>
  <c r="Y58" i="7" s="1"/>
  <c r="X59" i="7"/>
  <c r="Y59" i="7" s="1"/>
  <c r="X61" i="7"/>
  <c r="Y61" i="7" s="1"/>
  <c r="X62" i="7"/>
  <c r="Y62" i="7" s="1"/>
  <c r="X63" i="7"/>
  <c r="Y63" i="7" s="1"/>
  <c r="X4" i="7"/>
  <c r="Y4" i="7" s="1"/>
  <c r="U5" i="7"/>
  <c r="V5" i="7" s="1"/>
  <c r="V7" i="7"/>
  <c r="U8" i="7"/>
  <c r="V8" i="7" s="1"/>
  <c r="U9" i="7"/>
  <c r="V9" i="7" s="1"/>
  <c r="U10" i="7"/>
  <c r="V10" i="7" s="1"/>
  <c r="U11" i="7"/>
  <c r="V11" i="7" s="1"/>
  <c r="U12" i="7"/>
  <c r="V12" i="7" s="1"/>
  <c r="U13" i="7"/>
  <c r="V13" i="7" s="1"/>
  <c r="U14" i="7"/>
  <c r="V14" i="7" s="1"/>
  <c r="U16" i="7"/>
  <c r="V16" i="7" s="1"/>
  <c r="U17" i="7"/>
  <c r="V17" i="7" s="1"/>
  <c r="U18" i="7"/>
  <c r="V18" i="7" s="1"/>
  <c r="U20" i="7"/>
  <c r="V20" i="7" s="1"/>
  <c r="U21" i="7"/>
  <c r="V21" i="7" s="1"/>
  <c r="U22" i="7"/>
  <c r="V22" i="7" s="1"/>
  <c r="U23" i="7"/>
  <c r="V23" i="7" s="1"/>
  <c r="U24" i="7"/>
  <c r="V24" i="7" s="1"/>
  <c r="U25" i="7"/>
  <c r="V25" i="7" s="1"/>
  <c r="U26" i="7"/>
  <c r="V26" i="7" s="1"/>
  <c r="U27" i="7"/>
  <c r="V27" i="7" s="1"/>
  <c r="U29" i="7"/>
  <c r="V29" i="7" s="1"/>
  <c r="U30" i="7"/>
  <c r="V30" i="7" s="1"/>
  <c r="U32" i="7"/>
  <c r="V32" i="7" s="1"/>
  <c r="U33" i="7"/>
  <c r="V33" i="7" s="1"/>
  <c r="U34" i="7"/>
  <c r="V34" i="7" s="1"/>
  <c r="U35" i="7"/>
  <c r="V35" i="7" s="1"/>
  <c r="U37" i="7"/>
  <c r="V37" i="7" s="1"/>
  <c r="U38" i="7"/>
  <c r="V38" i="7" s="1"/>
  <c r="U39" i="7"/>
  <c r="V39" i="7" s="1"/>
  <c r="U41" i="7"/>
  <c r="V41" i="7" s="1"/>
  <c r="U42" i="7"/>
  <c r="V42" i="7" s="1"/>
  <c r="U44" i="7"/>
  <c r="V44" i="7" s="1"/>
  <c r="U46" i="7"/>
  <c r="V46" i="7" s="1"/>
  <c r="U47" i="7"/>
  <c r="V47" i="7" s="1"/>
  <c r="U49" i="7"/>
  <c r="V49" i="7" s="1"/>
  <c r="U50" i="7"/>
  <c r="V50" i="7" s="1"/>
  <c r="U51" i="7"/>
  <c r="V51" i="7" s="1"/>
  <c r="U52" i="7"/>
  <c r="V52" i="7" s="1"/>
  <c r="U53" i="7"/>
  <c r="V53" i="7" s="1"/>
  <c r="U54" i="7"/>
  <c r="V54" i="7" s="1"/>
  <c r="U55" i="7"/>
  <c r="V55" i="7" s="1"/>
  <c r="U57" i="7"/>
  <c r="V57" i="7" s="1"/>
  <c r="U58" i="7"/>
  <c r="V58" i="7" s="1"/>
  <c r="U59" i="7"/>
  <c r="V59" i="7" s="1"/>
  <c r="U61" i="7"/>
  <c r="V61" i="7" s="1"/>
  <c r="U62" i="7"/>
  <c r="V62" i="7" s="1"/>
  <c r="U63" i="7"/>
  <c r="V63" i="7" s="1"/>
  <c r="U4" i="7"/>
  <c r="V4" i="7" s="1"/>
  <c r="R5" i="7"/>
  <c r="S5" i="7" s="1"/>
  <c r="S7" i="7"/>
  <c r="R8" i="7"/>
  <c r="S8" i="7" s="1"/>
  <c r="R9" i="7"/>
  <c r="S9" i="7" s="1"/>
  <c r="R10" i="7"/>
  <c r="S10" i="7" s="1"/>
  <c r="R11" i="7"/>
  <c r="S11" i="7" s="1"/>
  <c r="R12" i="7"/>
  <c r="S12" i="7" s="1"/>
  <c r="R13" i="7"/>
  <c r="S13" i="7" s="1"/>
  <c r="R14" i="7"/>
  <c r="S14" i="7" s="1"/>
  <c r="R16" i="7"/>
  <c r="S16" i="7" s="1"/>
  <c r="R17" i="7"/>
  <c r="S17" i="7" s="1"/>
  <c r="R18" i="7"/>
  <c r="S18" i="7" s="1"/>
  <c r="R20" i="7"/>
  <c r="S20" i="7" s="1"/>
  <c r="R21" i="7"/>
  <c r="S21" i="7" s="1"/>
  <c r="R22" i="7"/>
  <c r="S22" i="7" s="1"/>
  <c r="R23" i="7"/>
  <c r="S23" i="7" s="1"/>
  <c r="R24" i="7"/>
  <c r="S24" i="7" s="1"/>
  <c r="R25" i="7"/>
  <c r="S25" i="7" s="1"/>
  <c r="R26" i="7"/>
  <c r="S26" i="7" s="1"/>
  <c r="R27" i="7"/>
  <c r="S27" i="7" s="1"/>
  <c r="R29" i="7"/>
  <c r="S29" i="7" s="1"/>
  <c r="R30" i="7"/>
  <c r="S30" i="7" s="1"/>
  <c r="R32" i="7"/>
  <c r="S32" i="7" s="1"/>
  <c r="R33" i="7"/>
  <c r="S33" i="7" s="1"/>
  <c r="R34" i="7"/>
  <c r="S34" i="7" s="1"/>
  <c r="R35" i="7"/>
  <c r="S35" i="7" s="1"/>
  <c r="R37" i="7"/>
  <c r="S37" i="7" s="1"/>
  <c r="R38" i="7"/>
  <c r="S38" i="7" s="1"/>
  <c r="R39" i="7"/>
  <c r="S39" i="7" s="1"/>
  <c r="R41" i="7"/>
  <c r="S41" i="7" s="1"/>
  <c r="R42" i="7"/>
  <c r="S42" i="7" s="1"/>
  <c r="R44" i="7"/>
  <c r="S44" i="7" s="1"/>
  <c r="R46" i="7"/>
  <c r="S46" i="7" s="1"/>
  <c r="R47" i="7"/>
  <c r="S47" i="7" s="1"/>
  <c r="R49" i="7"/>
  <c r="S49" i="7" s="1"/>
  <c r="R50" i="7"/>
  <c r="S50" i="7" s="1"/>
  <c r="R51" i="7"/>
  <c r="S51" i="7" s="1"/>
  <c r="R52" i="7"/>
  <c r="S52" i="7" s="1"/>
  <c r="R53" i="7"/>
  <c r="S53" i="7" s="1"/>
  <c r="R54" i="7"/>
  <c r="S54" i="7" s="1"/>
  <c r="R55" i="7"/>
  <c r="S55" i="7" s="1"/>
  <c r="R57" i="7"/>
  <c r="S57" i="7" s="1"/>
  <c r="R58" i="7"/>
  <c r="S58" i="7" s="1"/>
  <c r="R59" i="7"/>
  <c r="S59" i="7" s="1"/>
  <c r="R61" i="7"/>
  <c r="S61" i="7" s="1"/>
  <c r="R62" i="7"/>
  <c r="S62" i="7" s="1"/>
  <c r="R63" i="7"/>
  <c r="S63" i="7" s="1"/>
  <c r="R4" i="7"/>
  <c r="S4" i="7" s="1"/>
  <c r="O5" i="7"/>
  <c r="P5" i="7" s="1"/>
  <c r="P7" i="7"/>
  <c r="O8" i="7"/>
  <c r="P8" i="7" s="1"/>
  <c r="O9" i="7"/>
  <c r="P9" i="7" s="1"/>
  <c r="O10" i="7"/>
  <c r="P10" i="7" s="1"/>
  <c r="O11" i="7"/>
  <c r="P11" i="7" s="1"/>
  <c r="O12" i="7"/>
  <c r="P12" i="7" s="1"/>
  <c r="O13" i="7"/>
  <c r="P13" i="7" s="1"/>
  <c r="O14" i="7"/>
  <c r="P14" i="7" s="1"/>
  <c r="O16" i="7"/>
  <c r="P16" i="7" s="1"/>
  <c r="O17" i="7"/>
  <c r="P17" i="7" s="1"/>
  <c r="O18" i="7"/>
  <c r="P18" i="7" s="1"/>
  <c r="O20" i="7"/>
  <c r="P20" i="7" s="1"/>
  <c r="O21" i="7"/>
  <c r="P21" i="7" s="1"/>
  <c r="O22" i="7"/>
  <c r="P22" i="7" s="1"/>
  <c r="O23" i="7"/>
  <c r="P23" i="7" s="1"/>
  <c r="O24" i="7"/>
  <c r="P24" i="7" s="1"/>
  <c r="O25" i="7"/>
  <c r="P25" i="7" s="1"/>
  <c r="O26" i="7"/>
  <c r="P26" i="7" s="1"/>
  <c r="O27" i="7"/>
  <c r="P27" i="7" s="1"/>
  <c r="O29" i="7"/>
  <c r="P29" i="7" s="1"/>
  <c r="O30" i="7"/>
  <c r="P30" i="7" s="1"/>
  <c r="O32" i="7"/>
  <c r="P32" i="7" s="1"/>
  <c r="O33" i="7"/>
  <c r="P33" i="7" s="1"/>
  <c r="O34" i="7"/>
  <c r="P34" i="7" s="1"/>
  <c r="O35" i="7"/>
  <c r="P35" i="7" s="1"/>
  <c r="O37" i="7"/>
  <c r="P37" i="7" s="1"/>
  <c r="O38" i="7"/>
  <c r="P38" i="7" s="1"/>
  <c r="O39" i="7"/>
  <c r="P39" i="7" s="1"/>
  <c r="O41" i="7"/>
  <c r="P41" i="7" s="1"/>
  <c r="O42" i="7"/>
  <c r="P42" i="7" s="1"/>
  <c r="O44" i="7"/>
  <c r="P44" i="7" s="1"/>
  <c r="O46" i="7"/>
  <c r="P46" i="7" s="1"/>
  <c r="O47" i="7"/>
  <c r="P47" i="7" s="1"/>
  <c r="O49" i="7"/>
  <c r="P49" i="7" s="1"/>
  <c r="O50" i="7"/>
  <c r="P50" i="7" s="1"/>
  <c r="O51" i="7"/>
  <c r="P51" i="7" s="1"/>
  <c r="O52" i="7"/>
  <c r="P52" i="7" s="1"/>
  <c r="O53" i="7"/>
  <c r="P53" i="7" s="1"/>
  <c r="O54" i="7"/>
  <c r="P54" i="7" s="1"/>
  <c r="O55" i="7"/>
  <c r="P55" i="7" s="1"/>
  <c r="O57" i="7"/>
  <c r="P57" i="7" s="1"/>
  <c r="O58" i="7"/>
  <c r="P58" i="7" s="1"/>
  <c r="O59" i="7"/>
  <c r="P59" i="7" s="1"/>
  <c r="O61" i="7"/>
  <c r="P61" i="7" s="1"/>
  <c r="O62" i="7"/>
  <c r="P62" i="7" s="1"/>
  <c r="O63" i="7"/>
  <c r="P63" i="7" s="1"/>
  <c r="O4" i="7"/>
  <c r="P4" i="7" s="1"/>
  <c r="L5" i="7"/>
  <c r="M5" i="7" s="1"/>
  <c r="M7" i="7"/>
  <c r="L8" i="7"/>
  <c r="M8" i="7" s="1"/>
  <c r="L9" i="7"/>
  <c r="M9" i="7" s="1"/>
  <c r="L10" i="7"/>
  <c r="M10" i="7" s="1"/>
  <c r="L11" i="7"/>
  <c r="M11" i="7" s="1"/>
  <c r="L12" i="7"/>
  <c r="M12" i="7" s="1"/>
  <c r="L13" i="7"/>
  <c r="M13" i="7" s="1"/>
  <c r="L14" i="7"/>
  <c r="M14" i="7" s="1"/>
  <c r="L16" i="7"/>
  <c r="M16" i="7" s="1"/>
  <c r="L17" i="7"/>
  <c r="M17" i="7" s="1"/>
  <c r="L18" i="7"/>
  <c r="M18" i="7" s="1"/>
  <c r="L20" i="7"/>
  <c r="M20" i="7" s="1"/>
  <c r="L21" i="7"/>
  <c r="M21" i="7" s="1"/>
  <c r="L22" i="7"/>
  <c r="M22" i="7" s="1"/>
  <c r="L23" i="7"/>
  <c r="M23" i="7" s="1"/>
  <c r="L24" i="7"/>
  <c r="M24" i="7" s="1"/>
  <c r="L25" i="7"/>
  <c r="M25" i="7" s="1"/>
  <c r="L26" i="7"/>
  <c r="M26" i="7" s="1"/>
  <c r="L27" i="7"/>
  <c r="M27" i="7" s="1"/>
  <c r="L29" i="7"/>
  <c r="M29" i="7" s="1"/>
  <c r="L30" i="7"/>
  <c r="M30" i="7" s="1"/>
  <c r="L32" i="7"/>
  <c r="M32" i="7" s="1"/>
  <c r="L33" i="7"/>
  <c r="M33" i="7" s="1"/>
  <c r="L34" i="7"/>
  <c r="M34" i="7" s="1"/>
  <c r="L35" i="7"/>
  <c r="M35" i="7" s="1"/>
  <c r="L37" i="7"/>
  <c r="M37" i="7" s="1"/>
  <c r="L38" i="7"/>
  <c r="M38" i="7" s="1"/>
  <c r="L39" i="7"/>
  <c r="M39" i="7" s="1"/>
  <c r="L41" i="7"/>
  <c r="M41" i="7" s="1"/>
  <c r="L42" i="7"/>
  <c r="M42" i="7" s="1"/>
  <c r="L44" i="7"/>
  <c r="M44" i="7" s="1"/>
  <c r="L46" i="7"/>
  <c r="M46" i="7" s="1"/>
  <c r="L47" i="7"/>
  <c r="M47" i="7" s="1"/>
  <c r="L49" i="7"/>
  <c r="M49" i="7" s="1"/>
  <c r="L50" i="7"/>
  <c r="M50" i="7" s="1"/>
  <c r="L51" i="7"/>
  <c r="M51" i="7" s="1"/>
  <c r="L52" i="7"/>
  <c r="M52" i="7" s="1"/>
  <c r="L53" i="7"/>
  <c r="M53" i="7" s="1"/>
  <c r="L54" i="7"/>
  <c r="M54" i="7" s="1"/>
  <c r="L55" i="7"/>
  <c r="M55" i="7" s="1"/>
  <c r="L57" i="7"/>
  <c r="M57" i="7" s="1"/>
  <c r="L58" i="7"/>
  <c r="M58" i="7" s="1"/>
  <c r="L59" i="7"/>
  <c r="M59" i="7" s="1"/>
  <c r="L61" i="7"/>
  <c r="M61" i="7" s="1"/>
  <c r="L62" i="7"/>
  <c r="M62" i="7" s="1"/>
  <c r="L63" i="7"/>
  <c r="M63" i="7" s="1"/>
  <c r="L4" i="7"/>
  <c r="M4" i="7" s="1"/>
  <c r="I5" i="7"/>
  <c r="J5" i="7" s="1"/>
  <c r="J7" i="7"/>
  <c r="I8" i="7"/>
  <c r="J8" i="7" s="1"/>
  <c r="I9" i="7"/>
  <c r="J9" i="7" s="1"/>
  <c r="I10" i="7"/>
  <c r="J10" i="7" s="1"/>
  <c r="I11" i="7"/>
  <c r="J11" i="7" s="1"/>
  <c r="I12" i="7"/>
  <c r="J12" i="7" s="1"/>
  <c r="I13" i="7"/>
  <c r="J13" i="7" s="1"/>
  <c r="I14" i="7"/>
  <c r="J14" i="7" s="1"/>
  <c r="I16" i="7"/>
  <c r="J16" i="7" s="1"/>
  <c r="I17" i="7"/>
  <c r="J17" i="7" s="1"/>
  <c r="I18" i="7"/>
  <c r="J18" i="7" s="1"/>
  <c r="I20" i="7"/>
  <c r="J20" i="7" s="1"/>
  <c r="I21" i="7"/>
  <c r="J21" i="7" s="1"/>
  <c r="I22" i="7"/>
  <c r="J22" i="7" s="1"/>
  <c r="I23" i="7"/>
  <c r="J23" i="7" s="1"/>
  <c r="I24" i="7"/>
  <c r="J24" i="7" s="1"/>
  <c r="I25" i="7"/>
  <c r="J25" i="7" s="1"/>
  <c r="I26" i="7"/>
  <c r="J26" i="7" s="1"/>
  <c r="I27" i="7"/>
  <c r="J27" i="7" s="1"/>
  <c r="I29" i="7"/>
  <c r="J29" i="7" s="1"/>
  <c r="I30" i="7"/>
  <c r="J30" i="7" s="1"/>
  <c r="I32" i="7"/>
  <c r="J32" i="7" s="1"/>
  <c r="I33" i="7"/>
  <c r="J33" i="7" s="1"/>
  <c r="I34" i="7"/>
  <c r="J34" i="7" s="1"/>
  <c r="I35" i="7"/>
  <c r="J35" i="7" s="1"/>
  <c r="I37" i="7"/>
  <c r="J37" i="7" s="1"/>
  <c r="I38" i="7"/>
  <c r="J38" i="7" s="1"/>
  <c r="I39" i="7"/>
  <c r="J39" i="7" s="1"/>
  <c r="I41" i="7"/>
  <c r="J41" i="7" s="1"/>
  <c r="I42" i="7"/>
  <c r="J42" i="7" s="1"/>
  <c r="I44" i="7"/>
  <c r="J44" i="7" s="1"/>
  <c r="I46" i="7"/>
  <c r="J46" i="7" s="1"/>
  <c r="I47" i="7"/>
  <c r="J47" i="7" s="1"/>
  <c r="I49" i="7"/>
  <c r="J49" i="7" s="1"/>
  <c r="I50" i="7"/>
  <c r="J50" i="7" s="1"/>
  <c r="I51" i="7"/>
  <c r="J51" i="7" s="1"/>
  <c r="I52" i="7"/>
  <c r="J52" i="7" s="1"/>
  <c r="I53" i="7"/>
  <c r="J53" i="7" s="1"/>
  <c r="I54" i="7"/>
  <c r="J54" i="7" s="1"/>
  <c r="I55" i="7"/>
  <c r="J55" i="7" s="1"/>
  <c r="I57" i="7"/>
  <c r="J57" i="7" s="1"/>
  <c r="I58" i="7"/>
  <c r="J58" i="7" s="1"/>
  <c r="I59" i="7"/>
  <c r="J59" i="7" s="1"/>
  <c r="I61" i="7"/>
  <c r="J61" i="7" s="1"/>
  <c r="I62" i="7"/>
  <c r="J62" i="7" s="1"/>
  <c r="I63" i="7"/>
  <c r="J63" i="7" s="1"/>
  <c r="I4" i="7"/>
  <c r="J4" i="7" s="1"/>
  <c r="G5" i="7"/>
  <c r="G7" i="7"/>
  <c r="G8" i="7"/>
  <c r="G9" i="7"/>
  <c r="G10" i="7"/>
  <c r="G11" i="7"/>
  <c r="G12" i="7"/>
  <c r="G13" i="7"/>
  <c r="G14" i="7"/>
  <c r="G16" i="7"/>
  <c r="G17" i="7"/>
  <c r="G18" i="7"/>
  <c r="G20" i="7"/>
  <c r="G21" i="7"/>
  <c r="G22" i="7"/>
  <c r="G23" i="7"/>
  <c r="G24" i="7"/>
  <c r="G25" i="7"/>
  <c r="G26" i="7"/>
  <c r="G27" i="7"/>
  <c r="G29" i="7"/>
  <c r="G30" i="7"/>
  <c r="G32" i="7"/>
  <c r="G33" i="7"/>
  <c r="G34" i="7"/>
  <c r="G35" i="7"/>
  <c r="G37" i="7"/>
  <c r="G38" i="7"/>
  <c r="G39" i="7"/>
  <c r="G41" i="7"/>
  <c r="G42" i="7"/>
  <c r="G44" i="7"/>
  <c r="G46" i="7"/>
  <c r="G47" i="7"/>
  <c r="G49" i="7"/>
  <c r="G50" i="7"/>
  <c r="G51" i="7"/>
  <c r="G52" i="7"/>
  <c r="G53" i="7"/>
  <c r="G54" i="7"/>
  <c r="G55" i="7"/>
  <c r="G57" i="7"/>
  <c r="G58" i="7"/>
  <c r="G59" i="7"/>
  <c r="G61" i="7"/>
  <c r="G62" i="7"/>
  <c r="G63" i="7"/>
  <c r="G4" i="7"/>
  <c r="F5" i="7"/>
  <c r="F8" i="7"/>
  <c r="F9" i="7"/>
  <c r="F10" i="7"/>
  <c r="F11" i="7"/>
  <c r="F12" i="7"/>
  <c r="F13" i="7"/>
  <c r="F14" i="7"/>
  <c r="F16" i="7"/>
  <c r="F17" i="7"/>
  <c r="F18" i="7"/>
  <c r="F20" i="7"/>
  <c r="F21" i="7"/>
  <c r="F22" i="7"/>
  <c r="F23" i="7"/>
  <c r="F24" i="7"/>
  <c r="F25" i="7"/>
  <c r="F26" i="7"/>
  <c r="F27" i="7"/>
  <c r="F29" i="7"/>
  <c r="F30" i="7"/>
  <c r="F32" i="7"/>
  <c r="F33" i="7"/>
  <c r="F34" i="7"/>
  <c r="F35" i="7"/>
  <c r="F37" i="7"/>
  <c r="F38" i="7"/>
  <c r="F39" i="7"/>
  <c r="F41" i="7"/>
  <c r="F42" i="7"/>
  <c r="F44" i="7"/>
  <c r="F46" i="7"/>
  <c r="F47" i="7"/>
  <c r="F49" i="7"/>
  <c r="F50" i="7"/>
  <c r="F51" i="7"/>
  <c r="F52" i="7"/>
  <c r="F53" i="7"/>
  <c r="F54" i="7"/>
  <c r="F55" i="7"/>
  <c r="F57" i="7"/>
  <c r="F58" i="7"/>
  <c r="F59" i="7"/>
  <c r="F61" i="7"/>
  <c r="F62" i="7"/>
  <c r="F63" i="7"/>
  <c r="F4" i="7"/>
  <c r="AY3" i="7"/>
  <c r="AX6" i="7"/>
  <c r="AX11" i="7"/>
  <c r="AX13" i="7"/>
  <c r="AX15" i="7"/>
  <c r="AX17" i="7"/>
  <c r="AX19" i="7"/>
  <c r="AX22" i="7"/>
  <c r="AX24" i="7"/>
  <c r="AX26" i="7"/>
  <c r="AX28" i="7"/>
  <c r="AX29" i="7"/>
  <c r="AX31" i="7"/>
  <c r="AX33" i="7"/>
  <c r="AX34" i="7"/>
  <c r="AX36" i="7"/>
  <c r="AX40" i="7"/>
  <c r="AX42" i="7"/>
  <c r="AX43" i="7"/>
  <c r="AX45" i="7"/>
  <c r="AX46" i="7"/>
  <c r="AX47" i="7"/>
  <c r="AX48" i="7"/>
  <c r="AX49" i="7"/>
  <c r="AX50" i="7"/>
  <c r="AX53" i="7"/>
  <c r="AX55" i="7"/>
  <c r="AX56" i="7"/>
  <c r="AX58" i="7"/>
  <c r="AX60" i="7"/>
  <c r="AU65" i="7"/>
  <c r="AV65" i="7" s="1"/>
  <c r="AQ65" i="7"/>
  <c r="AR65" i="7" s="1"/>
  <c r="AU64" i="7"/>
  <c r="AT64" i="7"/>
  <c r="AV64" i="7" s="1"/>
  <c r="AQ64" i="7"/>
  <c r="AP64" i="7"/>
  <c r="AR64" i="7" s="1"/>
  <c r="AM64" i="7"/>
  <c r="AL64" i="7"/>
  <c r="AN64" i="7" s="1"/>
  <c r="AI64" i="7"/>
  <c r="AH64" i="7"/>
  <c r="AJ64" i="7" s="1"/>
  <c r="AE64" i="7"/>
  <c r="AD64" i="7"/>
  <c r="AF64" i="7" s="1"/>
  <c r="AA64" i="7"/>
  <c r="Z64" i="7"/>
  <c r="AB64" i="7" s="1"/>
  <c r="X64" i="7"/>
  <c r="W64" i="7"/>
  <c r="Y64" i="7" s="1"/>
  <c r="U64" i="7"/>
  <c r="T64" i="7"/>
  <c r="V64" i="7" s="1"/>
  <c r="R64" i="7"/>
  <c r="Q64" i="7"/>
  <c r="S64" i="7" s="1"/>
  <c r="O64" i="7"/>
  <c r="N64" i="7"/>
  <c r="P64" i="7" s="1"/>
  <c r="L64" i="7"/>
  <c r="K64" i="7"/>
  <c r="M64" i="7" s="1"/>
  <c r="I64" i="7"/>
  <c r="H64" i="7"/>
  <c r="J64" i="7" s="1"/>
  <c r="F64" i="7"/>
  <c r="E64" i="7"/>
  <c r="G64" i="7" s="1"/>
  <c r="AY60" i="7"/>
  <c r="AY56" i="7"/>
  <c r="AC51" i="7"/>
  <c r="AY51" i="7" s="1"/>
  <c r="AY48" i="7"/>
  <c r="AY45" i="7"/>
  <c r="AY43" i="7"/>
  <c r="AY40" i="7"/>
  <c r="AC39" i="7"/>
  <c r="AY39" i="7" s="1"/>
  <c r="AY36" i="7"/>
  <c r="AY31" i="7"/>
  <c r="AY28" i="7"/>
  <c r="AC25" i="7"/>
  <c r="AY25" i="7" s="1"/>
  <c r="AY19" i="7"/>
  <c r="AY15" i="7"/>
  <c r="AS64" i="7"/>
  <c r="AO64" i="7"/>
  <c r="AK64" i="7"/>
  <c r="AG64" i="7"/>
  <c r="AY6" i="7"/>
  <c r="AX49" i="4"/>
  <c r="AO25" i="4"/>
  <c r="AO39" i="4"/>
  <c r="AX46" i="4"/>
  <c r="AO51" i="4"/>
  <c r="AU6" i="4"/>
  <c r="AV6" i="4" s="1"/>
  <c r="AW6" i="4" s="1"/>
  <c r="AU11" i="4"/>
  <c r="AV11" i="4" s="1"/>
  <c r="AW11" i="4" s="1"/>
  <c r="AU13" i="4"/>
  <c r="AV13" i="4" s="1"/>
  <c r="AW13" i="4" s="1"/>
  <c r="AU15" i="4"/>
  <c r="AV15" i="4" s="1"/>
  <c r="AW15" i="4" s="1"/>
  <c r="AU17" i="4"/>
  <c r="AV17" i="4" s="1"/>
  <c r="AW17" i="4" s="1"/>
  <c r="AU19" i="4"/>
  <c r="AV19" i="4" s="1"/>
  <c r="AW19" i="4" s="1"/>
  <c r="AU22" i="4"/>
  <c r="AV22" i="4" s="1"/>
  <c r="AW22" i="4" s="1"/>
  <c r="AU24" i="4"/>
  <c r="AV24" i="4" s="1"/>
  <c r="AW24" i="4" s="1"/>
  <c r="AU26" i="4"/>
  <c r="AV26" i="4" s="1"/>
  <c r="AW26" i="4" s="1"/>
  <c r="AU28" i="4"/>
  <c r="AV28" i="4" s="1"/>
  <c r="AW28" i="4" s="1"/>
  <c r="AU29" i="4"/>
  <c r="AV29" i="4" s="1"/>
  <c r="AW29" i="4" s="1"/>
  <c r="AU31" i="4"/>
  <c r="AV31" i="4" s="1"/>
  <c r="AW31" i="4" s="1"/>
  <c r="AU33" i="4"/>
  <c r="AV33" i="4" s="1"/>
  <c r="AW33" i="4" s="1"/>
  <c r="AU34" i="4"/>
  <c r="AV34" i="4" s="1"/>
  <c r="AW34" i="4" s="1"/>
  <c r="AU36" i="4"/>
  <c r="AV36" i="4" s="1"/>
  <c r="AW36" i="4" s="1"/>
  <c r="AU37" i="4"/>
  <c r="AV37" i="4" s="1"/>
  <c r="AW37" i="4" s="1"/>
  <c r="AU40" i="4"/>
  <c r="AV40" i="4" s="1"/>
  <c r="AW40" i="4" s="1"/>
  <c r="AU42" i="4"/>
  <c r="AV42" i="4" s="1"/>
  <c r="AW42" i="4" s="1"/>
  <c r="AU43" i="4"/>
  <c r="AV43" i="4" s="1"/>
  <c r="AW43" i="4" s="1"/>
  <c r="AU45" i="4"/>
  <c r="AV45" i="4" s="1"/>
  <c r="AW45" i="4" s="1"/>
  <c r="AU47" i="4"/>
  <c r="AV47" i="4" s="1"/>
  <c r="AW47" i="4" s="1"/>
  <c r="AU48" i="4"/>
  <c r="AV48" i="4" s="1"/>
  <c r="AW48" i="4" s="1"/>
  <c r="AU50" i="4"/>
  <c r="AV50" i="4" s="1"/>
  <c r="AW50" i="4" s="1"/>
  <c r="AU53" i="4"/>
  <c r="AV53" i="4" s="1"/>
  <c r="AW53" i="4" s="1"/>
  <c r="AU55" i="4"/>
  <c r="AV55" i="4" s="1"/>
  <c r="AW55" i="4" s="1"/>
  <c r="AU56" i="4"/>
  <c r="AV56" i="4" s="1"/>
  <c r="AW56" i="4" s="1"/>
  <c r="AU58" i="4"/>
  <c r="AV58" i="4" s="1"/>
  <c r="AW58" i="4" s="1"/>
  <c r="AU60" i="4"/>
  <c r="AV60" i="4" s="1"/>
  <c r="AW60" i="4" s="1"/>
  <c r="AU65" i="4"/>
  <c r="AV65" i="4" s="1"/>
  <c r="AQ6" i="4"/>
  <c r="AR6" i="4" s="1"/>
  <c r="AS6" i="4" s="1"/>
  <c r="AQ11" i="4"/>
  <c r="AR11" i="4" s="1"/>
  <c r="AS11" i="4" s="1"/>
  <c r="AQ13" i="4"/>
  <c r="AR13" i="4" s="1"/>
  <c r="AS13" i="4" s="1"/>
  <c r="AQ15" i="4"/>
  <c r="AR15" i="4" s="1"/>
  <c r="AS15" i="4" s="1"/>
  <c r="AQ17" i="4"/>
  <c r="AR17" i="4" s="1"/>
  <c r="AS17" i="4" s="1"/>
  <c r="AQ19" i="4"/>
  <c r="AR19" i="4" s="1"/>
  <c r="AS19" i="4" s="1"/>
  <c r="AQ22" i="4"/>
  <c r="AR22" i="4" s="1"/>
  <c r="AS22" i="4" s="1"/>
  <c r="AQ24" i="4"/>
  <c r="AR24" i="4" s="1"/>
  <c r="AS24" i="4" s="1"/>
  <c r="AQ26" i="4"/>
  <c r="AR26" i="4" s="1"/>
  <c r="AS26" i="4" s="1"/>
  <c r="AQ28" i="4"/>
  <c r="AR28" i="4" s="1"/>
  <c r="AS28" i="4" s="1"/>
  <c r="AQ29" i="4"/>
  <c r="AR29" i="4" s="1"/>
  <c r="AS29" i="4" s="1"/>
  <c r="AQ31" i="4"/>
  <c r="AR31" i="4" s="1"/>
  <c r="AS31" i="4" s="1"/>
  <c r="AQ33" i="4"/>
  <c r="AR33" i="4" s="1"/>
  <c r="AS33" i="4" s="1"/>
  <c r="AQ34" i="4"/>
  <c r="AR34" i="4" s="1"/>
  <c r="AS34" i="4" s="1"/>
  <c r="AQ36" i="4"/>
  <c r="AR36" i="4" s="1"/>
  <c r="AS36" i="4" s="1"/>
  <c r="AQ37" i="4"/>
  <c r="AR37" i="4" s="1"/>
  <c r="AS37" i="4" s="1"/>
  <c r="AQ40" i="4"/>
  <c r="AR40" i="4" s="1"/>
  <c r="AS40" i="4" s="1"/>
  <c r="AQ42" i="4"/>
  <c r="AR42" i="4" s="1"/>
  <c r="AS42" i="4" s="1"/>
  <c r="AQ43" i="4"/>
  <c r="AR43" i="4" s="1"/>
  <c r="AS43" i="4" s="1"/>
  <c r="AQ45" i="4"/>
  <c r="AR45" i="4" s="1"/>
  <c r="AS45" i="4" s="1"/>
  <c r="AQ47" i="4"/>
  <c r="AR47" i="4" s="1"/>
  <c r="AS47" i="4" s="1"/>
  <c r="AQ48" i="4"/>
  <c r="AR48" i="4" s="1"/>
  <c r="AS48" i="4" s="1"/>
  <c r="AQ50" i="4"/>
  <c r="AR50" i="4" s="1"/>
  <c r="AS50" i="4" s="1"/>
  <c r="AQ53" i="4"/>
  <c r="AR53" i="4" s="1"/>
  <c r="AS53" i="4" s="1"/>
  <c r="AQ55" i="4"/>
  <c r="AR55" i="4" s="1"/>
  <c r="AS55" i="4" s="1"/>
  <c r="AQ56" i="4"/>
  <c r="AR56" i="4" s="1"/>
  <c r="AS56" i="4" s="1"/>
  <c r="AQ58" i="4"/>
  <c r="AR58" i="4" s="1"/>
  <c r="AS58" i="4" s="1"/>
  <c r="AQ60" i="4"/>
  <c r="AR60" i="4" s="1"/>
  <c r="AS60" i="4" s="1"/>
  <c r="AQ65" i="4"/>
  <c r="AR65" i="4" s="1"/>
  <c r="AM6" i="4"/>
  <c r="AN6" i="4" s="1"/>
  <c r="AO6" i="4" s="1"/>
  <c r="AM11" i="4"/>
  <c r="AN11" i="4" s="1"/>
  <c r="AO11" i="4" s="1"/>
  <c r="AM13" i="4"/>
  <c r="AN13" i="4" s="1"/>
  <c r="AO13" i="4" s="1"/>
  <c r="AM15" i="4"/>
  <c r="AN15" i="4" s="1"/>
  <c r="AO15" i="4" s="1"/>
  <c r="AM17" i="4"/>
  <c r="AN17" i="4" s="1"/>
  <c r="AO17" i="4" s="1"/>
  <c r="AM19" i="4"/>
  <c r="AN19" i="4" s="1"/>
  <c r="AO19" i="4" s="1"/>
  <c r="AM22" i="4"/>
  <c r="AN22" i="4" s="1"/>
  <c r="AO22" i="4" s="1"/>
  <c r="AM24" i="4"/>
  <c r="AN24" i="4" s="1"/>
  <c r="AO24" i="4" s="1"/>
  <c r="AM26" i="4"/>
  <c r="AN26" i="4" s="1"/>
  <c r="AO26" i="4" s="1"/>
  <c r="AM28" i="4"/>
  <c r="AN28" i="4" s="1"/>
  <c r="AO28" i="4" s="1"/>
  <c r="AM29" i="4"/>
  <c r="AN29" i="4" s="1"/>
  <c r="AO29" i="4" s="1"/>
  <c r="AM31" i="4"/>
  <c r="AN31" i="4" s="1"/>
  <c r="AO31" i="4" s="1"/>
  <c r="AM33" i="4"/>
  <c r="AN33" i="4" s="1"/>
  <c r="AO33" i="4" s="1"/>
  <c r="AM34" i="4"/>
  <c r="AN34" i="4" s="1"/>
  <c r="AO34" i="4" s="1"/>
  <c r="AM36" i="4"/>
  <c r="AN36" i="4" s="1"/>
  <c r="AO36" i="4" s="1"/>
  <c r="AM37" i="4"/>
  <c r="AN37" i="4" s="1"/>
  <c r="AO37" i="4" s="1"/>
  <c r="AM40" i="4"/>
  <c r="AN40" i="4" s="1"/>
  <c r="AO40" i="4" s="1"/>
  <c r="AM42" i="4"/>
  <c r="AN42" i="4" s="1"/>
  <c r="AO42" i="4" s="1"/>
  <c r="AM43" i="4"/>
  <c r="AN43" i="4" s="1"/>
  <c r="AO43" i="4" s="1"/>
  <c r="AM45" i="4"/>
  <c r="AN45" i="4" s="1"/>
  <c r="AO45" i="4" s="1"/>
  <c r="AM47" i="4"/>
  <c r="AN47" i="4" s="1"/>
  <c r="AO47" i="4" s="1"/>
  <c r="AM48" i="4"/>
  <c r="AN48" i="4" s="1"/>
  <c r="AO48" i="4" s="1"/>
  <c r="AM50" i="4"/>
  <c r="AN50" i="4" s="1"/>
  <c r="AO50" i="4" s="1"/>
  <c r="AM53" i="4"/>
  <c r="AN53" i="4" s="1"/>
  <c r="AO53" i="4" s="1"/>
  <c r="AM55" i="4"/>
  <c r="AN55" i="4" s="1"/>
  <c r="AO55" i="4" s="1"/>
  <c r="AM56" i="4"/>
  <c r="AN56" i="4" s="1"/>
  <c r="AO56" i="4" s="1"/>
  <c r="AM58" i="4"/>
  <c r="AN58" i="4" s="1"/>
  <c r="AO58" i="4" s="1"/>
  <c r="AM60" i="4"/>
  <c r="AN60" i="4" s="1"/>
  <c r="AO60" i="4" s="1"/>
  <c r="AI6" i="4"/>
  <c r="AJ6" i="4" s="1"/>
  <c r="AK6" i="4" s="1"/>
  <c r="AI11" i="4"/>
  <c r="AJ11" i="4" s="1"/>
  <c r="AK11" i="4" s="1"/>
  <c r="AI13" i="4"/>
  <c r="AJ13" i="4" s="1"/>
  <c r="AK13" i="4" s="1"/>
  <c r="AI15" i="4"/>
  <c r="AJ15" i="4" s="1"/>
  <c r="AK15" i="4" s="1"/>
  <c r="AI17" i="4"/>
  <c r="AJ17" i="4" s="1"/>
  <c r="AK17" i="4" s="1"/>
  <c r="AI19" i="4"/>
  <c r="AJ19" i="4" s="1"/>
  <c r="AK19" i="4" s="1"/>
  <c r="AI22" i="4"/>
  <c r="AJ22" i="4" s="1"/>
  <c r="AK22" i="4" s="1"/>
  <c r="AI24" i="4"/>
  <c r="AJ24" i="4" s="1"/>
  <c r="AK24" i="4" s="1"/>
  <c r="AI26" i="4"/>
  <c r="AJ26" i="4" s="1"/>
  <c r="AK26" i="4" s="1"/>
  <c r="AI28" i="4"/>
  <c r="AJ28" i="4" s="1"/>
  <c r="AK28" i="4" s="1"/>
  <c r="AI29" i="4"/>
  <c r="AJ29" i="4" s="1"/>
  <c r="AK29" i="4" s="1"/>
  <c r="AI31" i="4"/>
  <c r="AJ31" i="4" s="1"/>
  <c r="AK31" i="4" s="1"/>
  <c r="AI33" i="4"/>
  <c r="AJ33" i="4" s="1"/>
  <c r="AK33" i="4" s="1"/>
  <c r="AI34" i="4"/>
  <c r="AJ34" i="4" s="1"/>
  <c r="AK34" i="4" s="1"/>
  <c r="AI36" i="4"/>
  <c r="AJ36" i="4" s="1"/>
  <c r="AK36" i="4" s="1"/>
  <c r="AI37" i="4"/>
  <c r="AJ37" i="4" s="1"/>
  <c r="AK37" i="4" s="1"/>
  <c r="AI40" i="4"/>
  <c r="AJ40" i="4" s="1"/>
  <c r="AK40" i="4" s="1"/>
  <c r="AI42" i="4"/>
  <c r="AJ42" i="4" s="1"/>
  <c r="AK42" i="4" s="1"/>
  <c r="AI43" i="4"/>
  <c r="AJ43" i="4" s="1"/>
  <c r="AK43" i="4" s="1"/>
  <c r="AI45" i="4"/>
  <c r="AJ45" i="4" s="1"/>
  <c r="AK45" i="4" s="1"/>
  <c r="AI47" i="4"/>
  <c r="AJ47" i="4" s="1"/>
  <c r="AK47" i="4" s="1"/>
  <c r="AI48" i="4"/>
  <c r="AJ48" i="4" s="1"/>
  <c r="AK48" i="4" s="1"/>
  <c r="AI50" i="4"/>
  <c r="AJ50" i="4" s="1"/>
  <c r="AK50" i="4" s="1"/>
  <c r="AI53" i="4"/>
  <c r="AJ53" i="4" s="1"/>
  <c r="AK53" i="4" s="1"/>
  <c r="AI55" i="4"/>
  <c r="AJ55" i="4" s="1"/>
  <c r="AK55" i="4" s="1"/>
  <c r="AI56" i="4"/>
  <c r="AJ56" i="4" s="1"/>
  <c r="AK56" i="4" s="1"/>
  <c r="AI58" i="4"/>
  <c r="AJ58" i="4" s="1"/>
  <c r="AK58" i="4" s="1"/>
  <c r="AI60" i="4"/>
  <c r="AJ60" i="4" s="1"/>
  <c r="AK60" i="4" s="1"/>
  <c r="AE51" i="4"/>
  <c r="AE6" i="4"/>
  <c r="AF6" i="4" s="1"/>
  <c r="AG6" i="4" s="1"/>
  <c r="AE11" i="4"/>
  <c r="AF11" i="4" s="1"/>
  <c r="AG11" i="4" s="1"/>
  <c r="AE13" i="4"/>
  <c r="AF13" i="4" s="1"/>
  <c r="AG13" i="4" s="1"/>
  <c r="AE15" i="4"/>
  <c r="AF15" i="4" s="1"/>
  <c r="AE17" i="4"/>
  <c r="AF17" i="4" s="1"/>
  <c r="AG17" i="4" s="1"/>
  <c r="AE19" i="4"/>
  <c r="AF19" i="4" s="1"/>
  <c r="AG19" i="4" s="1"/>
  <c r="AE22" i="4"/>
  <c r="AF22" i="4" s="1"/>
  <c r="AG22" i="4" s="1"/>
  <c r="AE24" i="4"/>
  <c r="AF24" i="4" s="1"/>
  <c r="AG24" i="4" s="1"/>
  <c r="AE26" i="4"/>
  <c r="AF26" i="4" s="1"/>
  <c r="AG26" i="4" s="1"/>
  <c r="AE28" i="4"/>
  <c r="AF28" i="4" s="1"/>
  <c r="AE29" i="4"/>
  <c r="AF29" i="4" s="1"/>
  <c r="AE31" i="4"/>
  <c r="AF31" i="4" s="1"/>
  <c r="AG31" i="4" s="1"/>
  <c r="AE33" i="4"/>
  <c r="AF33" i="4" s="1"/>
  <c r="AG33" i="4" s="1"/>
  <c r="AE34" i="4"/>
  <c r="AF34" i="4" s="1"/>
  <c r="AG34" i="4" s="1"/>
  <c r="AE36" i="4"/>
  <c r="AF36" i="4" s="1"/>
  <c r="AG36" i="4" s="1"/>
  <c r="AE37" i="4"/>
  <c r="AF37" i="4" s="1"/>
  <c r="AG37" i="4" s="1"/>
  <c r="AE40" i="4"/>
  <c r="AF40" i="4" s="1"/>
  <c r="AG40" i="4" s="1"/>
  <c r="AE42" i="4"/>
  <c r="AF42" i="4" s="1"/>
  <c r="AG42" i="4" s="1"/>
  <c r="AE43" i="4"/>
  <c r="AF43" i="4" s="1"/>
  <c r="AG43" i="4" s="1"/>
  <c r="AE45" i="4"/>
  <c r="AF45" i="4" s="1"/>
  <c r="AE47" i="4"/>
  <c r="AF47" i="4" s="1"/>
  <c r="AE48" i="4"/>
  <c r="AF48" i="4" s="1"/>
  <c r="AG48" i="4" s="1"/>
  <c r="AE50" i="4"/>
  <c r="AF50" i="4" s="1"/>
  <c r="AG50" i="4" s="1"/>
  <c r="AE53" i="4"/>
  <c r="AF53" i="4" s="1"/>
  <c r="AG53" i="4" s="1"/>
  <c r="AE55" i="4"/>
  <c r="AF55" i="4" s="1"/>
  <c r="AG55" i="4" s="1"/>
  <c r="AE56" i="4"/>
  <c r="AF56" i="4" s="1"/>
  <c r="AG56" i="4" s="1"/>
  <c r="AE58" i="4"/>
  <c r="AF58" i="4" s="1"/>
  <c r="AG58" i="4" s="1"/>
  <c r="AE60" i="4"/>
  <c r="AF60" i="4" s="1"/>
  <c r="AG15" i="4"/>
  <c r="AG28" i="4"/>
  <c r="AG29" i="4"/>
  <c r="AG45" i="4"/>
  <c r="AG47" i="4"/>
  <c r="AG60" i="4"/>
  <c r="AC6" i="4"/>
  <c r="AC15" i="4"/>
  <c r="AC19" i="4"/>
  <c r="AC28" i="4"/>
  <c r="AC31" i="4"/>
  <c r="AC36" i="4"/>
  <c r="AC40" i="4"/>
  <c r="AC43" i="4"/>
  <c r="AC45" i="4"/>
  <c r="AC48" i="4"/>
  <c r="AC56" i="4"/>
  <c r="AC60" i="4"/>
  <c r="AA4" i="4"/>
  <c r="AB4" i="4" s="1"/>
  <c r="AA5" i="4"/>
  <c r="AB5" i="4" s="1"/>
  <c r="AA7" i="4"/>
  <c r="AB7" i="4" s="1"/>
  <c r="AA8" i="4"/>
  <c r="AB8" i="4" s="1"/>
  <c r="AA9" i="4"/>
  <c r="AB9" i="4" s="1"/>
  <c r="AA10" i="4"/>
  <c r="AB10" i="4" s="1"/>
  <c r="AA11" i="4"/>
  <c r="AB11" i="4" s="1"/>
  <c r="AA12" i="4"/>
  <c r="AB12" i="4" s="1"/>
  <c r="AA13" i="4"/>
  <c r="AB13" i="4" s="1"/>
  <c r="AA14" i="4"/>
  <c r="AB14" i="4" s="1"/>
  <c r="AA16" i="4"/>
  <c r="AB16" i="4" s="1"/>
  <c r="AA17" i="4"/>
  <c r="AB17" i="4" s="1"/>
  <c r="AA18" i="4"/>
  <c r="AB18" i="4" s="1"/>
  <c r="AA20" i="4"/>
  <c r="AB20" i="4" s="1"/>
  <c r="AA21" i="4"/>
  <c r="AB21" i="4" s="1"/>
  <c r="AA22" i="4"/>
  <c r="AB22" i="4" s="1"/>
  <c r="AA23" i="4"/>
  <c r="AB23" i="4" s="1"/>
  <c r="AA24" i="4"/>
  <c r="AB24" i="4" s="1"/>
  <c r="AA26" i="4"/>
  <c r="AB26" i="4" s="1"/>
  <c r="AA27" i="4"/>
  <c r="AB27" i="4" s="1"/>
  <c r="AA29" i="4"/>
  <c r="AB29" i="4" s="1"/>
  <c r="AA30" i="4"/>
  <c r="AB30" i="4" s="1"/>
  <c r="AA32" i="4"/>
  <c r="AB32" i="4" s="1"/>
  <c r="AA33" i="4"/>
  <c r="AB33" i="4" s="1"/>
  <c r="AA34" i="4"/>
  <c r="AB34" i="4" s="1"/>
  <c r="AA35" i="4"/>
  <c r="AB35" i="4" s="1"/>
  <c r="AA37" i="4"/>
  <c r="AB37" i="4" s="1"/>
  <c r="AA38" i="4"/>
  <c r="AB38" i="4" s="1"/>
  <c r="AA41" i="4"/>
  <c r="AB41" i="4" s="1"/>
  <c r="AA42" i="4"/>
  <c r="AB42" i="4" s="1"/>
  <c r="AA44" i="4"/>
  <c r="AB44" i="4" s="1"/>
  <c r="AA46" i="4"/>
  <c r="AB46" i="4" s="1"/>
  <c r="AA47" i="4"/>
  <c r="AB47" i="4" s="1"/>
  <c r="AA49" i="4"/>
  <c r="AB49" i="4" s="1"/>
  <c r="AA50" i="4"/>
  <c r="AB50" i="4" s="1"/>
  <c r="AA52" i="4"/>
  <c r="AB52" i="4" s="1"/>
  <c r="AA53" i="4"/>
  <c r="AB53" i="4" s="1"/>
  <c r="AA54" i="4"/>
  <c r="AB54" i="4" s="1"/>
  <c r="AA55" i="4"/>
  <c r="AB55" i="4" s="1"/>
  <c r="AA57" i="4"/>
  <c r="AB57" i="4" s="1"/>
  <c r="AA58" i="4"/>
  <c r="AB58" i="4" s="1"/>
  <c r="AA59" i="4"/>
  <c r="AB59" i="4" s="1"/>
  <c r="AA61" i="4"/>
  <c r="AB61" i="4" s="1"/>
  <c r="AA62" i="4"/>
  <c r="AB62" i="4" s="1"/>
  <c r="AA63" i="4"/>
  <c r="AB63" i="4" s="1"/>
  <c r="X4" i="4"/>
  <c r="Y4" i="4" s="1"/>
  <c r="X5" i="4"/>
  <c r="Y5" i="4" s="1"/>
  <c r="X7" i="4"/>
  <c r="Y7" i="4" s="1"/>
  <c r="X8" i="4"/>
  <c r="Y8" i="4" s="1"/>
  <c r="X9" i="4"/>
  <c r="Y9" i="4" s="1"/>
  <c r="X10" i="4"/>
  <c r="Y10" i="4" s="1"/>
  <c r="X11" i="4"/>
  <c r="Y11" i="4" s="1"/>
  <c r="X12" i="4"/>
  <c r="Y12" i="4" s="1"/>
  <c r="X13" i="4"/>
  <c r="Y13" i="4" s="1"/>
  <c r="X14" i="4"/>
  <c r="Y14" i="4" s="1"/>
  <c r="X16" i="4"/>
  <c r="Y16" i="4" s="1"/>
  <c r="X17" i="4"/>
  <c r="Y17" i="4" s="1"/>
  <c r="X18" i="4"/>
  <c r="Y18" i="4" s="1"/>
  <c r="X20" i="4"/>
  <c r="Y20" i="4" s="1"/>
  <c r="X21" i="4"/>
  <c r="Y21" i="4" s="1"/>
  <c r="X22" i="4"/>
  <c r="Y22" i="4" s="1"/>
  <c r="X23" i="4"/>
  <c r="Y23" i="4" s="1"/>
  <c r="X24" i="4"/>
  <c r="Y24" i="4" s="1"/>
  <c r="X26" i="4"/>
  <c r="Y26" i="4" s="1"/>
  <c r="X27" i="4"/>
  <c r="Y27" i="4" s="1"/>
  <c r="X29" i="4"/>
  <c r="Y29" i="4" s="1"/>
  <c r="X30" i="4"/>
  <c r="Y30" i="4" s="1"/>
  <c r="X32" i="4"/>
  <c r="Y32" i="4" s="1"/>
  <c r="X33" i="4"/>
  <c r="Y33" i="4" s="1"/>
  <c r="X34" i="4"/>
  <c r="Y34" i="4" s="1"/>
  <c r="X35" i="4"/>
  <c r="Y35" i="4" s="1"/>
  <c r="X37" i="4"/>
  <c r="Y37" i="4" s="1"/>
  <c r="X38" i="4"/>
  <c r="Y38" i="4" s="1"/>
  <c r="X41" i="4"/>
  <c r="Y41" i="4" s="1"/>
  <c r="X42" i="4"/>
  <c r="Y42" i="4" s="1"/>
  <c r="X44" i="4"/>
  <c r="Y44" i="4" s="1"/>
  <c r="X46" i="4"/>
  <c r="Y46" i="4" s="1"/>
  <c r="X47" i="4"/>
  <c r="Y47" i="4" s="1"/>
  <c r="X49" i="4"/>
  <c r="Y49" i="4" s="1"/>
  <c r="X50" i="4"/>
  <c r="Y50" i="4" s="1"/>
  <c r="X52" i="4"/>
  <c r="Y52" i="4" s="1"/>
  <c r="X53" i="4"/>
  <c r="Y53" i="4" s="1"/>
  <c r="X54" i="4"/>
  <c r="Y54" i="4" s="1"/>
  <c r="X55" i="4"/>
  <c r="Y55" i="4" s="1"/>
  <c r="X57" i="4"/>
  <c r="Y57" i="4" s="1"/>
  <c r="X58" i="4"/>
  <c r="Y58" i="4" s="1"/>
  <c r="X59" i="4"/>
  <c r="Y59" i="4" s="1"/>
  <c r="X61" i="4"/>
  <c r="Y61" i="4" s="1"/>
  <c r="X62" i="4"/>
  <c r="Y62" i="4" s="1"/>
  <c r="X63" i="4"/>
  <c r="Y63" i="4" s="1"/>
  <c r="U4" i="4"/>
  <c r="V4" i="4" s="1"/>
  <c r="U5" i="4"/>
  <c r="V5" i="4" s="1"/>
  <c r="U7" i="4"/>
  <c r="V7" i="4" s="1"/>
  <c r="U8" i="4"/>
  <c r="V8" i="4" s="1"/>
  <c r="U9" i="4"/>
  <c r="V9" i="4" s="1"/>
  <c r="U10" i="4"/>
  <c r="V10" i="4" s="1"/>
  <c r="U11" i="4"/>
  <c r="V11" i="4" s="1"/>
  <c r="U12" i="4"/>
  <c r="V12" i="4" s="1"/>
  <c r="U13" i="4"/>
  <c r="V13" i="4" s="1"/>
  <c r="U14" i="4"/>
  <c r="V14" i="4" s="1"/>
  <c r="U16" i="4"/>
  <c r="V16" i="4" s="1"/>
  <c r="U17" i="4"/>
  <c r="V17" i="4" s="1"/>
  <c r="U18" i="4"/>
  <c r="V18" i="4" s="1"/>
  <c r="U20" i="4"/>
  <c r="V20" i="4" s="1"/>
  <c r="U21" i="4"/>
  <c r="V21" i="4" s="1"/>
  <c r="U22" i="4"/>
  <c r="V22" i="4" s="1"/>
  <c r="U23" i="4"/>
  <c r="V23" i="4" s="1"/>
  <c r="U24" i="4"/>
  <c r="V24" i="4" s="1"/>
  <c r="U26" i="4"/>
  <c r="V26" i="4" s="1"/>
  <c r="U27" i="4"/>
  <c r="V27" i="4" s="1"/>
  <c r="U29" i="4"/>
  <c r="V29" i="4" s="1"/>
  <c r="U30" i="4"/>
  <c r="V30" i="4" s="1"/>
  <c r="U32" i="4"/>
  <c r="V32" i="4" s="1"/>
  <c r="U33" i="4"/>
  <c r="V33" i="4" s="1"/>
  <c r="U34" i="4"/>
  <c r="V34" i="4" s="1"/>
  <c r="U35" i="4"/>
  <c r="V35" i="4" s="1"/>
  <c r="U37" i="4"/>
  <c r="V37" i="4" s="1"/>
  <c r="U38" i="4"/>
  <c r="V38" i="4" s="1"/>
  <c r="U41" i="4"/>
  <c r="V41" i="4" s="1"/>
  <c r="U42" i="4"/>
  <c r="V42" i="4" s="1"/>
  <c r="U44" i="4"/>
  <c r="V44" i="4" s="1"/>
  <c r="U46" i="4"/>
  <c r="V46" i="4" s="1"/>
  <c r="U47" i="4"/>
  <c r="V47" i="4" s="1"/>
  <c r="U49" i="4"/>
  <c r="V49" i="4" s="1"/>
  <c r="U50" i="4"/>
  <c r="V50" i="4" s="1"/>
  <c r="U52" i="4"/>
  <c r="V52" i="4" s="1"/>
  <c r="U53" i="4"/>
  <c r="V53" i="4" s="1"/>
  <c r="U54" i="4"/>
  <c r="V54" i="4" s="1"/>
  <c r="U55" i="4"/>
  <c r="V55" i="4" s="1"/>
  <c r="U57" i="4"/>
  <c r="V57" i="4" s="1"/>
  <c r="U58" i="4"/>
  <c r="V58" i="4" s="1"/>
  <c r="U59" i="4"/>
  <c r="V59" i="4" s="1"/>
  <c r="U61" i="4"/>
  <c r="V61" i="4" s="1"/>
  <c r="U62" i="4"/>
  <c r="V62" i="4" s="1"/>
  <c r="U63" i="4"/>
  <c r="V63" i="4" s="1"/>
  <c r="R4" i="4"/>
  <c r="S4" i="4" s="1"/>
  <c r="R5" i="4"/>
  <c r="S5" i="4" s="1"/>
  <c r="R7" i="4"/>
  <c r="S7" i="4" s="1"/>
  <c r="R8" i="4"/>
  <c r="S8" i="4" s="1"/>
  <c r="R9" i="4"/>
  <c r="S9" i="4" s="1"/>
  <c r="R10" i="4"/>
  <c r="S10" i="4" s="1"/>
  <c r="R11" i="4"/>
  <c r="S11" i="4" s="1"/>
  <c r="R12" i="4"/>
  <c r="S12" i="4" s="1"/>
  <c r="R13" i="4"/>
  <c r="S13" i="4" s="1"/>
  <c r="R14" i="4"/>
  <c r="S14" i="4" s="1"/>
  <c r="R16" i="4"/>
  <c r="S16" i="4" s="1"/>
  <c r="R17" i="4"/>
  <c r="S17" i="4" s="1"/>
  <c r="R18" i="4"/>
  <c r="S18" i="4" s="1"/>
  <c r="R20" i="4"/>
  <c r="S20" i="4" s="1"/>
  <c r="R21" i="4"/>
  <c r="S21" i="4" s="1"/>
  <c r="R22" i="4"/>
  <c r="S22" i="4" s="1"/>
  <c r="R23" i="4"/>
  <c r="S23" i="4" s="1"/>
  <c r="R24" i="4"/>
  <c r="S24" i="4" s="1"/>
  <c r="R26" i="4"/>
  <c r="S26" i="4" s="1"/>
  <c r="R27" i="4"/>
  <c r="S27" i="4" s="1"/>
  <c r="R29" i="4"/>
  <c r="S29" i="4" s="1"/>
  <c r="R30" i="4"/>
  <c r="S30" i="4" s="1"/>
  <c r="R32" i="4"/>
  <c r="S32" i="4" s="1"/>
  <c r="R33" i="4"/>
  <c r="S33" i="4" s="1"/>
  <c r="R34" i="4"/>
  <c r="S34" i="4" s="1"/>
  <c r="R35" i="4"/>
  <c r="S35" i="4" s="1"/>
  <c r="R37" i="4"/>
  <c r="S37" i="4" s="1"/>
  <c r="R38" i="4"/>
  <c r="S38" i="4" s="1"/>
  <c r="R41" i="4"/>
  <c r="S41" i="4" s="1"/>
  <c r="R42" i="4"/>
  <c r="S42" i="4" s="1"/>
  <c r="R44" i="4"/>
  <c r="S44" i="4" s="1"/>
  <c r="R46" i="4"/>
  <c r="S46" i="4" s="1"/>
  <c r="R47" i="4"/>
  <c r="S47" i="4" s="1"/>
  <c r="R49" i="4"/>
  <c r="S49" i="4" s="1"/>
  <c r="R50" i="4"/>
  <c r="S50" i="4" s="1"/>
  <c r="R52" i="4"/>
  <c r="S52" i="4" s="1"/>
  <c r="R53" i="4"/>
  <c r="S53" i="4" s="1"/>
  <c r="R54" i="4"/>
  <c r="S54" i="4" s="1"/>
  <c r="R55" i="4"/>
  <c r="S55" i="4" s="1"/>
  <c r="R57" i="4"/>
  <c r="S57" i="4" s="1"/>
  <c r="R58" i="4"/>
  <c r="S58" i="4" s="1"/>
  <c r="R59" i="4"/>
  <c r="S59" i="4" s="1"/>
  <c r="R61" i="4"/>
  <c r="S61" i="4" s="1"/>
  <c r="R62" i="4"/>
  <c r="S62" i="4" s="1"/>
  <c r="R63" i="4"/>
  <c r="S63" i="4" s="1"/>
  <c r="O11" i="4"/>
  <c r="P11" i="4" s="1"/>
  <c r="O4" i="4"/>
  <c r="P4" i="4" s="1"/>
  <c r="O5" i="4"/>
  <c r="P5" i="4" s="1"/>
  <c r="O7" i="4"/>
  <c r="P7" i="4" s="1"/>
  <c r="O8" i="4"/>
  <c r="P8" i="4" s="1"/>
  <c r="O9" i="4"/>
  <c r="P9" i="4" s="1"/>
  <c r="O10" i="4"/>
  <c r="P10" i="4" s="1"/>
  <c r="O12" i="4"/>
  <c r="P12" i="4" s="1"/>
  <c r="O13" i="4"/>
  <c r="P13" i="4" s="1"/>
  <c r="O14" i="4"/>
  <c r="P14" i="4" s="1"/>
  <c r="O16" i="4"/>
  <c r="P16" i="4" s="1"/>
  <c r="O17" i="4"/>
  <c r="P17" i="4" s="1"/>
  <c r="O18" i="4"/>
  <c r="P18" i="4" s="1"/>
  <c r="O20" i="4"/>
  <c r="P20" i="4" s="1"/>
  <c r="O21" i="4"/>
  <c r="P21" i="4" s="1"/>
  <c r="O22" i="4"/>
  <c r="P22" i="4" s="1"/>
  <c r="O23" i="4"/>
  <c r="P23" i="4" s="1"/>
  <c r="O24" i="4"/>
  <c r="P24" i="4" s="1"/>
  <c r="O26" i="4"/>
  <c r="P26" i="4" s="1"/>
  <c r="O27" i="4"/>
  <c r="P27" i="4" s="1"/>
  <c r="O29" i="4"/>
  <c r="P29" i="4" s="1"/>
  <c r="O30" i="4"/>
  <c r="P30" i="4" s="1"/>
  <c r="O32" i="4"/>
  <c r="P32" i="4" s="1"/>
  <c r="O33" i="4"/>
  <c r="P33" i="4" s="1"/>
  <c r="O34" i="4"/>
  <c r="P34" i="4" s="1"/>
  <c r="O35" i="4"/>
  <c r="P35" i="4" s="1"/>
  <c r="O37" i="4"/>
  <c r="P37" i="4" s="1"/>
  <c r="O38" i="4"/>
  <c r="P38" i="4" s="1"/>
  <c r="O41" i="4"/>
  <c r="P41" i="4" s="1"/>
  <c r="O42" i="4"/>
  <c r="P42" i="4" s="1"/>
  <c r="O44" i="4"/>
  <c r="P44" i="4" s="1"/>
  <c r="O46" i="4"/>
  <c r="P46" i="4" s="1"/>
  <c r="O47" i="4"/>
  <c r="P47" i="4" s="1"/>
  <c r="O49" i="4"/>
  <c r="P49" i="4" s="1"/>
  <c r="O50" i="4"/>
  <c r="P50" i="4" s="1"/>
  <c r="O52" i="4"/>
  <c r="P52" i="4" s="1"/>
  <c r="O53" i="4"/>
  <c r="P53" i="4" s="1"/>
  <c r="O54" i="4"/>
  <c r="P54" i="4" s="1"/>
  <c r="O55" i="4"/>
  <c r="P55" i="4" s="1"/>
  <c r="O57" i="4"/>
  <c r="P57" i="4" s="1"/>
  <c r="O58" i="4"/>
  <c r="P58" i="4" s="1"/>
  <c r="O59" i="4"/>
  <c r="P59" i="4" s="1"/>
  <c r="O61" i="4"/>
  <c r="P61" i="4" s="1"/>
  <c r="O62" i="4"/>
  <c r="P62" i="4" s="1"/>
  <c r="O63" i="4"/>
  <c r="P63" i="4" s="1"/>
  <c r="L4" i="4"/>
  <c r="M4" i="4" s="1"/>
  <c r="L5" i="4"/>
  <c r="M5" i="4" s="1"/>
  <c r="L7" i="4"/>
  <c r="M7" i="4" s="1"/>
  <c r="L8" i="4"/>
  <c r="M8" i="4" s="1"/>
  <c r="L9" i="4"/>
  <c r="M9" i="4" s="1"/>
  <c r="L10" i="4"/>
  <c r="M10" i="4" s="1"/>
  <c r="L11" i="4"/>
  <c r="M11" i="4" s="1"/>
  <c r="L12" i="4"/>
  <c r="M12" i="4" s="1"/>
  <c r="L13" i="4"/>
  <c r="M13" i="4" s="1"/>
  <c r="L14" i="4"/>
  <c r="M14" i="4" s="1"/>
  <c r="L16" i="4"/>
  <c r="M16" i="4" s="1"/>
  <c r="L17" i="4"/>
  <c r="M17" i="4" s="1"/>
  <c r="L18" i="4"/>
  <c r="M18" i="4" s="1"/>
  <c r="L20" i="4"/>
  <c r="M20" i="4" s="1"/>
  <c r="L21" i="4"/>
  <c r="M21" i="4" s="1"/>
  <c r="L22" i="4"/>
  <c r="M22" i="4" s="1"/>
  <c r="L23" i="4"/>
  <c r="M23" i="4" s="1"/>
  <c r="L24" i="4"/>
  <c r="M24" i="4" s="1"/>
  <c r="L26" i="4"/>
  <c r="M26" i="4" s="1"/>
  <c r="L27" i="4"/>
  <c r="M27" i="4" s="1"/>
  <c r="L29" i="4"/>
  <c r="M29" i="4" s="1"/>
  <c r="L30" i="4"/>
  <c r="M30" i="4" s="1"/>
  <c r="L32" i="4"/>
  <c r="M32" i="4" s="1"/>
  <c r="L33" i="4"/>
  <c r="M33" i="4" s="1"/>
  <c r="L34" i="4"/>
  <c r="M34" i="4" s="1"/>
  <c r="L35" i="4"/>
  <c r="M35" i="4" s="1"/>
  <c r="L37" i="4"/>
  <c r="M37" i="4" s="1"/>
  <c r="L38" i="4"/>
  <c r="M38" i="4" s="1"/>
  <c r="L41" i="4"/>
  <c r="M41" i="4" s="1"/>
  <c r="L42" i="4"/>
  <c r="M42" i="4" s="1"/>
  <c r="L44" i="4"/>
  <c r="M44" i="4" s="1"/>
  <c r="L46" i="4"/>
  <c r="M46" i="4" s="1"/>
  <c r="L47" i="4"/>
  <c r="M47" i="4" s="1"/>
  <c r="L49" i="4"/>
  <c r="M49" i="4" s="1"/>
  <c r="L50" i="4"/>
  <c r="M50" i="4" s="1"/>
  <c r="L52" i="4"/>
  <c r="M52" i="4" s="1"/>
  <c r="L53" i="4"/>
  <c r="M53" i="4" s="1"/>
  <c r="L54" i="4"/>
  <c r="M54" i="4" s="1"/>
  <c r="L55" i="4"/>
  <c r="M55" i="4" s="1"/>
  <c r="L57" i="4"/>
  <c r="M57" i="4" s="1"/>
  <c r="L58" i="4"/>
  <c r="M58" i="4" s="1"/>
  <c r="L59" i="4"/>
  <c r="M59" i="4" s="1"/>
  <c r="L61" i="4"/>
  <c r="M61" i="4" s="1"/>
  <c r="L62" i="4"/>
  <c r="M62" i="4" s="1"/>
  <c r="L63" i="4"/>
  <c r="M63" i="4" s="1"/>
  <c r="F35" i="4"/>
  <c r="G35" i="4" s="1"/>
  <c r="I35" i="4"/>
  <c r="J35" i="4" s="1"/>
  <c r="I52" i="4"/>
  <c r="J52" i="4" s="1"/>
  <c r="I50" i="4"/>
  <c r="J50" i="4" s="1"/>
  <c r="I49" i="4"/>
  <c r="J49" i="4" s="1"/>
  <c r="I46" i="4"/>
  <c r="J46" i="4" s="1"/>
  <c r="I47" i="4"/>
  <c r="J47" i="4" s="1"/>
  <c r="I4" i="4"/>
  <c r="J4" i="4" s="1"/>
  <c r="I5" i="4"/>
  <c r="J5" i="4" s="1"/>
  <c r="I7" i="4"/>
  <c r="J7" i="4" s="1"/>
  <c r="I8" i="4"/>
  <c r="J8" i="4" s="1"/>
  <c r="I9" i="4"/>
  <c r="J9" i="4" s="1"/>
  <c r="I10" i="4"/>
  <c r="J10" i="4" s="1"/>
  <c r="I11" i="4"/>
  <c r="J11" i="4" s="1"/>
  <c r="I12" i="4"/>
  <c r="J12" i="4" s="1"/>
  <c r="I13" i="4"/>
  <c r="J13" i="4" s="1"/>
  <c r="I14" i="4"/>
  <c r="J14" i="4" s="1"/>
  <c r="I16" i="4"/>
  <c r="J16" i="4" s="1"/>
  <c r="I17" i="4"/>
  <c r="J17" i="4" s="1"/>
  <c r="I18" i="4"/>
  <c r="J18" i="4" s="1"/>
  <c r="I20" i="4"/>
  <c r="J20" i="4" s="1"/>
  <c r="I21" i="4"/>
  <c r="J21" i="4" s="1"/>
  <c r="I22" i="4"/>
  <c r="J22" i="4" s="1"/>
  <c r="I23" i="4"/>
  <c r="J23" i="4" s="1"/>
  <c r="I24" i="4"/>
  <c r="J24" i="4" s="1"/>
  <c r="I26" i="4"/>
  <c r="J26" i="4" s="1"/>
  <c r="I27" i="4"/>
  <c r="J27" i="4" s="1"/>
  <c r="I29" i="4"/>
  <c r="J29" i="4" s="1"/>
  <c r="I30" i="4"/>
  <c r="J30" i="4" s="1"/>
  <c r="I32" i="4"/>
  <c r="J32" i="4" s="1"/>
  <c r="I33" i="4"/>
  <c r="J33" i="4" s="1"/>
  <c r="I34" i="4"/>
  <c r="J34" i="4" s="1"/>
  <c r="I37" i="4"/>
  <c r="J37" i="4" s="1"/>
  <c r="I38" i="4"/>
  <c r="J38" i="4" s="1"/>
  <c r="I41" i="4"/>
  <c r="J41" i="4" s="1"/>
  <c r="I42" i="4"/>
  <c r="I44" i="4"/>
  <c r="J44" i="4" s="1"/>
  <c r="I53" i="4"/>
  <c r="J53" i="4" s="1"/>
  <c r="I54" i="4"/>
  <c r="J54" i="4" s="1"/>
  <c r="I55" i="4"/>
  <c r="J55" i="4" s="1"/>
  <c r="I57" i="4"/>
  <c r="J57" i="4" s="1"/>
  <c r="I58" i="4"/>
  <c r="J58" i="4" s="1"/>
  <c r="I59" i="4"/>
  <c r="J59" i="4" s="1"/>
  <c r="I62" i="4"/>
  <c r="J62" i="4" s="1"/>
  <c r="I63" i="4"/>
  <c r="J63" i="4" s="1"/>
  <c r="F4" i="4"/>
  <c r="G4" i="4" s="1"/>
  <c r="F5" i="4"/>
  <c r="G5" i="4" s="1"/>
  <c r="F7" i="4"/>
  <c r="G7" i="4" s="1"/>
  <c r="F8" i="4"/>
  <c r="G8" i="4" s="1"/>
  <c r="F9" i="4"/>
  <c r="G9" i="4" s="1"/>
  <c r="F10" i="4"/>
  <c r="G10" i="4" s="1"/>
  <c r="F11" i="4"/>
  <c r="G11" i="4" s="1"/>
  <c r="F12" i="4"/>
  <c r="G12" i="4" s="1"/>
  <c r="F13" i="4"/>
  <c r="G13" i="4" s="1"/>
  <c r="F14" i="4"/>
  <c r="G14" i="4" s="1"/>
  <c r="F16" i="4"/>
  <c r="G16" i="4" s="1"/>
  <c r="F17" i="4"/>
  <c r="G17" i="4" s="1"/>
  <c r="F18" i="4"/>
  <c r="G18" i="4" s="1"/>
  <c r="F20" i="4"/>
  <c r="G20" i="4" s="1"/>
  <c r="F21" i="4"/>
  <c r="G21" i="4" s="1"/>
  <c r="F22" i="4"/>
  <c r="G22" i="4" s="1"/>
  <c r="F23" i="4"/>
  <c r="G23" i="4" s="1"/>
  <c r="F24" i="4"/>
  <c r="G24" i="4" s="1"/>
  <c r="F26" i="4"/>
  <c r="G26" i="4" s="1"/>
  <c r="F27" i="4"/>
  <c r="G27" i="4" s="1"/>
  <c r="F29" i="4"/>
  <c r="G29" i="4" s="1"/>
  <c r="F30" i="4"/>
  <c r="G30" i="4" s="1"/>
  <c r="F32" i="4"/>
  <c r="G32" i="4" s="1"/>
  <c r="F33" i="4"/>
  <c r="G33" i="4" s="1"/>
  <c r="F34" i="4"/>
  <c r="G34" i="4" s="1"/>
  <c r="F37" i="4"/>
  <c r="G37" i="4" s="1"/>
  <c r="F38" i="4"/>
  <c r="G38" i="4" s="1"/>
  <c r="F41" i="4"/>
  <c r="G41" i="4" s="1"/>
  <c r="F42" i="4"/>
  <c r="G42" i="4" s="1"/>
  <c r="F44" i="4"/>
  <c r="G44" i="4" s="1"/>
  <c r="F46" i="4"/>
  <c r="G46" i="4" s="1"/>
  <c r="F47" i="4"/>
  <c r="G47" i="4" s="1"/>
  <c r="F49" i="4"/>
  <c r="G49" i="4" s="1"/>
  <c r="F50" i="4"/>
  <c r="G50" i="4" s="1"/>
  <c r="F52" i="4"/>
  <c r="G52" i="4" s="1"/>
  <c r="F53" i="4"/>
  <c r="G53" i="4" s="1"/>
  <c r="F54" i="4"/>
  <c r="G54" i="4" s="1"/>
  <c r="F55" i="4"/>
  <c r="G55" i="4" s="1"/>
  <c r="F57" i="4"/>
  <c r="G57" i="4" s="1"/>
  <c r="F58" i="4"/>
  <c r="G58" i="4" s="1"/>
  <c r="F59" i="4"/>
  <c r="G59" i="4" s="1"/>
  <c r="F62" i="4"/>
  <c r="G62" i="4" s="1"/>
  <c r="F63" i="4"/>
  <c r="G63" i="4" s="1"/>
  <c r="AT64" i="4"/>
  <c r="AP64" i="4"/>
  <c r="AL64" i="4"/>
  <c r="AH64" i="4"/>
  <c r="AD64" i="4"/>
  <c r="Z64" i="4"/>
  <c r="W64" i="4"/>
  <c r="T64" i="4"/>
  <c r="Q64" i="4"/>
  <c r="N64" i="4"/>
  <c r="K64" i="4"/>
  <c r="H64" i="4"/>
  <c r="E64" i="4"/>
  <c r="AY3" i="4"/>
  <c r="W31" i="1"/>
  <c r="U31" i="1"/>
  <c r="S31" i="1"/>
  <c r="Q31" i="1"/>
  <c r="O31" i="1"/>
  <c r="M6" i="1"/>
  <c r="M7" i="1"/>
  <c r="Y7" i="1" s="1"/>
  <c r="M8" i="1"/>
  <c r="Y8" i="1" s="1"/>
  <c r="M9" i="1"/>
  <c r="Y9" i="1" s="1"/>
  <c r="M10" i="1"/>
  <c r="Y10" i="1" s="1"/>
  <c r="M11" i="1"/>
  <c r="M12" i="1"/>
  <c r="Y12" i="1" s="1"/>
  <c r="M13" i="1"/>
  <c r="M14" i="1"/>
  <c r="Y14" i="1" s="1"/>
  <c r="M15" i="1"/>
  <c r="M16" i="1"/>
  <c r="M17" i="1"/>
  <c r="M18" i="1"/>
  <c r="Y18" i="1" s="1"/>
  <c r="M19" i="1"/>
  <c r="M20" i="1"/>
  <c r="Y20" i="1" s="1"/>
  <c r="M21" i="1"/>
  <c r="Y21" i="1" s="1"/>
  <c r="M22" i="1"/>
  <c r="M23" i="1"/>
  <c r="Y23" i="1" s="1"/>
  <c r="M24" i="1"/>
  <c r="M26" i="1"/>
  <c r="M27" i="1"/>
  <c r="Y27" i="1" s="1"/>
  <c r="M28" i="1"/>
  <c r="M29" i="1"/>
  <c r="M30" i="1"/>
  <c r="M31" i="1"/>
  <c r="M32" i="1"/>
  <c r="Y32" i="1" s="1"/>
  <c r="M33" i="1"/>
  <c r="M34" i="1"/>
  <c r="M35" i="1"/>
  <c r="Y35" i="1" s="1"/>
  <c r="M36" i="1"/>
  <c r="M37" i="1"/>
  <c r="M38" i="1"/>
  <c r="Y38" i="1" s="1"/>
  <c r="M39" i="1"/>
  <c r="M41" i="1"/>
  <c r="Y41" i="1" s="1"/>
  <c r="M42" i="1"/>
  <c r="M43" i="1"/>
  <c r="M44" i="1"/>
  <c r="Y44" i="1" s="1"/>
  <c r="M45" i="1"/>
  <c r="M46" i="1"/>
  <c r="M47" i="1"/>
  <c r="M48" i="1"/>
  <c r="M49" i="1"/>
  <c r="Y49" i="1" s="1"/>
  <c r="M50" i="1"/>
  <c r="M52" i="1"/>
  <c r="Y52" i="1" s="1"/>
  <c r="M53" i="1"/>
  <c r="M54" i="1"/>
  <c r="M55" i="1"/>
  <c r="M56" i="1"/>
  <c r="M57" i="1"/>
  <c r="Y57" i="1" s="1"/>
  <c r="M58" i="1"/>
  <c r="M59" i="1"/>
  <c r="Y59" i="1" s="1"/>
  <c r="M60" i="1"/>
  <c r="M62" i="1"/>
  <c r="Y62" i="1" s="1"/>
  <c r="M63" i="1"/>
  <c r="M5" i="1"/>
  <c r="Y5" i="1" s="1"/>
  <c r="M4" i="1"/>
  <c r="E64" i="1"/>
  <c r="F64" i="4" s="1"/>
  <c r="F64" i="1"/>
  <c r="I64" i="4" s="1"/>
  <c r="G64" i="1"/>
  <c r="L64" i="4" s="1"/>
  <c r="H64" i="1"/>
  <c r="O64" i="4" s="1"/>
  <c r="I64" i="1"/>
  <c r="R64" i="4" s="1"/>
  <c r="J64" i="1"/>
  <c r="U64" i="4" s="1"/>
  <c r="K64" i="1"/>
  <c r="X64" i="4" s="1"/>
  <c r="L64" i="1"/>
  <c r="AA64" i="4" s="1"/>
  <c r="P64" i="1"/>
  <c r="AI64" i="4" s="1"/>
  <c r="R64" i="1"/>
  <c r="AM64" i="4" s="1"/>
  <c r="T64" i="1"/>
  <c r="AQ64" i="4" s="1"/>
  <c r="V64" i="1"/>
  <c r="AU64" i="4" s="1"/>
  <c r="N64" i="1"/>
  <c r="AE64" i="4" s="1"/>
  <c r="W28" i="1"/>
  <c r="U28" i="1"/>
  <c r="S28" i="1"/>
  <c r="Q28" i="1"/>
  <c r="O28" i="1"/>
  <c r="Y16" i="1"/>
  <c r="Y30" i="1"/>
  <c r="Y46" i="1"/>
  <c r="Y54" i="1"/>
  <c r="Y63" i="1"/>
  <c r="Y3" i="1"/>
  <c r="W6" i="1"/>
  <c r="U6" i="1"/>
  <c r="S6" i="1"/>
  <c r="Q6" i="1"/>
  <c r="O6" i="1"/>
  <c r="W60" i="1"/>
  <c r="W58" i="1"/>
  <c r="W56" i="1"/>
  <c r="W55" i="1"/>
  <c r="W53" i="1"/>
  <c r="W50" i="1"/>
  <c r="W48" i="1"/>
  <c r="W47" i="1"/>
  <c r="W45" i="1"/>
  <c r="W43" i="1"/>
  <c r="W42" i="1"/>
  <c r="W40" i="1"/>
  <c r="W37" i="1"/>
  <c r="W36" i="1"/>
  <c r="W34" i="1"/>
  <c r="W33" i="1"/>
  <c r="W29" i="1"/>
  <c r="W26" i="1"/>
  <c r="W24" i="1"/>
  <c r="W22" i="1"/>
  <c r="W19" i="1"/>
  <c r="W17" i="1"/>
  <c r="W15" i="1"/>
  <c r="W13" i="1"/>
  <c r="W11" i="1"/>
  <c r="U60" i="1"/>
  <c r="U58" i="1"/>
  <c r="U56" i="1"/>
  <c r="U55" i="1"/>
  <c r="U53" i="1"/>
  <c r="U50" i="1"/>
  <c r="U48" i="1"/>
  <c r="U47" i="1"/>
  <c r="U45" i="1"/>
  <c r="U43" i="1"/>
  <c r="U42" i="1"/>
  <c r="U40" i="1"/>
  <c r="U37" i="1"/>
  <c r="U36" i="1"/>
  <c r="U34" i="1"/>
  <c r="U33" i="1"/>
  <c r="U29" i="1"/>
  <c r="U26" i="1"/>
  <c r="U24" i="1"/>
  <c r="U22" i="1"/>
  <c r="U19" i="1"/>
  <c r="U17" i="1"/>
  <c r="U15" i="1"/>
  <c r="U13" i="1"/>
  <c r="U11" i="1"/>
  <c r="S60" i="1"/>
  <c r="S58" i="1"/>
  <c r="S56" i="1"/>
  <c r="S55" i="1"/>
  <c r="S53" i="1"/>
  <c r="S50" i="1"/>
  <c r="S48" i="1"/>
  <c r="S47" i="1"/>
  <c r="S45" i="1"/>
  <c r="S43" i="1"/>
  <c r="S42" i="1"/>
  <c r="S40" i="1"/>
  <c r="S37" i="1"/>
  <c r="S36" i="1"/>
  <c r="S34" i="1"/>
  <c r="S33" i="1"/>
  <c r="S29" i="1"/>
  <c r="S26" i="1"/>
  <c r="S24" i="1"/>
  <c r="S22" i="1"/>
  <c r="S19" i="1"/>
  <c r="S17" i="1"/>
  <c r="S15" i="1"/>
  <c r="S13" i="1"/>
  <c r="S11" i="1"/>
  <c r="Q60" i="1"/>
  <c r="Q58" i="1"/>
  <c r="Q56" i="1"/>
  <c r="Q55" i="1"/>
  <c r="Q53" i="1"/>
  <c r="Q50" i="1"/>
  <c r="Q48" i="1"/>
  <c r="Q47" i="1"/>
  <c r="Q45" i="1"/>
  <c r="Q43" i="1"/>
  <c r="Q42" i="1"/>
  <c r="Q40" i="1"/>
  <c r="Q37" i="1"/>
  <c r="Q36" i="1"/>
  <c r="Q34" i="1"/>
  <c r="Q33" i="1"/>
  <c r="Q29" i="1"/>
  <c r="Q26" i="1"/>
  <c r="Q24" i="1"/>
  <c r="Q22" i="1"/>
  <c r="Q19" i="1"/>
  <c r="Q17" i="1"/>
  <c r="Q15" i="1"/>
  <c r="Q13" i="1"/>
  <c r="Q11" i="1"/>
  <c r="O60" i="1"/>
  <c r="O58" i="1"/>
  <c r="O56" i="1"/>
  <c r="O55" i="1"/>
  <c r="O53" i="1"/>
  <c r="O50" i="1"/>
  <c r="O48" i="1"/>
  <c r="O47" i="1"/>
  <c r="O45" i="1"/>
  <c r="O43" i="1"/>
  <c r="O42" i="1"/>
  <c r="O40" i="1"/>
  <c r="O37" i="1"/>
  <c r="O36" i="1"/>
  <c r="O34" i="1"/>
  <c r="O33" i="1"/>
  <c r="O29" i="1"/>
  <c r="O26" i="1"/>
  <c r="O24" i="1"/>
  <c r="O22" i="1"/>
  <c r="O19" i="1"/>
  <c r="O17" i="1"/>
  <c r="O15" i="1"/>
  <c r="O13" i="1"/>
  <c r="O11" i="1"/>
  <c r="AY64" i="15" l="1"/>
  <c r="AZ68" i="15" s="1"/>
  <c r="AY33" i="11"/>
  <c r="AY34" i="11"/>
  <c r="AY26" i="11"/>
  <c r="AY13" i="11"/>
  <c r="AY24" i="11"/>
  <c r="AY17" i="11"/>
  <c r="AY53" i="11"/>
  <c r="AY47" i="11"/>
  <c r="AY50" i="11"/>
  <c r="AY37" i="11"/>
  <c r="AY11" i="11"/>
  <c r="AY55" i="11"/>
  <c r="AY42" i="11"/>
  <c r="AY58" i="11"/>
  <c r="AY29" i="11"/>
  <c r="AY22" i="11"/>
  <c r="AW64" i="11"/>
  <c r="AX6" i="11"/>
  <c r="AC64" i="11"/>
  <c r="AY4" i="11"/>
  <c r="AX64" i="10"/>
  <c r="AY50" i="10"/>
  <c r="AY47" i="10"/>
  <c r="AY26" i="10"/>
  <c r="AY55" i="10"/>
  <c r="AY37" i="10"/>
  <c r="AY29" i="10"/>
  <c r="AY17" i="10"/>
  <c r="AY13" i="10"/>
  <c r="AY34" i="10"/>
  <c r="AY42" i="10"/>
  <c r="AY22" i="10"/>
  <c r="AY53" i="10"/>
  <c r="AY58" i="10"/>
  <c r="AY6" i="10"/>
  <c r="AY24" i="10"/>
  <c r="AY11" i="10"/>
  <c r="AC64" i="10"/>
  <c r="AY4" i="10"/>
  <c r="AY42" i="9"/>
  <c r="AY29" i="9"/>
  <c r="AY17" i="9"/>
  <c r="AY11" i="9"/>
  <c r="AY55" i="9"/>
  <c r="AY37" i="9"/>
  <c r="AY53" i="9"/>
  <c r="AX6" i="8"/>
  <c r="AX11" i="8"/>
  <c r="AC13" i="8"/>
  <c r="AX13" i="8"/>
  <c r="AC14" i="8"/>
  <c r="AX15" i="8"/>
  <c r="AX19" i="8"/>
  <c r="AC21" i="8"/>
  <c r="AX22" i="8"/>
  <c r="AX24" i="8"/>
  <c r="AX28" i="8"/>
  <c r="AC29" i="8"/>
  <c r="AC30" i="8"/>
  <c r="AX37" i="8"/>
  <c r="AX40" i="8"/>
  <c r="AX43" i="8"/>
  <c r="AC46" i="8"/>
  <c r="AX47" i="8"/>
  <c r="AC49" i="8"/>
  <c r="AX53" i="8"/>
  <c r="AX55" i="8"/>
  <c r="AC59" i="8"/>
  <c r="AX60" i="8"/>
  <c r="AX58" i="8"/>
  <c r="AX56" i="8"/>
  <c r="AX50" i="8"/>
  <c r="AX48" i="8"/>
  <c r="AX42" i="8"/>
  <c r="AX26" i="8"/>
  <c r="AX17" i="8"/>
  <c r="AC62" i="8"/>
  <c r="AC44" i="8"/>
  <c r="AY44" i="8" s="1"/>
  <c r="AC12" i="8"/>
  <c r="AC10" i="8"/>
  <c r="AC58" i="8"/>
  <c r="AC42" i="8"/>
  <c r="AC17" i="8"/>
  <c r="AC16" i="8"/>
  <c r="AX64" i="9"/>
  <c r="AY6" i="9"/>
  <c r="AC64" i="9"/>
  <c r="AY4" i="9"/>
  <c r="AX31" i="8"/>
  <c r="AC18" i="8"/>
  <c r="AY18" i="8" s="1"/>
  <c r="AU64" i="8"/>
  <c r="AQ64" i="8"/>
  <c r="AB64" i="8"/>
  <c r="G64" i="8"/>
  <c r="AN64" i="8"/>
  <c r="AV64" i="8"/>
  <c r="AF64" i="8"/>
  <c r="S64" i="8"/>
  <c r="M64" i="8"/>
  <c r="AR64" i="8"/>
  <c r="AS64" i="8"/>
  <c r="AY43" i="8"/>
  <c r="AY60" i="8"/>
  <c r="AX36" i="8"/>
  <c r="AY36" i="8" s="1"/>
  <c r="AC33" i="8"/>
  <c r="AC63" i="8"/>
  <c r="AY63" i="8" s="1"/>
  <c r="AY14" i="8"/>
  <c r="AC9" i="8"/>
  <c r="AY9" i="8" s="1"/>
  <c r="AC26" i="8"/>
  <c r="AC50" i="8"/>
  <c r="AC54" i="8"/>
  <c r="AY54" i="8" s="1"/>
  <c r="AC55" i="8"/>
  <c r="AC7" i="8"/>
  <c r="AY7" i="8" s="1"/>
  <c r="AC8" i="8"/>
  <c r="AY8" i="8" s="1"/>
  <c r="AY21" i="8"/>
  <c r="AC35" i="8"/>
  <c r="AY35" i="8" s="1"/>
  <c r="AY12" i="8"/>
  <c r="AC51" i="8"/>
  <c r="AY51" i="8" s="1"/>
  <c r="AC25" i="8"/>
  <c r="AY25" i="8" s="1"/>
  <c r="AC6" i="8"/>
  <c r="AC20" i="8"/>
  <c r="AY20" i="8" s="1"/>
  <c r="AO64" i="8"/>
  <c r="AC4" i="8"/>
  <c r="AC5" i="8"/>
  <c r="AY5" i="8" s="1"/>
  <c r="AC11" i="8"/>
  <c r="AY19" i="8"/>
  <c r="AY15" i="8"/>
  <c r="AY10" i="8"/>
  <c r="AG64" i="8"/>
  <c r="AY16" i="8"/>
  <c r="AY30" i="8"/>
  <c r="AX34" i="8"/>
  <c r="AC41" i="8"/>
  <c r="AY41" i="8" s="1"/>
  <c r="AX45" i="8"/>
  <c r="AY45" i="8" s="1"/>
  <c r="AC47" i="8"/>
  <c r="AY48" i="8"/>
  <c r="AC22" i="8"/>
  <c r="AX33" i="8"/>
  <c r="AY56" i="8"/>
  <c r="AC57" i="8"/>
  <c r="AY57" i="8" s="1"/>
  <c r="AY59" i="8"/>
  <c r="AK64" i="8"/>
  <c r="AC24" i="8"/>
  <c r="AC39" i="8"/>
  <c r="AY39" i="8" s="1"/>
  <c r="AY40" i="8"/>
  <c r="AW64" i="8"/>
  <c r="AC37" i="8"/>
  <c r="AY37" i="8" s="1"/>
  <c r="AY46" i="8"/>
  <c r="AC61" i="8"/>
  <c r="AY61" i="8" s="1"/>
  <c r="AY62" i="8"/>
  <c r="AX29" i="8"/>
  <c r="AY49" i="8"/>
  <c r="AC23" i="8"/>
  <c r="AY23" i="8" s="1"/>
  <c r="AC32" i="8"/>
  <c r="AY32" i="8" s="1"/>
  <c r="AC34" i="8"/>
  <c r="AC38" i="8"/>
  <c r="AY38" i="8" s="1"/>
  <c r="AC27" i="8"/>
  <c r="AY27" i="8" s="1"/>
  <c r="AY28" i="8"/>
  <c r="AC52" i="8"/>
  <c r="AY52" i="8" s="1"/>
  <c r="AC53" i="8"/>
  <c r="AC4" i="7"/>
  <c r="AY4" i="7" s="1"/>
  <c r="AC5" i="7"/>
  <c r="AY5" i="7" s="1"/>
  <c r="AW64" i="7"/>
  <c r="AC7" i="7"/>
  <c r="AY7" i="7" s="1"/>
  <c r="AC8" i="7"/>
  <c r="AY8" i="7" s="1"/>
  <c r="AC9" i="7"/>
  <c r="AY9" i="7" s="1"/>
  <c r="AC10" i="7"/>
  <c r="AY10" i="7" s="1"/>
  <c r="AC11" i="7"/>
  <c r="AY11" i="7" s="1"/>
  <c r="AC12" i="7"/>
  <c r="AY12" i="7" s="1"/>
  <c r="AC13" i="7"/>
  <c r="AY13" i="7" s="1"/>
  <c r="AC14" i="7"/>
  <c r="AY14" i="7" s="1"/>
  <c r="AC16" i="7"/>
  <c r="AY16" i="7" s="1"/>
  <c r="AC17" i="7"/>
  <c r="AY17" i="7" s="1"/>
  <c r="AC18" i="7"/>
  <c r="AY18" i="7" s="1"/>
  <c r="AC20" i="7"/>
  <c r="AY20" i="7" s="1"/>
  <c r="AC21" i="7"/>
  <c r="AY21" i="7" s="1"/>
  <c r="AC22" i="7"/>
  <c r="AY22" i="7" s="1"/>
  <c r="AC23" i="7"/>
  <c r="AY23" i="7" s="1"/>
  <c r="AC24" i="7"/>
  <c r="AY24" i="7" s="1"/>
  <c r="AC26" i="7"/>
  <c r="AY26" i="7" s="1"/>
  <c r="AC27" i="7"/>
  <c r="AY27" i="7" s="1"/>
  <c r="AC29" i="7"/>
  <c r="AY29" i="7" s="1"/>
  <c r="AC30" i="7"/>
  <c r="AY30" i="7" s="1"/>
  <c r="AC32" i="7"/>
  <c r="AY32" i="7" s="1"/>
  <c r="AC33" i="7"/>
  <c r="AY33" i="7" s="1"/>
  <c r="AC34" i="7"/>
  <c r="AY34" i="7" s="1"/>
  <c r="AC35" i="7"/>
  <c r="AY35" i="7" s="1"/>
  <c r="AC37" i="7"/>
  <c r="AY37" i="7" s="1"/>
  <c r="AC38" i="7"/>
  <c r="AY38" i="7" s="1"/>
  <c r="AC41" i="7"/>
  <c r="AY41" i="7" s="1"/>
  <c r="AC42" i="7"/>
  <c r="AY42" i="7" s="1"/>
  <c r="AC44" i="7"/>
  <c r="AY44" i="7" s="1"/>
  <c r="AC46" i="7"/>
  <c r="AY46" i="7" s="1"/>
  <c r="AC47" i="7"/>
  <c r="AY47" i="7" s="1"/>
  <c r="AC49" i="7"/>
  <c r="AY49" i="7" s="1"/>
  <c r="AC50" i="7"/>
  <c r="AY50" i="7" s="1"/>
  <c r="AC52" i="7"/>
  <c r="AY52" i="7" s="1"/>
  <c r="AC53" i="7"/>
  <c r="AY53" i="7" s="1"/>
  <c r="AC54" i="7"/>
  <c r="AY54" i="7" s="1"/>
  <c r="AC55" i="7"/>
  <c r="AY55" i="7" s="1"/>
  <c r="AC57" i="7"/>
  <c r="AY57" i="7" s="1"/>
  <c r="AC58" i="7"/>
  <c r="AY58" i="7" s="1"/>
  <c r="AC59" i="7"/>
  <c r="AY59" i="7" s="1"/>
  <c r="AC61" i="7"/>
  <c r="AY61" i="7" s="1"/>
  <c r="AC62" i="7"/>
  <c r="AY62" i="7" s="1"/>
  <c r="AC63" i="7"/>
  <c r="AY63" i="7" s="1"/>
  <c r="X22" i="1"/>
  <c r="Y22" i="1" s="1"/>
  <c r="X40" i="1"/>
  <c r="Y40" i="1" s="1"/>
  <c r="X55" i="1"/>
  <c r="Y55" i="1" s="1"/>
  <c r="X19" i="1"/>
  <c r="X37" i="1"/>
  <c r="X53" i="1"/>
  <c r="X6" i="1"/>
  <c r="X26" i="1"/>
  <c r="Y26" i="1" s="1"/>
  <c r="X43" i="1"/>
  <c r="X58" i="1"/>
  <c r="Y58" i="1" s="1"/>
  <c r="X24" i="1"/>
  <c r="Y24" i="1" s="1"/>
  <c r="X42" i="1"/>
  <c r="Y42" i="1" s="1"/>
  <c r="X56" i="1"/>
  <c r="Y56" i="1" s="1"/>
  <c r="X29" i="1"/>
  <c r="Y29" i="1" s="1"/>
  <c r="X45" i="1"/>
  <c r="Y45" i="1" s="1"/>
  <c r="X60" i="1"/>
  <c r="Y60" i="1" s="1"/>
  <c r="X13" i="1"/>
  <c r="X33" i="1"/>
  <c r="Y33" i="1" s="1"/>
  <c r="X47" i="1"/>
  <c r="Y47" i="1" s="1"/>
  <c r="X11" i="1"/>
  <c r="Y11" i="1" s="1"/>
  <c r="O64" i="1"/>
  <c r="X15" i="1"/>
  <c r="Y15" i="1" s="1"/>
  <c r="X34" i="1"/>
  <c r="Y34" i="1" s="1"/>
  <c r="X48" i="1"/>
  <c r="Y48" i="1" s="1"/>
  <c r="X17" i="1"/>
  <c r="Y17" i="1" s="1"/>
  <c r="X36" i="1"/>
  <c r="X50" i="1"/>
  <c r="Y50" i="1" s="1"/>
  <c r="S64" i="1"/>
  <c r="AN64" i="4"/>
  <c r="Y37" i="1"/>
  <c r="Q64" i="1"/>
  <c r="P64" i="4"/>
  <c r="AR64" i="4"/>
  <c r="W64" i="1"/>
  <c r="Y36" i="1"/>
  <c r="Y19" i="1"/>
  <c r="AV64" i="4"/>
  <c r="Y53" i="1"/>
  <c r="U64" i="1"/>
  <c r="Y13" i="1"/>
  <c r="Y43" i="1"/>
  <c r="Y6" i="1"/>
  <c r="AJ64" i="4"/>
  <c r="AX56" i="4"/>
  <c r="AY56" i="4" s="1"/>
  <c r="AX53" i="4"/>
  <c r="AX45" i="4"/>
  <c r="AY45" i="4" s="1"/>
  <c r="AX40" i="4"/>
  <c r="AY40" i="4" s="1"/>
  <c r="AX37" i="4"/>
  <c r="AX22" i="4"/>
  <c r="AX13" i="4"/>
  <c r="AX60" i="4"/>
  <c r="AY60" i="4" s="1"/>
  <c r="AX58" i="4"/>
  <c r="AX55" i="4"/>
  <c r="AX50" i="4"/>
  <c r="AX48" i="4"/>
  <c r="AY48" i="4" s="1"/>
  <c r="AX47" i="4"/>
  <c r="AX43" i="4"/>
  <c r="AY43" i="4" s="1"/>
  <c r="AX42" i="4"/>
  <c r="AX36" i="4"/>
  <c r="AY36" i="4" s="1"/>
  <c r="AX34" i="4"/>
  <c r="AX33" i="4"/>
  <c r="AX31" i="4"/>
  <c r="AY31" i="4" s="1"/>
  <c r="AX29" i="4"/>
  <c r="AX28" i="4"/>
  <c r="AY28" i="4" s="1"/>
  <c r="AX26" i="4"/>
  <c r="AX24" i="4"/>
  <c r="AX19" i="4"/>
  <c r="AY19" i="4" s="1"/>
  <c r="AX17" i="4"/>
  <c r="AX15" i="4"/>
  <c r="AY15" i="4" s="1"/>
  <c r="AX11" i="4"/>
  <c r="AX6" i="4"/>
  <c r="AY6" i="4" s="1"/>
  <c r="AF64" i="4"/>
  <c r="AK64" i="4"/>
  <c r="AS64" i="4"/>
  <c r="V64" i="4"/>
  <c r="AB64" i="4"/>
  <c r="J64" i="4"/>
  <c r="Y64" i="4"/>
  <c r="G64" i="4"/>
  <c r="AC49" i="4"/>
  <c r="AY49" i="4" s="1"/>
  <c r="AC8" i="4"/>
  <c r="AY8" i="4" s="1"/>
  <c r="AC37" i="4"/>
  <c r="AC17" i="4"/>
  <c r="AC26" i="4"/>
  <c r="AC58" i="4"/>
  <c r="AC52" i="4"/>
  <c r="AY52" i="4" s="1"/>
  <c r="AC41" i="4"/>
  <c r="AY41" i="4" s="1"/>
  <c r="AC30" i="4"/>
  <c r="AY30" i="4" s="1"/>
  <c r="AC21" i="4"/>
  <c r="AY21" i="4" s="1"/>
  <c r="AC11" i="4"/>
  <c r="AC57" i="4"/>
  <c r="AY57" i="4" s="1"/>
  <c r="AC47" i="4"/>
  <c r="AC35" i="4"/>
  <c r="AY35" i="4" s="1"/>
  <c r="AC25" i="4"/>
  <c r="AY25" i="4" s="1"/>
  <c r="AC16" i="4"/>
  <c r="AY16" i="4" s="1"/>
  <c r="AC7" i="4"/>
  <c r="AY7" i="4" s="1"/>
  <c r="AC34" i="4"/>
  <c r="AC54" i="4"/>
  <c r="AY54" i="4" s="1"/>
  <c r="AC44" i="4"/>
  <c r="AY44" i="4" s="1"/>
  <c r="AC33" i="4"/>
  <c r="AC23" i="4"/>
  <c r="AY23" i="4" s="1"/>
  <c r="AC13" i="4"/>
  <c r="AC4" i="4"/>
  <c r="AY4" i="4" s="1"/>
  <c r="AC5" i="4"/>
  <c r="AY5" i="4" s="1"/>
  <c r="AC63" i="4"/>
  <c r="AY63" i="4" s="1"/>
  <c r="AC53" i="4"/>
  <c r="AC32" i="4"/>
  <c r="AY32" i="4" s="1"/>
  <c r="AC22" i="4"/>
  <c r="AC12" i="4"/>
  <c r="AY12" i="4" s="1"/>
  <c r="AC46" i="4"/>
  <c r="AY46" i="4" s="1"/>
  <c r="AC62" i="4"/>
  <c r="AY62" i="4" s="1"/>
  <c r="AC24" i="4"/>
  <c r="AC61" i="4"/>
  <c r="AY61" i="4" s="1"/>
  <c r="AC51" i="4"/>
  <c r="AY51" i="4" s="1"/>
  <c r="AC39" i="4"/>
  <c r="AY39" i="4" s="1"/>
  <c r="AC29" i="4"/>
  <c r="AC20" i="4"/>
  <c r="AY20" i="4" s="1"/>
  <c r="AC10" i="4"/>
  <c r="AY10" i="4" s="1"/>
  <c r="AC55" i="4"/>
  <c r="AC14" i="4"/>
  <c r="AY14" i="4" s="1"/>
  <c r="AC59" i="4"/>
  <c r="AY59" i="4" s="1"/>
  <c r="AC50" i="4"/>
  <c r="AC38" i="4"/>
  <c r="AY38" i="4" s="1"/>
  <c r="AC27" i="4"/>
  <c r="AY27" i="4" s="1"/>
  <c r="AC18" i="4"/>
  <c r="AY18" i="4" s="1"/>
  <c r="AC9" i="4"/>
  <c r="AY9" i="4" s="1"/>
  <c r="AG64" i="4"/>
  <c r="AO64" i="4"/>
  <c r="AW64" i="4"/>
  <c r="M64" i="4"/>
  <c r="S64" i="4"/>
  <c r="J42" i="4"/>
  <c r="AC42" i="4" s="1"/>
  <c r="X31" i="1"/>
  <c r="Y31" i="1" s="1"/>
  <c r="M64" i="1"/>
  <c r="Y4" i="1"/>
  <c r="X28" i="1"/>
  <c r="Y28" i="1" s="1"/>
  <c r="AX64" i="11" l="1"/>
  <c r="AY64" i="11" s="1"/>
  <c r="AY6" i="11"/>
  <c r="AY64" i="10"/>
  <c r="AX64" i="8"/>
  <c r="AY64" i="9"/>
  <c r="AY31" i="8"/>
  <c r="AY50" i="8"/>
  <c r="AY53" i="8"/>
  <c r="AY55" i="8"/>
  <c r="AY26" i="8"/>
  <c r="AY17" i="8"/>
  <c r="AY42" i="8"/>
  <c r="AY33" i="8"/>
  <c r="AY24" i="8"/>
  <c r="AY13" i="8"/>
  <c r="AY22" i="8"/>
  <c r="AY58" i="8"/>
  <c r="AY29" i="8"/>
  <c r="AC64" i="8"/>
  <c r="AY64" i="8" s="1"/>
  <c r="AY4" i="8"/>
  <c r="AY11" i="8"/>
  <c r="AY6" i="8"/>
  <c r="AY47" i="8"/>
  <c r="AY34" i="8"/>
  <c r="AX64" i="7"/>
  <c r="AC64" i="7"/>
  <c r="AY42" i="4"/>
  <c r="AY50" i="4"/>
  <c r="AY47" i="4"/>
  <c r="AY53" i="4"/>
  <c r="AY55" i="4"/>
  <c r="AY58" i="4"/>
  <c r="AY11" i="4"/>
  <c r="AY13" i="4"/>
  <c r="AY17" i="4"/>
  <c r="AY22" i="4"/>
  <c r="AY24" i="4"/>
  <c r="AY26" i="4"/>
  <c r="AY29" i="4"/>
  <c r="AY33" i="4"/>
  <c r="AX64" i="4"/>
  <c r="AY37" i="4"/>
  <c r="AY34" i="4"/>
  <c r="AC64" i="4"/>
  <c r="X64" i="1"/>
  <c r="Y64" i="1" s="1"/>
  <c r="AY64" i="7" l="1"/>
  <c r="AY6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tc={4CE420A3-A8D4-41C6-BC7E-9A4CB5B6E241}</author>
    <author>tc={FB64CDE5-9165-46E4-BEC3-178199584849}</author>
    <author>tc={7BA165D9-9316-433A-9552-C37D3BE91F85}</author>
    <author>tc={4F72C901-5E1B-43D1-9F99-C57AC1512FC7}</author>
  </authors>
  <commentList>
    <comment ref="AT19" authorId="0" shapeId="0" xr:uid="{4CE420A3-A8D4-41C6-BC7E-9A4CB5B6E241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Staat waterkoker</t>
      </text>
    </comment>
    <comment ref="AT24" authorId="1" shapeId="0" xr:uid="{FB64CDE5-9165-46E4-BEC3-178199584849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Geen koelkast dus geen gember/munt</t>
      </text>
    </comment>
    <comment ref="AV26" authorId="2" shapeId="0" xr:uid="{7BA165D9-9316-433A-9552-C37D3BE91F85}">
      <text>
        <t xml:space="preserve"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Waarschijnlijk afgelopen maand totaalstand ingevoerd ipv stand heet water. Correctie gaat nu 
vanzelf
</t>
      </text>
    </comment>
    <comment ref="AV29" authorId="3" shapeId="0" xr:uid="{4F72C901-5E1B-43D1-9F99-C57AC1512FC7}">
      <text>
        <t xml:space="preserve"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Waarschijnlijk afgelopen maand totaalstand ingevoerd ipv stand heet water. Correctie gaat nu 
vanzelf
</t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Emma Thomason</author>
  </authors>
  <commentList>
    <comment ref="H53" authorId="0" shapeId="0" xr:uid="{18F64B25-D0C6-4A7E-8B83-308462A134B2}">
      <text>
        <r>
          <rPr>
            <sz val="11"/>
            <color theme="1"/>
            <rFont val="Calibri"/>
            <family val="2"/>
            <scheme val="minor"/>
          </rPr>
          <t xml:space="preserve">Emma Thomason:
Espresso + Ristretto 824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Emma Thomason</author>
  </authors>
  <commentList>
    <comment ref="H53" authorId="0" shapeId="0" xr:uid="{FFA24C1B-09A0-40EC-9BAC-C9AB0149F000}">
      <text>
        <r>
          <rPr>
            <sz val="11"/>
            <color theme="1"/>
            <rFont val="Calibri"/>
            <family val="2"/>
            <scheme val="minor"/>
          </rPr>
          <t xml:space="preserve">Emma Thomason:
Espresso + Ristretto 824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Emma Thomason</author>
  </authors>
  <commentList>
    <comment ref="H53" authorId="0" shapeId="0" xr:uid="{C1E46781-93FB-4115-B1F0-B474A07F3950}">
      <text>
        <r>
          <rPr>
            <sz val="11"/>
            <color theme="1"/>
            <rFont val="Calibri"/>
            <family val="2"/>
            <scheme val="minor"/>
          </rPr>
          <t xml:space="preserve">Emma Thomason:
Espresso + Ristretto 824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Emma Thomason</author>
  </authors>
  <commentList>
    <comment ref="H53" authorId="0" shapeId="0" xr:uid="{EB6F666A-F198-47B0-ACF2-D4C7ED39A9ED}">
      <text>
        <r>
          <rPr>
            <sz val="11"/>
            <color theme="1"/>
            <rFont val="Calibri"/>
            <family val="2"/>
            <scheme val="minor"/>
          </rPr>
          <t xml:space="preserve">Emma Thomason:
Espresso + Ristretto 824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Emma Thomason</author>
  </authors>
  <commentList>
    <comment ref="H53" authorId="0" shapeId="0" xr:uid="{93E2E750-E6D9-4A1B-929C-3A3699D21A14}">
      <text>
        <r>
          <rPr>
            <sz val="11"/>
            <color theme="1"/>
            <rFont val="Calibri"/>
            <family val="2"/>
            <scheme val="minor"/>
          </rPr>
          <t xml:space="preserve">Emma Thomason:
Espresso + Ristretto 824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Emma Thomason</author>
  </authors>
  <commentList>
    <comment ref="H53" authorId="0" shapeId="0" xr:uid="{30BBD56B-D3E6-469F-88CF-0B3C293760F5}">
      <text>
        <r>
          <rPr>
            <sz val="11"/>
            <color theme="1"/>
            <rFont val="Calibri"/>
            <family val="2"/>
            <scheme val="minor"/>
          </rPr>
          <t xml:space="preserve">Emma Thomason:
Espresso + Ristretto 824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Emma Thomason</author>
  </authors>
  <commentList>
    <comment ref="H53" authorId="0" shapeId="0" xr:uid="{9EF6CFCE-3D30-4B0E-B384-DC2503772418}">
      <text>
        <r>
          <rPr>
            <sz val="11"/>
            <color theme="1"/>
            <rFont val="Calibri"/>
            <family val="2"/>
            <scheme val="minor"/>
          </rPr>
          <t xml:space="preserve">Emma Thomason:
Espresso + Ristretto 824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tc={C973667B-1FB8-4372-961E-80704A55FAC1}</author>
    <author>tc={054E6167-47B1-47C5-B2AE-C8CE7223017B}</author>
    <author>tc={542A0476-F407-4D35-B7BC-BC0B17C6B201}</author>
    <author>tc={8C936228-C2A5-45A1-B5AE-714FA325D62F}</author>
  </authors>
  <commentList>
    <comment ref="AT19" authorId="0" shapeId="0" xr:uid="{C973667B-1FB8-4372-961E-80704A55FAC1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Staat waterkoker</t>
      </text>
    </comment>
    <comment ref="AT24" authorId="1" shapeId="0" xr:uid="{054E6167-47B1-47C5-B2AE-C8CE7223017B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Geen koelkast dus geen gember/munt</t>
      </text>
    </comment>
    <comment ref="AV26" authorId="2" shapeId="0" xr:uid="{542A0476-F407-4D35-B7BC-BC0B17C6B201}">
      <text>
        <t xml:space="preserve"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Waarschijnlijk afgelopen maand totaalstand ingevoerd ipv stand heet water. Correctie gaat nu 
vanzelf
</t>
      </text>
    </comment>
    <comment ref="AV29" authorId="3" shapeId="0" xr:uid="{8C936228-C2A5-45A1-B5AE-714FA325D62F}">
      <text>
        <t xml:space="preserve"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Waarschijnlijk afgelopen maand totaalstand ingevoerd ipv stand heet water. Correctie gaat nu 
vanzelf
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tc={92A8111A-DC43-43E5-97F0-CFE9FE7D9976}</author>
    <author>tc={133AA56F-B145-4D6B-AA11-0F31BE1D5B25}</author>
    <author>tc={E28CCEBA-480F-4498-AE4F-7B1380C45831}</author>
    <author>tc={E0C1E706-9F95-4839-B536-7D8D5DE73341}</author>
    <author>tc={980599A9-EC06-4A1B-86B7-C0FFF708FD37}</author>
  </authors>
  <commentList>
    <comment ref="AT19" authorId="0" shapeId="0" xr:uid="{92A8111A-DC43-43E5-97F0-CFE9FE7D9976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Staat waterkoker</t>
      </text>
    </comment>
    <comment ref="AX19" authorId="1" shapeId="0" xr:uid="{133AA56F-B145-4D6B-AA11-0F31BE1D5B25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Dubbel gecheckt waarschijnlijk afgelopen maand een typfout gemaakt</t>
      </text>
    </comment>
    <comment ref="AX28" authorId="2" shapeId="0" xr:uid="{E28CCEBA-480F-4498-AE4F-7B1380C45831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Dubbel gecheckt waarschijnlijk afgelopen maand een typfout gemaakt</t>
      </text>
    </comment>
    <comment ref="AV29" authorId="3" shapeId="0" xr:uid="{E0C1E706-9F95-4839-B536-7D8D5DE73341}">
      <text>
        <t xml:space="preserve"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Waarschijnlijk afgelopen maand verkeerd ingevoerd Correctie gaat nu vanzelf
</t>
      </text>
    </comment>
    <comment ref="E41" authorId="4" shapeId="0" xr:uid="{980599A9-EC06-4A1B-86B7-C0FFF708FD37}">
      <text>
        <t xml:space="preserve"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In mrt geen data ingevuld daarom staan de standen op 0 en is er in april een flink verbruik geregistreerd 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tc={7FCDBCEB-ABCD-4A14-A8FD-19764CC4A31A}</author>
  </authors>
  <commentList>
    <comment ref="AT19" authorId="0" shapeId="0" xr:uid="{7FCDBCEB-ABCD-4A14-A8FD-19764CC4A31A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Staat waterkoker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Emma Thomason</author>
  </authors>
  <commentList>
    <comment ref="H53" authorId="0" shapeId="0" xr:uid="{11ECC4B2-0D08-4CF2-99A1-B67DB4CB82E2}">
      <text>
        <r>
          <rPr>
            <sz val="11"/>
            <color theme="1"/>
            <rFont val="Calibri"/>
            <family val="2"/>
            <scheme val="minor"/>
          </rPr>
          <t xml:space="preserve">Emma Thomason:
Espresso + Ristretto 824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Emma Thomason</author>
  </authors>
  <commentList>
    <comment ref="H53" authorId="0" shapeId="0" xr:uid="{7196E957-DC05-4764-B9AD-315036AEC21B}">
      <text>
        <r>
          <rPr>
            <sz val="11"/>
            <color theme="1"/>
            <rFont val="Calibri"/>
            <family val="2"/>
            <scheme val="minor"/>
          </rPr>
          <t xml:space="preserve">Emma Thomason:
Espresso + Ristretto 824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Emma Thomason</author>
  </authors>
  <commentList>
    <comment ref="H53" authorId="0" shapeId="0" xr:uid="{1F544AD7-6EA4-4ABC-AB2F-D3C5FDE81C1A}">
      <text>
        <r>
          <rPr>
            <sz val="11"/>
            <color theme="1"/>
            <rFont val="Calibri"/>
            <family val="2"/>
            <scheme val="minor"/>
          </rPr>
          <t xml:space="preserve">Emma Thomason:
Espresso + Ristretto 824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Emma Thomason</author>
  </authors>
  <commentList>
    <comment ref="H53" authorId="0" shapeId="0" xr:uid="{7BE3DB79-98FF-4D05-9F2D-13210B1A9DE7}">
      <text>
        <r>
          <rPr>
            <sz val="11"/>
            <color theme="1"/>
            <rFont val="Calibri"/>
            <family val="2"/>
            <scheme val="minor"/>
          </rPr>
          <t xml:space="preserve">Emma Thomason:
Espresso + Ristretto 824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Emma Thomason</author>
  </authors>
  <commentList>
    <comment ref="H53" authorId="0" shapeId="0" xr:uid="{B63DC68E-DA2E-40DF-B832-40334CA407DF}">
      <text>
        <r>
          <rPr>
            <sz val="11"/>
            <color theme="1"/>
            <rFont val="Calibri"/>
            <family val="2"/>
            <scheme val="minor"/>
          </rPr>
          <t xml:space="preserve">Emma Thomason:
Espresso + Ristretto 824
</t>
        </r>
      </text>
    </comment>
  </commentList>
</comments>
</file>

<file path=xl/sharedStrings.xml><?xml version="1.0" encoding="utf-8"?>
<sst xmlns="http://schemas.openxmlformats.org/spreadsheetml/2006/main" count="5439" uniqueCount="169">
  <si>
    <t>LOCATIES</t>
  </si>
  <si>
    <t>KOFFIE AUTOMATEN</t>
  </si>
  <si>
    <t>WATERBARS</t>
  </si>
  <si>
    <t>Verdieping</t>
  </si>
  <si>
    <t>Automatennaam</t>
  </si>
  <si>
    <t>Type concept</t>
  </si>
  <si>
    <t>Serienummer</t>
  </si>
  <si>
    <t>Coffee</t>
  </si>
  <si>
    <t>Espresso</t>
  </si>
  <si>
    <t>Latte Macchiato</t>
  </si>
  <si>
    <t>Coffee Latte</t>
  </si>
  <si>
    <t>Hot Water</t>
  </si>
  <si>
    <t>Cappucino</t>
  </si>
  <si>
    <t>Cappucino Plantaardig</t>
  </si>
  <si>
    <t>Latte Macchiato Plantaardig</t>
  </si>
  <si>
    <t>Subtotaal koffieautomaten</t>
  </si>
  <si>
    <t>kamertemp liter</t>
  </si>
  <si>
    <t>aantal consumpties</t>
  </si>
  <si>
    <t>gekoeld liter</t>
  </si>
  <si>
    <t>aantal consumpties2</t>
  </si>
  <si>
    <t>bruisend liter</t>
  </si>
  <si>
    <t>aantal consumpties3</t>
  </si>
  <si>
    <t>licht bruisend liter</t>
  </si>
  <si>
    <t>aantal consumpties4</t>
  </si>
  <si>
    <t>heet water liter</t>
  </si>
  <si>
    <t>aantal consumpties5</t>
  </si>
  <si>
    <t>Subtotaal waterbar</t>
  </si>
  <si>
    <t>Grand totaal</t>
  </si>
  <si>
    <t>CASTALIA A</t>
  </si>
  <si>
    <t>00 BG</t>
  </si>
  <si>
    <t>A00</t>
  </si>
  <si>
    <t>Warme drankenautomaat</t>
  </si>
  <si>
    <t>01</t>
  </si>
  <si>
    <t>A01</t>
  </si>
  <si>
    <t>02</t>
  </si>
  <si>
    <t>A02</t>
  </si>
  <si>
    <t>Basis Fuelstation</t>
  </si>
  <si>
    <t>03</t>
  </si>
  <si>
    <t>A03</t>
  </si>
  <si>
    <t>04</t>
  </si>
  <si>
    <t>A04</t>
  </si>
  <si>
    <t>05</t>
  </si>
  <si>
    <t>A05</t>
  </si>
  <si>
    <t>06</t>
  </si>
  <si>
    <t>A06</t>
  </si>
  <si>
    <t>07</t>
  </si>
  <si>
    <t>A07</t>
  </si>
  <si>
    <t>Luxe Fuelstation</t>
  </si>
  <si>
    <t>08</t>
  </si>
  <si>
    <t>A08</t>
  </si>
  <si>
    <t>09</t>
  </si>
  <si>
    <t>A09</t>
  </si>
  <si>
    <t>10</t>
  </si>
  <si>
    <t>A10</t>
  </si>
  <si>
    <t>11</t>
  </si>
  <si>
    <t>A11</t>
  </si>
  <si>
    <t>12</t>
  </si>
  <si>
    <t>A12</t>
  </si>
  <si>
    <t>13</t>
  </si>
  <si>
    <t>A13</t>
  </si>
  <si>
    <t>14</t>
  </si>
  <si>
    <t>A14</t>
  </si>
  <si>
    <t>15</t>
  </si>
  <si>
    <t>A15</t>
  </si>
  <si>
    <t>16</t>
  </si>
  <si>
    <t>A16</t>
  </si>
  <si>
    <t>17</t>
  </si>
  <si>
    <t>A17</t>
  </si>
  <si>
    <t>18</t>
  </si>
  <si>
    <t>A18</t>
  </si>
  <si>
    <t>19</t>
  </si>
  <si>
    <t>A19</t>
  </si>
  <si>
    <t>20</t>
  </si>
  <si>
    <t>A20</t>
  </si>
  <si>
    <t>HELICON B</t>
  </si>
  <si>
    <t>B01</t>
  </si>
  <si>
    <t>B04 Appollolounge</t>
  </si>
  <si>
    <t>B04 Maximalounge</t>
  </si>
  <si>
    <t>B05</t>
  </si>
  <si>
    <t>B06</t>
  </si>
  <si>
    <t>B07</t>
  </si>
  <si>
    <t>B08</t>
  </si>
  <si>
    <t>B09</t>
  </si>
  <si>
    <t>B10</t>
  </si>
  <si>
    <t>B11</t>
  </si>
  <si>
    <t>B12</t>
  </si>
  <si>
    <t>B13</t>
  </si>
  <si>
    <t>B14</t>
  </si>
  <si>
    <t>HELICON C</t>
  </si>
  <si>
    <t>C04 Restaurant</t>
  </si>
  <si>
    <t>C05</t>
  </si>
  <si>
    <t>C06</t>
  </si>
  <si>
    <t>C07</t>
  </si>
  <si>
    <t>C09</t>
  </si>
  <si>
    <t>C10</t>
  </si>
  <si>
    <t>C11</t>
  </si>
  <si>
    <t>C12</t>
  </si>
  <si>
    <t>C13</t>
  </si>
  <si>
    <t>C14</t>
  </si>
  <si>
    <t>HELICON D</t>
  </si>
  <si>
    <t>D06</t>
  </si>
  <si>
    <t>D07</t>
  </si>
  <si>
    <t>D08</t>
  </si>
  <si>
    <t>D09</t>
  </si>
  <si>
    <t>D10</t>
  </si>
  <si>
    <t>D11</t>
  </si>
  <si>
    <t>D12</t>
  </si>
  <si>
    <t>D13</t>
  </si>
  <si>
    <t>D14</t>
  </si>
  <si>
    <t>TURFMARKT 244</t>
  </si>
  <si>
    <t>Turfmarkt links</t>
  </si>
  <si>
    <t>Turfmarkt rechts</t>
  </si>
  <si>
    <t>TOTAAL</t>
  </si>
  <si>
    <t>Stand Coffee einde maand</t>
  </si>
  <si>
    <t>Coffee vorige maand</t>
  </si>
  <si>
    <t>Verbruik Coffee deze maand</t>
  </si>
  <si>
    <t>Stand Espresso Einde maand</t>
  </si>
  <si>
    <t>Espresso vorige maand</t>
  </si>
  <si>
    <t>Verbruik Espresso deze maand</t>
  </si>
  <si>
    <t>Stand Latte Macchiato einde maand</t>
  </si>
  <si>
    <t>Latte Macchiato vorige maand</t>
  </si>
  <si>
    <t>Verbruik Latte Macchiato deze maand</t>
  </si>
  <si>
    <t>Stand Coffee Latte einde maand</t>
  </si>
  <si>
    <t>Coffee Latte vorige maand</t>
  </si>
  <si>
    <t>Verbruik Coffee Latte deze maand</t>
  </si>
  <si>
    <t>Stand Hot Water einde maand</t>
  </si>
  <si>
    <t>Hot Water vorige maand</t>
  </si>
  <si>
    <t>Verbruik Hot Water deze maand</t>
  </si>
  <si>
    <t>Stand Cappucino einde maand</t>
  </si>
  <si>
    <t>Stand Cappucino vorige maand</t>
  </si>
  <si>
    <t>Verbruik Cappucino deze maand</t>
  </si>
  <si>
    <t>Stand Cappucino Plantaardig einde maand</t>
  </si>
  <si>
    <t>Stand Cappucino Plantaardig vorige maand</t>
  </si>
  <si>
    <t>Verbruik  Cappucino Plantaardig deze maand</t>
  </si>
  <si>
    <t>Stand Latte Macchiato Plantaardig einde maand</t>
  </si>
  <si>
    <t>Stand Latte Macchiato Plantaardig vorige maand</t>
  </si>
  <si>
    <t>Verbruik Stand Latte Macchiato Plantaardig deze maand</t>
  </si>
  <si>
    <t>Stand Kamertemp liter einde maand</t>
  </si>
  <si>
    <t>Stand Kamertemp liter vorige maand</t>
  </si>
  <si>
    <t>Verbruik Kamertemp liter deze maand</t>
  </si>
  <si>
    <t>Aantal consumpties Kamertemp deze maand</t>
  </si>
  <si>
    <t>Stand Gekoeld liter einde maand</t>
  </si>
  <si>
    <t>Stand Gekoeld liter vorige maand</t>
  </si>
  <si>
    <t>Verbruik Gekoeld liter deze maand</t>
  </si>
  <si>
    <t>Aantal consumpties gekoeld water deze maand</t>
  </si>
  <si>
    <t>Stand Bruisend liter einde maand</t>
  </si>
  <si>
    <t>Stand Bruisend liter vorige maand</t>
  </si>
  <si>
    <t>Verbruik Bruisend liter deze maand</t>
  </si>
  <si>
    <t>aantal consumpties Bruisend water deze maand</t>
  </si>
  <si>
    <t>Stand licht bruisend liter einde maand</t>
  </si>
  <si>
    <t>Stand licht bruisend liter vorige maand</t>
  </si>
  <si>
    <t>Verbruik licht bruisend liter deze maand</t>
  </si>
  <si>
    <t>Aantal consumpties licht bruisend water deze maand</t>
  </si>
  <si>
    <t>Stand heet water liter einde maand</t>
  </si>
  <si>
    <t>Stand heet water liter vorige maand</t>
  </si>
  <si>
    <t xml:space="preserve">Verbruik heet Water liter deze maand </t>
  </si>
  <si>
    <t>Aantal consumpties heet water deze maand</t>
  </si>
  <si>
    <t>Subtotaal waterbar in consumpties</t>
  </si>
  <si>
    <t>C08</t>
  </si>
  <si>
    <t>,</t>
  </si>
  <si>
    <t>De Britakraan op C-04 is afgekoppeld vanwege verbouwing in het restaurant</t>
  </si>
  <si>
    <t>PP5</t>
  </si>
  <si>
    <t>TM244</t>
  </si>
  <si>
    <t>B04 Apollolounge</t>
  </si>
  <si>
    <t>A15 printplaat vervangen stand op 0</t>
  </si>
  <si>
    <t>D09 printplaat vervangen stand op 0</t>
  </si>
  <si>
    <t>Stand gereset</t>
  </si>
  <si>
    <t>Tellerstand niet geregistreerd</t>
  </si>
  <si>
    <t>PARNASSUSPLEIN 5 (RESIDENT)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</si>
</sst>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[$€-413]\ * #,##0.00_ ;_ [$€-413]\ * \-#,##0.00_ ;_ [$€-413]\ * &quot;-&quot;??_ ;_ @_ "/>
    <numFmt numFmtId="165" formatCode="_ * #,##0_ ;_ * \-#,##0_ ;_ * &quot;-&quot;??_ ;_ @_ "/>
    <numFmt numFmtId="166" formatCode="0.000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theme="4" tint="0.79998168889431442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178">
    <xf numFmtId="0" fontId="0" fillId="0" borderId="0" xfId="0"/>
    <xf numFmtId="0" fontId="0" fillId="0" borderId="0" xfId="0" applyAlignment="1">
      <alignment wrapText="1"/>
    </xf>
    <xf numFmtId="1" fontId="0" fillId="0" borderId="0" xfId="0" applyNumberFormat="1"/>
    <xf numFmtId="0" fontId="2" fillId="0" borderId="0" xfId="0" applyFont="1"/>
    <xf numFmtId="1" fontId="2" fillId="0" borderId="0" xfId="0" applyNumberFormat="1" applyFont="1"/>
    <xf numFmtId="0" fontId="0" fillId="3" borderId="0" xfId="0" applyFill="1"/>
    <xf numFmtId="0" fontId="2" fillId="3" borderId="0" xfId="0" applyFont="1" applyFill="1"/>
    <xf numFmtId="1" fontId="0" fillId="3" borderId="0" xfId="0" applyNumberFormat="1" applyFill="1"/>
    <xf numFmtId="1" fontId="2" fillId="3" borderId="0" xfId="0" applyNumberFormat="1" applyFont="1" applyFill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1" xfId="0" applyBorder="1"/>
    <xf numFmtId="0" fontId="0" fillId="0" borderId="2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3" borderId="2" xfId="0" applyFill="1" applyBorder="1"/>
    <xf numFmtId="0" fontId="2" fillId="0" borderId="2" xfId="0" applyFont="1" applyBorder="1"/>
    <xf numFmtId="0" fontId="0" fillId="0" borderId="4" xfId="0" applyBorder="1"/>
    <xf numFmtId="0" fontId="0" fillId="0" borderId="5" xfId="0" applyBorder="1"/>
    <xf numFmtId="1" fontId="0" fillId="0" borderId="2" xfId="0" applyNumberFormat="1" applyBorder="1"/>
    <xf numFmtId="1" fontId="0" fillId="3" borderId="2" xfId="0" applyNumberFormat="1" applyFill="1" applyBorder="1"/>
    <xf numFmtId="1" fontId="2" fillId="0" borderId="2" xfId="0" applyNumberFormat="1" applyFont="1" applyBorder="1"/>
    <xf numFmtId="1" fontId="2" fillId="0" borderId="1" xfId="0" applyNumberFormat="1" applyFont="1" applyBorder="1"/>
    <xf numFmtId="0" fontId="2" fillId="0" borderId="1" xfId="0" applyFont="1" applyBorder="1"/>
    <xf numFmtId="0" fontId="0" fillId="0" borderId="1" xfId="0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4" borderId="0" xfId="0" applyFill="1"/>
    <xf numFmtId="0" fontId="0" fillId="4" borderId="1" xfId="0" applyFill="1" applyBorder="1" applyProtection="1">
      <protection locked="0"/>
    </xf>
    <xf numFmtId="0" fontId="0" fillId="4" borderId="2" xfId="0" applyFill="1" applyBorder="1"/>
    <xf numFmtId="0" fontId="2" fillId="4" borderId="0" xfId="0" applyFont="1" applyFill="1"/>
    <xf numFmtId="0" fontId="0" fillId="5" borderId="1" xfId="0" applyFill="1" applyBorder="1" applyProtection="1">
      <protection locked="0"/>
    </xf>
    <xf numFmtId="0" fontId="0" fillId="5" borderId="0" xfId="0" applyFill="1"/>
    <xf numFmtId="0" fontId="0" fillId="5" borderId="2" xfId="0" applyFill="1" applyBorder="1"/>
    <xf numFmtId="0" fontId="2" fillId="5" borderId="0" xfId="0" applyFont="1" applyFill="1"/>
    <xf numFmtId="0" fontId="0" fillId="6" borderId="1" xfId="0" applyFill="1" applyBorder="1" applyProtection="1">
      <protection locked="0"/>
    </xf>
    <xf numFmtId="0" fontId="0" fillId="6" borderId="0" xfId="0" applyFill="1"/>
    <xf numFmtId="0" fontId="0" fillId="6" borderId="2" xfId="0" applyFill="1" applyBorder="1"/>
    <xf numFmtId="0" fontId="2" fillId="6" borderId="0" xfId="0" applyFont="1" applyFill="1"/>
    <xf numFmtId="0" fontId="0" fillId="0" borderId="0" xfId="0" applyProtection="1">
      <protection locked="0"/>
    </xf>
    <xf numFmtId="0" fontId="0" fillId="3" borderId="0" xfId="0" applyFill="1" applyProtection="1">
      <protection locked="0"/>
    </xf>
    <xf numFmtId="0" fontId="0" fillId="7" borderId="1" xfId="0" applyFill="1" applyBorder="1"/>
    <xf numFmtId="0" fontId="0" fillId="7" borderId="1" xfId="0" applyFill="1" applyBorder="1" applyProtection="1">
      <protection locked="0"/>
    </xf>
    <xf numFmtId="9" fontId="0" fillId="0" borderId="0" xfId="0" applyNumberFormat="1"/>
    <xf numFmtId="1" fontId="2" fillId="8" borderId="0" xfId="0" applyNumberFormat="1" applyFont="1" applyFill="1"/>
    <xf numFmtId="0" fontId="0" fillId="7" borderId="0" xfId="0" applyFill="1"/>
    <xf numFmtId="0" fontId="0" fillId="7" borderId="0" xfId="0" applyFill="1" applyProtection="1">
      <protection locked="0"/>
    </xf>
    <xf numFmtId="164" fontId="0" fillId="0" borderId="0" xfId="0" applyNumberFormat="1"/>
    <xf numFmtId="0" fontId="0" fillId="10" borderId="0" xfId="0" applyFill="1"/>
    <xf numFmtId="0" fontId="0" fillId="9" borderId="0" xfId="0" applyFill="1"/>
    <xf numFmtId="0" fontId="0" fillId="0" borderId="11" xfId="0" applyBorder="1" applyProtection="1">
      <protection locked="0"/>
    </xf>
    <xf numFmtId="0" fontId="0" fillId="0" borderId="12" xfId="0" applyBorder="1"/>
    <xf numFmtId="0" fontId="0" fillId="0" borderId="11" xfId="0" applyBorder="1"/>
    <xf numFmtId="0" fontId="0" fillId="7" borderId="11" xfId="0" applyFill="1" applyBorder="1"/>
    <xf numFmtId="0" fontId="2" fillId="0" borderId="11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1" fillId="2" borderId="9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8" xfId="0" applyBorder="1"/>
    <xf numFmtId="0" fontId="2" fillId="0" borderId="18" xfId="0" applyFont="1" applyBorder="1"/>
    <xf numFmtId="0" fontId="0" fillId="0" borderId="18" xfId="0" applyBorder="1" applyAlignment="1">
      <alignment horizontal="left"/>
    </xf>
    <xf numFmtId="0" fontId="0" fillId="0" borderId="19" xfId="0" applyBorder="1"/>
    <xf numFmtId="0" fontId="0" fillId="3" borderId="11" xfId="0" applyFill="1" applyBorder="1" applyProtection="1">
      <protection locked="0"/>
    </xf>
    <xf numFmtId="0" fontId="0" fillId="0" borderId="20" xfId="0" applyBorder="1" applyAlignment="1">
      <alignment wrapText="1"/>
    </xf>
    <xf numFmtId="0" fontId="2" fillId="0" borderId="20" xfId="0" applyFont="1" applyBorder="1"/>
    <xf numFmtId="0" fontId="0" fillId="7" borderId="20" xfId="0" applyFill="1" applyBorder="1" applyProtection="1">
      <protection locked="0"/>
    </xf>
    <xf numFmtId="0" fontId="2" fillId="0" borderId="20" xfId="0" applyFont="1" applyBorder="1" applyProtection="1">
      <protection locked="0"/>
    </xf>
    <xf numFmtId="0" fontId="0" fillId="0" borderId="20" xfId="0" applyBorder="1"/>
    <xf numFmtId="0" fontId="0" fillId="3" borderId="11" xfId="0" applyFill="1" applyBorder="1"/>
    <xf numFmtId="1" fontId="2" fillId="0" borderId="11" xfId="0" applyNumberFormat="1" applyFont="1" applyBorder="1"/>
    <xf numFmtId="1" fontId="2" fillId="0" borderId="20" xfId="0" applyNumberFormat="1" applyFont="1" applyBorder="1"/>
    <xf numFmtId="1" fontId="2" fillId="3" borderId="20" xfId="0" applyNumberFormat="1" applyFont="1" applyFill="1" applyBorder="1"/>
    <xf numFmtId="0" fontId="0" fillId="3" borderId="20" xfId="0" applyFill="1" applyBorder="1"/>
    <xf numFmtId="0" fontId="2" fillId="0" borderId="10" xfId="0" applyFont="1" applyBorder="1"/>
    <xf numFmtId="0" fontId="0" fillId="0" borderId="16" xfId="0" applyBorder="1"/>
    <xf numFmtId="0" fontId="0" fillId="0" borderId="17" xfId="0" applyBorder="1"/>
    <xf numFmtId="0" fontId="0" fillId="0" borderId="16" xfId="0" applyBorder="1" applyProtection="1">
      <protection locked="0"/>
    </xf>
    <xf numFmtId="0" fontId="0" fillId="0" borderId="9" xfId="0" applyBorder="1" applyProtection="1">
      <protection locked="0"/>
    </xf>
    <xf numFmtId="0" fontId="2" fillId="0" borderId="21" xfId="0" applyFont="1" applyBorder="1"/>
    <xf numFmtId="0" fontId="0" fillId="0" borderId="9" xfId="0" applyBorder="1"/>
    <xf numFmtId="1" fontId="0" fillId="0" borderId="16" xfId="0" applyNumberFormat="1" applyBorder="1"/>
    <xf numFmtId="1" fontId="2" fillId="0" borderId="21" xfId="0" applyNumberFormat="1" applyFont="1" applyBorder="1"/>
    <xf numFmtId="0" fontId="2" fillId="0" borderId="9" xfId="0" applyFont="1" applyBorder="1"/>
    <xf numFmtId="0" fontId="0" fillId="0" borderId="22" xfId="0" applyBorder="1"/>
    <xf numFmtId="0" fontId="0" fillId="0" borderId="23" xfId="0" applyBorder="1"/>
    <xf numFmtId="0" fontId="2" fillId="0" borderId="22" xfId="0" applyFont="1" applyBorder="1"/>
    <xf numFmtId="0" fontId="0" fillId="0" borderId="24" xfId="0" applyBorder="1"/>
    <xf numFmtId="1" fontId="2" fillId="0" borderId="25" xfId="0" applyNumberFormat="1" applyFont="1" applyBorder="1"/>
    <xf numFmtId="1" fontId="2" fillId="0" borderId="24" xfId="0" applyNumberFormat="1" applyFont="1" applyBorder="1"/>
    <xf numFmtId="0" fontId="2" fillId="0" borderId="26" xfId="0" applyFont="1" applyBorder="1"/>
    <xf numFmtId="0" fontId="0" fillId="11" borderId="11" xfId="0" applyFill="1" applyBorder="1"/>
    <xf numFmtId="0" fontId="0" fillId="3" borderId="12" xfId="0" applyFill="1" applyBorder="1" applyProtection="1">
      <protection locked="0"/>
    </xf>
    <xf numFmtId="1" fontId="0" fillId="0" borderId="12" xfId="0" applyNumberFormat="1" applyBorder="1"/>
    <xf numFmtId="0" fontId="0" fillId="3" borderId="12" xfId="0" applyFill="1" applyBorder="1"/>
    <xf numFmtId="0" fontId="0" fillId="12" borderId="0" xfId="0" applyFill="1"/>
    <xf numFmtId="0" fontId="0" fillId="11" borderId="0" xfId="0" applyFill="1"/>
    <xf numFmtId="0" fontId="0" fillId="12" borderId="16" xfId="0" applyFill="1" applyBorder="1"/>
    <xf numFmtId="0" fontId="2" fillId="0" borderId="16" xfId="0" applyFont="1" applyBorder="1"/>
    <xf numFmtId="1" fontId="2" fillId="0" borderId="16" xfId="0" applyNumberFormat="1" applyFont="1" applyBorder="1"/>
    <xf numFmtId="0" fontId="0" fillId="0" borderId="27" xfId="0" applyBorder="1" applyAlignment="1">
      <alignment wrapText="1"/>
    </xf>
    <xf numFmtId="0" fontId="0" fillId="0" borderId="28" xfId="0" applyBorder="1" applyAlignment="1">
      <alignment wrapText="1"/>
    </xf>
    <xf numFmtId="0" fontId="0" fillId="0" borderId="29" xfId="0" applyBorder="1" applyAlignment="1">
      <alignment wrapText="1"/>
    </xf>
    <xf numFmtId="0" fontId="0" fillId="7" borderId="12" xfId="0" applyFill="1" applyBorder="1" applyProtection="1">
      <protection locked="0"/>
    </xf>
    <xf numFmtId="0" fontId="0" fillId="0" borderId="12" xfId="0" applyBorder="1" applyProtection="1">
      <protection locked="0"/>
    </xf>
    <xf numFmtId="0" fontId="2" fillId="0" borderId="0" xfId="0" applyFont="1" applyProtection="1">
      <protection locked="0"/>
    </xf>
    <xf numFmtId="0" fontId="2" fillId="0" borderId="17" xfId="0" applyFont="1" applyBorder="1"/>
    <xf numFmtId="1" fontId="2" fillId="0" borderId="9" xfId="0" applyNumberFormat="1" applyFont="1" applyBorder="1"/>
    <xf numFmtId="0" fontId="0" fillId="13" borderId="11" xfId="0" applyFill="1" applyBorder="1"/>
    <xf numFmtId="0" fontId="0" fillId="13" borderId="0" xfId="0" applyFill="1"/>
    <xf numFmtId="1" fontId="0" fillId="13" borderId="12" xfId="0" applyNumberFormat="1" applyFill="1" applyBorder="1"/>
    <xf numFmtId="1" fontId="0" fillId="13" borderId="0" xfId="0" applyNumberFormat="1" applyFill="1"/>
    <xf numFmtId="1" fontId="2" fillId="13" borderId="20" xfId="0" applyNumberFormat="1" applyFont="1" applyFill="1" applyBorder="1"/>
    <xf numFmtId="1" fontId="2" fillId="0" borderId="17" xfId="0" applyNumberFormat="1" applyFont="1" applyBorder="1"/>
    <xf numFmtId="0" fontId="0" fillId="10" borderId="11" xfId="0" applyFill="1" applyBorder="1"/>
    <xf numFmtId="1" fontId="0" fillId="10" borderId="0" xfId="0" applyNumberFormat="1" applyFill="1"/>
    <xf numFmtId="1" fontId="2" fillId="10" borderId="20" xfId="0" applyNumberFormat="1" applyFont="1" applyFill="1" applyBorder="1"/>
    <xf numFmtId="0" fontId="0" fillId="10" borderId="11" xfId="0" applyFill="1" applyBorder="1" applyProtection="1">
      <protection locked="0"/>
    </xf>
    <xf numFmtId="0" fontId="4" fillId="0" borderId="11" xfId="0" applyFont="1" applyBorder="1"/>
    <xf numFmtId="0" fontId="4" fillId="10" borderId="11" xfId="0" applyFont="1" applyFill="1" applyBorder="1"/>
    <xf numFmtId="0" fontId="4" fillId="10" borderId="0" xfId="0" applyFont="1" applyFill="1"/>
    <xf numFmtId="1" fontId="4" fillId="10" borderId="0" xfId="0" applyNumberFormat="1" applyFont="1" applyFill="1"/>
    <xf numFmtId="1" fontId="5" fillId="10" borderId="20" xfId="0" applyNumberFormat="1" applyFont="1" applyFill="1" applyBorder="1"/>
    <xf numFmtId="0" fontId="6" fillId="0" borderId="11" xfId="0" applyFont="1" applyBorder="1"/>
    <xf numFmtId="0" fontId="0" fillId="9" borderId="11" xfId="0" applyFill="1" applyBorder="1"/>
    <xf numFmtId="1" fontId="0" fillId="9" borderId="0" xfId="0" applyNumberFormat="1" applyFill="1"/>
    <xf numFmtId="1" fontId="2" fillId="9" borderId="20" xfId="0" applyNumberFormat="1" applyFont="1" applyFill="1" applyBorder="1"/>
    <xf numFmtId="1" fontId="2" fillId="9" borderId="24" xfId="0" applyNumberFormat="1" applyFont="1" applyFill="1" applyBorder="1"/>
    <xf numFmtId="1" fontId="0" fillId="11" borderId="0" xfId="0" applyNumberFormat="1" applyFill="1"/>
    <xf numFmtId="0" fontId="2" fillId="0" borderId="24" xfId="0" applyFont="1" applyBorder="1"/>
    <xf numFmtId="1" fontId="2" fillId="0" borderId="18" xfId="0" applyNumberFormat="1" applyFont="1" applyBorder="1"/>
    <xf numFmtId="0" fontId="0" fillId="14" borderId="11" xfId="0" applyFill="1" applyBorder="1"/>
    <xf numFmtId="0" fontId="0" fillId="14" borderId="0" xfId="0" applyFill="1"/>
    <xf numFmtId="1" fontId="0" fillId="14" borderId="0" xfId="0" applyNumberFormat="1" applyFill="1"/>
    <xf numFmtId="1" fontId="2" fillId="14" borderId="20" xfId="0" applyNumberFormat="1" applyFont="1" applyFill="1" applyBorder="1"/>
    <xf numFmtId="165" fontId="2" fillId="0" borderId="0" xfId="1" applyNumberFormat="1" applyFont="1"/>
    <xf numFmtId="166" fontId="2" fillId="0" borderId="0" xfId="0" applyNumberFormat="1" applyFont="1"/>
    <xf numFmtId="44" fontId="2" fillId="0" borderId="0" xfId="2" applyFont="1" applyBorder="1"/>
    <xf numFmtId="44" fontId="0" fillId="0" borderId="0" xfId="0" applyNumberFormat="1"/>
    <xf numFmtId="0" fontId="0" fillId="0" borderId="0" xfId="0" applyFill="1"/>
    <xf numFmtId="0" fontId="0" fillId="0" borderId="0" xfId="0" applyBorder="1"/>
    <xf numFmtId="0" fontId="0" fillId="15" borderId="0" xfId="0" applyFill="1" applyBorder="1"/>
    <xf numFmtId="1" fontId="0" fillId="15" borderId="0" xfId="0" applyNumberFormat="1" applyFill="1" applyBorder="1"/>
    <xf numFmtId="0" fontId="0" fillId="15" borderId="0" xfId="0" applyFill="1" applyBorder="1" applyProtection="1">
      <protection locked="0"/>
    </xf>
    <xf numFmtId="0" fontId="2" fillId="15" borderId="9" xfId="0" applyFont="1" applyFill="1" applyBorder="1"/>
    <xf numFmtId="0" fontId="0" fillId="15" borderId="16" xfId="0" applyFill="1" applyBorder="1"/>
    <xf numFmtId="0" fontId="0" fillId="16" borderId="16" xfId="0" applyFill="1" applyBorder="1"/>
    <xf numFmtId="0" fontId="2" fillId="15" borderId="16" xfId="0" applyFont="1" applyFill="1" applyBorder="1"/>
    <xf numFmtId="0" fontId="0" fillId="15" borderId="16" xfId="0" applyFill="1" applyBorder="1" applyProtection="1">
      <protection locked="0"/>
    </xf>
    <xf numFmtId="1" fontId="0" fillId="15" borderId="16" xfId="0" applyNumberFormat="1" applyFill="1" applyBorder="1"/>
    <xf numFmtId="1" fontId="2" fillId="15" borderId="16" xfId="0" applyNumberFormat="1" applyFont="1" applyFill="1" applyBorder="1"/>
    <xf numFmtId="1" fontId="2" fillId="15" borderId="17" xfId="0" applyNumberFormat="1" applyFont="1" applyFill="1" applyBorder="1"/>
    <xf numFmtId="0" fontId="2" fillId="15" borderId="18" xfId="0" applyFont="1" applyFill="1" applyBorder="1"/>
    <xf numFmtId="0" fontId="0" fillId="15" borderId="12" xfId="0" applyFill="1" applyBorder="1"/>
    <xf numFmtId="0" fontId="0" fillId="15" borderId="11" xfId="0" applyFill="1" applyBorder="1" applyProtection="1">
      <protection locked="0"/>
    </xf>
    <xf numFmtId="0" fontId="2" fillId="15" borderId="20" xfId="0" applyFont="1" applyFill="1" applyBorder="1"/>
    <xf numFmtId="0" fontId="0" fillId="15" borderId="11" xfId="0" applyFill="1" applyBorder="1"/>
    <xf numFmtId="1" fontId="2" fillId="15" borderId="20" xfId="0" applyNumberFormat="1" applyFont="1" applyFill="1" applyBorder="1"/>
    <xf numFmtId="1" fontId="2" fillId="15" borderId="24" xfId="0" applyNumberFormat="1" applyFont="1" applyFill="1" applyBorder="1"/>
    <xf numFmtId="0" fontId="2" fillId="15" borderId="10" xfId="0" applyFont="1" applyFill="1" applyBorder="1"/>
    <xf numFmtId="0" fontId="0" fillId="15" borderId="17" xfId="0" applyFill="1" applyBorder="1"/>
    <xf numFmtId="0" fontId="0" fillId="15" borderId="9" xfId="0" applyFill="1" applyBorder="1"/>
    <xf numFmtId="0" fontId="2" fillId="15" borderId="21" xfId="0" applyFont="1" applyFill="1" applyBorder="1"/>
    <xf numFmtId="0" fontId="0" fillId="15" borderId="9" xfId="0" applyFill="1" applyBorder="1" applyProtection="1">
      <protection locked="0"/>
    </xf>
    <xf numFmtId="1" fontId="2" fillId="15" borderId="21" xfId="0" applyNumberFormat="1" applyFont="1" applyFill="1" applyBorder="1"/>
    <xf numFmtId="1" fontId="2" fillId="15" borderId="25" xfId="0" applyNumberFormat="1" applyFont="1" applyFill="1" applyBorder="1"/>
    <xf numFmtId="0" fontId="1" fillId="2" borderId="0" xfId="0" applyFont="1" applyFill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</cellXfs>
  <cellStyles count="3">
    <cellStyle name="Komma" xfId="1" builtinId="3"/>
    <cellStyle name="Standaard" xfId="0" builtinId="0"/>
    <cellStyle name="Valuta" xfId="2" builtinId="4"/>
  </cellStyles>
  <dxfs count="1062">
    <dxf>
      <font>
        <b/>
      </font>
      <numFmt numFmtId="1" formatCode="0"/>
      <border>
        <left style="medium">
          <color rgb="FF000000"/>
        </left>
        <right style="thin">
          <color rgb="FF000000"/>
        </right>
      </border>
      <protection locked="1" hidden="0"/>
    </dxf>
    <dxf>
      <font>
        <b/>
      </font>
      <numFmt numFmtId="1" formatCode="0"/>
      <border>
        <left style="medium">
          <color rgb="FF000000"/>
        </left>
        <right style="medium">
          <color rgb="FF000000"/>
        </right>
      </border>
      <protection locked="1" hidden="0"/>
    </dxf>
    <dxf>
      <numFmt numFmtId="1" formatCode="0"/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border>
        <left style="medium">
          <color rgb="FF000000"/>
        </left>
        <right style="medium">
          <color rgb="FF000000"/>
        </righ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border>
        <left style="thin">
          <color rgb="FF000000"/>
        </left>
        <right style="thin">
          <color rgb="FF000000"/>
        </right>
      </border>
    </dxf>
    <dxf>
      <alignment horizontal="general" vertical="bottom" textRotation="0" wrapText="1" indent="0" justifyLastLine="0" shrinkToFit="0" readingOrder="0"/>
    </dxf>
    <dxf>
      <font>
        <b/>
      </font>
      <numFmt numFmtId="1" formatCode="0"/>
      <border>
        <left style="medium">
          <color rgb="FF000000"/>
        </left>
        <right style="thin">
          <color rgb="FF000000"/>
        </right>
      </border>
      <protection locked="1" hidden="0"/>
    </dxf>
    <dxf>
      <font>
        <b/>
      </font>
      <numFmt numFmtId="1" formatCode="0"/>
      <border>
        <left style="medium">
          <color rgb="FF000000"/>
        </left>
        <right style="medium">
          <color rgb="FF000000"/>
        </right>
      </border>
      <protection locked="1" hidden="0"/>
    </dxf>
    <dxf>
      <numFmt numFmtId="1" formatCode="0"/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border>
        <left style="medium">
          <color rgb="FF000000"/>
        </left>
        <right style="medium">
          <color rgb="FF000000"/>
        </righ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border>
        <left style="thin">
          <color rgb="FF000000"/>
        </left>
        <right style="thin">
          <color rgb="FF000000"/>
        </right>
      </border>
    </dxf>
    <dxf>
      <alignment horizontal="general" vertical="bottom" textRotation="0" wrapText="1" indent="0" justifyLastLine="0" shrinkToFit="0" readingOrder="0"/>
    </dxf>
    <dxf>
      <font>
        <b/>
      </font>
      <numFmt numFmtId="1" formatCode="0"/>
      <border>
        <left style="medium">
          <color rgb="FF000000"/>
        </left>
        <right style="thin">
          <color rgb="FF000000"/>
        </right>
      </border>
      <protection locked="1" hidden="0"/>
    </dxf>
    <dxf>
      <font>
        <b/>
      </font>
      <numFmt numFmtId="1" formatCode="0"/>
      <border>
        <left style="medium">
          <color rgb="FF000000"/>
        </left>
        <right style="medium">
          <color rgb="FF000000"/>
        </right>
      </border>
      <protection locked="1" hidden="0"/>
    </dxf>
    <dxf>
      <numFmt numFmtId="1" formatCode="0"/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border>
        <left style="medium">
          <color rgb="FF000000"/>
        </left>
        <right style="medium">
          <color rgb="FF000000"/>
        </righ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border>
        <left style="thin">
          <color rgb="FF000000"/>
        </left>
        <right style="thin">
          <color rgb="FF000000"/>
        </right>
      </border>
    </dxf>
    <dxf>
      <alignment horizontal="general" vertical="bottom" textRotation="0" wrapText="1" indent="0" justifyLastLine="0" shrinkToFit="0" readingOrder="0"/>
    </dxf>
    <dxf>
      <font>
        <b/>
      </font>
      <numFmt numFmtId="1" formatCode="0"/>
      <border>
        <left style="medium">
          <color rgb="FF000000"/>
        </left>
        <right style="thin">
          <color rgb="FF000000"/>
        </right>
      </border>
      <protection locked="1" hidden="0"/>
    </dxf>
    <dxf>
      <font>
        <b/>
      </font>
      <numFmt numFmtId="1" formatCode="0"/>
      <border>
        <left style="medium">
          <color rgb="FF000000"/>
        </left>
        <right style="medium">
          <color rgb="FF000000"/>
        </right>
      </border>
      <protection locked="1" hidden="0"/>
    </dxf>
    <dxf>
      <numFmt numFmtId="1" formatCode="0"/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border>
        <left style="medium">
          <color rgb="FF000000"/>
        </left>
        <right style="medium">
          <color rgb="FF000000"/>
        </righ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border>
        <left style="thin">
          <color rgb="FF000000"/>
        </left>
        <right style="thin">
          <color rgb="FF000000"/>
        </right>
      </border>
    </dxf>
    <dxf>
      <alignment horizontal="general" vertical="bottom" textRotation="0" wrapText="1" indent="0" justifyLastLine="0" shrinkToFit="0" readingOrder="0"/>
    </dxf>
    <dxf>
      <font>
        <b/>
      </font>
      <numFmt numFmtId="1" formatCode="0"/>
      <border>
        <left style="medium">
          <color rgb="FF000000"/>
        </left>
        <right style="thin">
          <color rgb="FF000000"/>
        </right>
      </border>
      <protection locked="1" hidden="0"/>
    </dxf>
    <dxf>
      <font>
        <b/>
      </font>
      <numFmt numFmtId="1" formatCode="0"/>
      <border>
        <left style="medium">
          <color rgb="FF000000"/>
        </left>
        <right style="medium">
          <color rgb="FF000000"/>
        </right>
      </border>
      <protection locked="1" hidden="0"/>
    </dxf>
    <dxf>
      <numFmt numFmtId="1" formatCode="0"/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border>
        <left style="medium">
          <color rgb="FF000000"/>
        </left>
        <right style="medium">
          <color rgb="FF000000"/>
        </righ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border>
        <left style="thin">
          <color rgb="FF000000"/>
        </left>
        <right style="thin">
          <color rgb="FF000000"/>
        </right>
      </border>
    </dxf>
    <dxf>
      <alignment horizontal="general" vertical="bottom" textRotation="0" wrapText="1" indent="0" justifyLastLine="0" shrinkToFit="0" readingOrder="0"/>
    </dxf>
    <dxf>
      <font>
        <b/>
      </font>
      <numFmt numFmtId="1" formatCode="0"/>
      <border>
        <left style="medium">
          <color rgb="FF000000"/>
        </left>
        <right style="thin">
          <color rgb="FF000000"/>
        </right>
      </border>
      <protection locked="1" hidden="0"/>
    </dxf>
    <dxf>
      <font>
        <b/>
      </font>
      <numFmt numFmtId="1" formatCode="0"/>
      <border>
        <left style="medium">
          <color rgb="FF000000"/>
        </left>
        <right style="medium">
          <color rgb="FF000000"/>
        </right>
      </border>
      <protection locked="1" hidden="0"/>
    </dxf>
    <dxf>
      <numFmt numFmtId="1" formatCode="0"/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border>
        <left style="medium">
          <color rgb="FF000000"/>
        </left>
        <right style="medium">
          <color rgb="FF000000"/>
        </righ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border>
        <left style="thin">
          <color rgb="FF000000"/>
        </left>
        <right style="thin">
          <color rgb="FF000000"/>
        </right>
      </border>
    </dxf>
    <dxf>
      <alignment horizontal="general" vertical="bottom" textRotation="0" wrapText="1" indent="0" justifyLastLine="0" shrinkToFit="0" readingOrder="0"/>
    </dxf>
    <dxf>
      <font>
        <b/>
      </font>
      <numFmt numFmtId="1" formatCode="0"/>
      <border>
        <left style="medium">
          <color rgb="FF000000"/>
        </left>
        <right style="thin">
          <color rgb="FF000000"/>
        </right>
      </border>
      <protection locked="1" hidden="0"/>
    </dxf>
    <dxf>
      <font>
        <b/>
      </font>
      <numFmt numFmtId="1" formatCode="0"/>
      <border>
        <left style="medium">
          <color rgb="FF000000"/>
        </left>
        <right style="medium">
          <color rgb="FF000000"/>
        </right>
      </border>
      <protection locked="1" hidden="0"/>
    </dxf>
    <dxf>
      <numFmt numFmtId="1" formatCode="0"/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border>
        <left style="medium">
          <color rgb="FF000000"/>
        </left>
        <right style="medium">
          <color rgb="FF000000"/>
        </righ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border>
        <left style="thin">
          <color rgb="FF000000"/>
        </left>
        <right style="thin">
          <color rgb="FF000000"/>
        </right>
      </border>
    </dxf>
    <dxf>
      <alignment horizontal="general" vertical="bottom" textRotation="0" wrapText="1" indent="0" justifyLastLine="0" shrinkToFit="0" readingOrder="0"/>
    </dxf>
    <dxf>
      <font>
        <b/>
      </font>
      <numFmt numFmtId="1" formatCode="0"/>
      <border>
        <left style="medium">
          <color rgb="FF000000"/>
        </left>
        <right style="thin">
          <color rgb="FF000000"/>
        </right>
      </border>
      <protection locked="1" hidden="0"/>
    </dxf>
    <dxf>
      <font>
        <b/>
      </font>
      <numFmt numFmtId="1" formatCode="0"/>
      <border>
        <left style="medium">
          <color rgb="FF000000"/>
        </left>
        <right style="medium">
          <color rgb="FF000000"/>
        </right>
      </border>
      <protection locked="1" hidden="0"/>
    </dxf>
    <dxf>
      <numFmt numFmtId="1" formatCode="0"/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border>
        <left style="medium">
          <color rgb="FF000000"/>
        </left>
        <right style="medium">
          <color rgb="FF000000"/>
        </righ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border>
        <left style="thin">
          <color rgb="FF000000"/>
        </left>
        <right style="thin">
          <color rgb="FF000000"/>
        </right>
      </border>
    </dxf>
    <dxf>
      <alignment horizontal="general" vertical="bottom" textRotation="0" wrapText="1" indent="0" justifyLastLine="0" shrinkToFit="0" readingOrder="0"/>
    </dxf>
    <dxf>
      <font>
        <b/>
      </font>
      <numFmt numFmtId="1" formatCode="0"/>
      <border>
        <left style="medium">
          <color rgb="FF000000"/>
        </left>
        <right style="thin">
          <color rgb="FF000000"/>
        </right>
      </border>
      <protection locked="1" hidden="0"/>
    </dxf>
    <dxf>
      <font>
        <b/>
      </font>
      <numFmt numFmtId="1" formatCode="0"/>
      <border>
        <left style="medium">
          <color rgb="FF000000"/>
        </left>
        <right style="medium">
          <color rgb="FF000000"/>
        </right>
      </border>
      <protection locked="1" hidden="0"/>
    </dxf>
    <dxf>
      <numFmt numFmtId="1" formatCode="0"/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border>
        <left style="medium">
          <color rgb="FF000000"/>
        </left>
        <right style="medium">
          <color rgb="FF000000"/>
        </righ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border>
        <left style="thin">
          <color rgb="FF000000"/>
        </left>
        <right style="thin">
          <color rgb="FF000000"/>
        </right>
      </border>
    </dxf>
    <dxf>
      <alignment horizontal="general" vertical="bottom" textRotation="0" wrapText="1" indent="0" justifyLastLine="0" shrinkToFit="0" readingOrder="0"/>
    </dxf>
    <dxf>
      <font>
        <b/>
      </font>
      <numFmt numFmtId="1" formatCode="0"/>
      <border>
        <left style="medium">
          <color rgb="FF000000"/>
        </left>
        <right style="thin">
          <color rgb="FF000000"/>
        </right>
      </border>
      <protection locked="1" hidden="0"/>
    </dxf>
    <dxf>
      <font>
        <b/>
      </font>
      <numFmt numFmtId="1" formatCode="0"/>
      <border>
        <left style="medium">
          <color rgb="FF000000"/>
        </left>
        <right style="medium">
          <color rgb="FF000000"/>
        </right>
      </border>
      <protection locked="1" hidden="0"/>
    </dxf>
    <dxf>
      <numFmt numFmtId="1" formatCode="0"/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border>
        <left style="medium">
          <color rgb="FF000000"/>
        </left>
        <right style="medium">
          <color rgb="FF000000"/>
        </righ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border>
        <left style="thin">
          <color rgb="FF000000"/>
        </left>
        <right style="thin">
          <color rgb="FF000000"/>
        </right>
      </border>
    </dxf>
    <dxf>
      <alignment horizontal="general" vertical="bottom" textRotation="0" wrapText="1" indent="0" justifyLastLine="0" shrinkToFit="0" readingOrder="0"/>
    </dxf>
    <dxf>
      <font>
        <b/>
      </font>
      <numFmt numFmtId="1" formatCode="0"/>
      <border>
        <left style="medium">
          <color rgb="FF000000"/>
        </left>
        <right style="thin">
          <color rgb="FF000000"/>
        </right>
      </border>
      <protection locked="1" hidden="0"/>
    </dxf>
    <dxf>
      <font>
        <b/>
      </font>
      <numFmt numFmtId="1" formatCode="0"/>
      <border>
        <left style="medium">
          <color rgb="FF000000"/>
        </left>
        <right style="medium">
          <color rgb="FF000000"/>
        </right>
      </border>
      <protection locked="1" hidden="0"/>
    </dxf>
    <dxf>
      <numFmt numFmtId="1" formatCode="0"/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border>
        <left style="medium">
          <color rgb="FF000000"/>
        </left>
        <right style="medium">
          <color rgb="FF000000"/>
        </righ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border>
        <left style="thin">
          <color rgb="FF000000"/>
        </left>
        <right style="thin">
          <color rgb="FF000000"/>
        </right>
      </border>
    </dxf>
    <dxf>
      <alignment horizontal="general" vertical="bottom" textRotation="0" wrapText="1" indent="0" justifyLastLine="0" shrinkToFit="0" readingOrder="0"/>
    </dxf>
    <dxf>
      <font>
        <b/>
      </font>
      <numFmt numFmtId="1" formatCode="0"/>
      <border>
        <left style="medium">
          <color rgb="FF000000"/>
        </left>
        <right style="thin">
          <color rgb="FF000000"/>
        </right>
      </border>
      <protection locked="1" hidden="0"/>
    </dxf>
    <dxf>
      <font>
        <b/>
      </font>
      <numFmt numFmtId="1" formatCode="0"/>
      <border>
        <left style="medium">
          <color rgb="FF000000"/>
        </left>
        <right style="medium">
          <color rgb="FF000000"/>
        </right>
      </border>
      <protection locked="1" hidden="0"/>
    </dxf>
    <dxf>
      <numFmt numFmtId="1" formatCode="0"/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fill>
        <patternFill patternType="none"/>
      </fill>
      <border>
        <left style="thin">
          <color rgb="FF000000"/>
        </left>
      </border>
    </dxf>
    <dxf>
      <border>
        <left style="medium">
          <color rgb="FF000000"/>
        </left>
        <right style="medium">
          <color rgb="FF000000"/>
        </righ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numFmt numFmtId="0" formatCode="General"/>
    </dxf>
    <dxf>
      <numFmt numFmtId="0" formatCode="General"/>
    </dxf>
    <dxf>
      <border>
        <left style="thin">
          <color rgb="FF000000"/>
        </left>
      </border>
    </dxf>
    <dxf>
      <border>
        <left style="thin">
          <color rgb="FF000000"/>
        </left>
      </border>
    </dxf>
    <dxf>
      <alignment horizontal="general" vertical="bottom" textRotation="0" wrapText="1" indent="0" justifyLastLine="0" shrinkToFit="0" readingOrder="0"/>
    </dxf>
    <dxf>
      <font>
        <b/>
      </font>
      <numFmt numFmtId="1" formatCode="0"/>
      <protection locked="1" hidden="0"/>
    </dxf>
    <dxf>
      <font>
        <b/>
      </font>
      <numFmt numFmtId="1" formatCode="0"/>
      <protection locked="1" hidden="0"/>
    </dxf>
    <dxf>
      <numFmt numFmtId="1" formatCode="0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alignment horizontal="general" vertical="bottom" textRotation="0" wrapText="1" indent="0" justifyLastLine="0" shrinkToFit="0" readingOrder="0"/>
    </dxf>
    <dxf>
      <font>
        <b/>
      </font>
      <numFmt numFmtId="1" formatCode="0"/>
      <protection locked="1" hidden="0"/>
    </dxf>
    <dxf>
      <font>
        <b/>
      </font>
      <numFmt numFmtId="1" formatCode="0"/>
      <protection locked="1" hidden="0"/>
    </dxf>
    <dxf>
      <numFmt numFmtId="1" formatCode="0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alignment horizontal="general" vertical="bottom" textRotation="0" wrapText="1" indent="0" justifyLastLine="0" shrinkToFit="0" readingOrder="0"/>
    </dxf>
    <dxf>
      <font>
        <b/>
      </font>
      <numFmt numFmtId="1" formatCode="0"/>
      <protection locked="1" hidden="0"/>
    </dxf>
    <dxf>
      <font>
        <b/>
      </font>
      <numFmt numFmtId="1" formatCode="0"/>
      <protection locked="1" hidden="0"/>
    </dxf>
    <dxf>
      <numFmt numFmtId="1" formatCode="0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alignment horizontal="general" vertical="bottom" textRotation="0" wrapText="1" indent="0" justifyLastLine="0" shrinkToFit="0" readingOrder="0"/>
    </dxf>
    <dxf>
      <font>
        <b/>
      </font>
      <numFmt numFmtId="1" formatCode="0"/>
      <protection locked="1" hidden="0"/>
    </dxf>
    <dxf>
      <font>
        <b/>
      </font>
      <numFmt numFmtId="1" formatCode="0"/>
      <protection locked="1" hidden="0"/>
    </dxf>
    <dxf>
      <numFmt numFmtId="1" formatCode="0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alignment horizontal="general" vertical="bottom" textRotation="0" wrapText="1" indent="0" justifyLastLine="0" shrinkToFit="0" readingOrder="0"/>
    </dxf>
    <dxf>
      <font>
        <b/>
      </font>
      <numFmt numFmtId="1" formatCode="0"/>
      <protection locked="1" hidden="0"/>
    </dxf>
    <dxf>
      <font>
        <b/>
      </font>
      <numFmt numFmtId="1" formatCode="0"/>
      <protection locked="1" hidden="0"/>
    </dxf>
    <dxf>
      <numFmt numFmtId="1" formatCode="0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alignment horizontal="general" vertical="bottom" textRotation="0" wrapText="1" indent="0" justifyLastLine="0" shrinkToFit="0" readingOrder="0"/>
    </dxf>
    <dxf>
      <font>
        <b/>
      </font>
      <numFmt numFmtId="1" formatCode="0"/>
      <protection locked="1" hidden="0"/>
    </dxf>
    <dxf>
      <font>
        <b/>
      </font>
      <numFmt numFmtId="1" formatCode="0"/>
      <protection locked="1" hidden="0"/>
    </dxf>
    <dxf>
      <numFmt numFmtId="1" formatCode="0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alignment horizontal="general" vertical="bottom" textRotation="0" wrapText="1" indent="0" justifyLastLine="0" shrinkToFit="0" readingOrder="0"/>
    </dxf>
    <dxf>
      <font>
        <b/>
      </font>
      <numFmt numFmtId="1" formatCode="0"/>
      <protection locked="1" hidden="0"/>
    </dxf>
    <dxf>
      <font>
        <b/>
      </font>
      <numFmt numFmtId="1" formatCode="0"/>
      <protection locked="1" hidden="0"/>
    </dxf>
    <dxf>
      <numFmt numFmtId="1" formatCode="0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alignment horizontal="general" vertical="bottom" textRotation="0" wrapText="1" indent="0" justifyLastLine="0" shrinkToFit="0" readingOrder="0"/>
    </dxf>
    <dxf>
      <font>
        <b/>
      </font>
      <numFmt numFmtId="1" formatCode="0"/>
      <protection locked="1" hidden="0"/>
    </dxf>
    <dxf>
      <font>
        <b/>
      </font>
      <numFmt numFmtId="1" formatCode="0"/>
      <protection locked="1" hidden="0"/>
    </dxf>
    <dxf>
      <numFmt numFmtId="1" formatCode="0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alignment horizontal="general" vertical="bottom" textRotation="0" wrapText="1" indent="0" justifyLastLine="0" shrinkToFit="0" readingOrder="0"/>
    </dxf>
    <dxf>
      <font>
        <b/>
      </font>
      <numFmt numFmtId="1" formatCode="0"/>
      <protection locked="1" hidden="0"/>
    </dxf>
    <dxf>
      <font>
        <b/>
      </font>
      <numFmt numFmtId="1" formatCode="0"/>
      <protection locked="1" hidden="0"/>
    </dxf>
    <dxf>
      <numFmt numFmtId="1" formatCode="0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alignment horizontal="general" vertical="bottom" textRotation="0" wrapText="1" indent="0" justifyLastLine="0" shrinkToFit="0" readingOrder="0"/>
    </dxf>
    <dxf>
      <font>
        <b/>
      </font>
      <numFmt numFmtId="1" formatCode="0"/>
      <protection locked="1" hidden="0"/>
    </dxf>
    <dxf>
      <font>
        <b/>
      </font>
      <numFmt numFmtId="1" formatCode="0"/>
      <protection locked="1" hidden="0"/>
    </dxf>
    <dxf>
      <numFmt numFmtId="1" formatCode="0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alignment horizontal="general" vertical="bottom" textRotation="0" wrapText="1" indent="0" justifyLastLine="0" shrinkToFit="0" readingOrder="0"/>
    </dxf>
    <dxf>
      <font>
        <b/>
      </font>
      <numFmt numFmtId="1" formatCode="0"/>
      <protection locked="1" hidden="0"/>
    </dxf>
    <dxf>
      <font>
        <b/>
      </font>
      <numFmt numFmtId="1" formatCode="0"/>
      <protection locked="1" hidden="0"/>
    </dxf>
    <dxf>
      <numFmt numFmtId="1" formatCode="0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0" formatCode="General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alignment horizontal="general" vertical="bottom" textRotation="0" wrapText="1" indent="0" justifyLastLine="0" shrinkToFit="0" readingOrder="0"/>
    </dxf>
    <dxf>
      <font>
        <b/>
      </font>
      <numFmt numFmtId="1" formatCode="0"/>
    </dxf>
    <dxf>
      <font>
        <b/>
      </font>
      <numFmt numFmtId="1" formatCode="0"/>
    </dxf>
    <dxf>
      <numFmt numFmtId="1" formatCode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vid Thomason" id="{DFBC0FF1-CC09-47A1-8B00-6B83305FD1CC}" userId="S::david.thomason@hutten.eu::18f988ae-c5a4-42d5-ad41-f76d017ee1e5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6B0F649-C70D-4FA8-AD70-FB3B04D6FBF2}" name="Tabel2" displayName="Tabel2" ref="A2:Y65" totalsRowShown="0" headerRowDxfId="1061">
  <autoFilter ref="A2:Y65" xr:uid="{36B0F649-C70D-4FA8-AD70-FB3B04D6FBF2}"/>
  <sortState xmlns:xlrd2="http://schemas.microsoft.com/office/spreadsheetml/2017/richdata2" ref="A3:Y65">
    <sortCondition ref="B2:B65"/>
  </sortState>
  <tableColumns count="25">
    <tableColumn id="1" xr3:uid="{E993948A-60EB-4543-8427-8082D79D861D}" name="Verdieping"/>
    <tableColumn id="2" xr3:uid="{B4A7A0A1-9BC6-43ED-9DFB-40C3160AE55F}" name="Automatennaam"/>
    <tableColumn id="3" xr3:uid="{02A112F4-BB61-40BB-988D-5451BB744DB8}" name="Type concept"/>
    <tableColumn id="4" xr3:uid="{BDC6F8BF-3997-4547-B64C-37D320D8AAFB}" name="Serienummer"/>
    <tableColumn id="5" xr3:uid="{23C0E158-BADD-4829-86EF-8FF0E813FDAF}" name="Coffee"/>
    <tableColumn id="6" xr3:uid="{8F8E1AF9-B7DD-47CE-934C-80E01E56E6FB}" name="Espresso"/>
    <tableColumn id="7" xr3:uid="{FBAB6A28-84E6-4623-9995-ACEF447A5405}" name="Latte Macchiato"/>
    <tableColumn id="8" xr3:uid="{403F02DA-50FD-442B-A02A-4E6EF480F355}" name="Coffee Latte"/>
    <tableColumn id="9" xr3:uid="{E39F36F9-33B3-4B33-83AD-40E880A09AFC}" name="Hot Water"/>
    <tableColumn id="10" xr3:uid="{67CC7B52-91B9-4247-B141-6E179F188E2C}" name="Cappucino"/>
    <tableColumn id="11" xr3:uid="{64317B24-CE2D-4FB7-9519-3296DDC4B7E3}" name="Cappucino Plantaardig"/>
    <tableColumn id="12" xr3:uid="{F94D0DB3-4E76-490A-BAC7-BA04FB49651B}" name="Latte Macchiato Plantaardig"/>
    <tableColumn id="13" xr3:uid="{DF3E16BA-A414-4A73-BF13-D3795CB77F3B}" name="Subtotaal koffieautomaten"/>
    <tableColumn id="14" xr3:uid="{DEA1440D-CD44-4F6E-BC0F-BB49FC2BB3CF}" name="kamertemp liter"/>
    <tableColumn id="15" xr3:uid="{6B517AE8-617A-4B6D-A153-1625337FAAFC}" name="aantal consumpties"/>
    <tableColumn id="16" xr3:uid="{B2A61544-86C5-4996-B82E-8E6E267E5D9D}" name="gekoeld liter"/>
    <tableColumn id="17" xr3:uid="{6D1F8897-3646-40F6-B19F-C2DBBA4756C2}" name="aantal consumpties2"/>
    <tableColumn id="18" xr3:uid="{2881E59C-142A-4F64-8709-35803CC560E7}" name="bruisend liter"/>
    <tableColumn id="19" xr3:uid="{69E1BB5E-4235-4F73-B299-A992EDD0E54F}" name="aantal consumpties3"/>
    <tableColumn id="20" xr3:uid="{609D6394-4339-40BA-9A97-65E503E91933}" name="licht bruisend liter"/>
    <tableColumn id="21" xr3:uid="{9FDB3021-B258-40B9-A08B-C6629DAF70A1}" name="aantal consumpties4"/>
    <tableColumn id="22" xr3:uid="{8B5B6C00-8942-4E81-96A1-92AAF5D5CFBF}" name="heet water liter"/>
    <tableColumn id="23" xr3:uid="{7A4156ED-5DC6-487E-B5C5-F5F1A9801985}" name="aantal consumpties5" dataDxfId="1060"/>
    <tableColumn id="24" xr3:uid="{1AAC53A9-5D8D-46F4-9D08-38DF8C37CC11}" name="Subtotaal waterbar" dataDxfId="1059"/>
    <tableColumn id="25" xr3:uid="{8A6CFF46-7D12-4EC9-BFAC-D24D1E18F451}" name="Grand totaal" dataDxfId="1058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4CC00096-8F91-4721-B1AE-2C536BE83AC6}" name="Tabel242567891011" displayName="Tabel242567891011" ref="A2:AY65" totalsRowShown="0" headerRowDxfId="681">
  <autoFilter ref="A2:AY65" xr:uid="{4CC00096-8F91-4721-B1AE-2C536BE83AC6}"/>
  <sortState xmlns:xlrd2="http://schemas.microsoft.com/office/spreadsheetml/2017/richdata2" ref="A3:AY65">
    <sortCondition ref="B2:B65"/>
  </sortState>
  <tableColumns count="51">
    <tableColumn id="1" xr3:uid="{8A64977D-4237-436E-81FA-8CB21D7DD40D}" name="Verdieping"/>
    <tableColumn id="2" xr3:uid="{468EF463-ED51-4E23-B56D-24A97D6AF5C2}" name="Automatennaam"/>
    <tableColumn id="3" xr3:uid="{B4992D11-D562-4EE9-AFB2-C253079B8C3B}" name="Type concept"/>
    <tableColumn id="4" xr3:uid="{9C05E905-FCBF-4436-A4E4-C551100C6159}" name="Serienummer"/>
    <tableColumn id="5" xr3:uid="{8E2E7A23-74BD-479D-8D4F-E3A5E6C28D8D}" name="Stand Coffee einde maand" dataDxfId="680"/>
    <tableColumn id="27" xr3:uid="{146C7AD9-849E-4A2D-9F2E-3967D1967606}" name="Coffee vorige maand" dataDxfId="679">
      <calculatedColumnFormula>Tabel2[[#This Row],[Coffee]]</calculatedColumnFormula>
    </tableColumn>
    <tableColumn id="26" xr3:uid="{60FA8D01-D1A0-4F56-A997-E17D24A19AFF}" name="Verbruik Coffee deze maand" dataDxfId="678">
      <calculatedColumnFormula>Tabel242567891011[[#This Row],[Stand Coffee einde maand]]-Tabel242567891011[[#This Row],[Coffee vorige maand]]</calculatedColumnFormula>
    </tableColumn>
    <tableColumn id="6" xr3:uid="{1FB1845F-B838-4F95-92D7-DDA9BC550BE9}" name="Stand Espresso Einde maand" dataDxfId="677"/>
    <tableColumn id="29" xr3:uid="{E1A253AA-61D1-4693-BF6A-8D3AD27A3ED4}" name="Espresso vorige maand" dataDxfId="676">
      <calculatedColumnFormula>Tabel2[[#This Row],[Espresso]]</calculatedColumnFormula>
    </tableColumn>
    <tableColumn id="28" xr3:uid="{44B9C396-DE13-4CE6-9C96-B6BCF32D782F}" name="Verbruik Espresso deze maand" dataDxfId="675">
      <calculatedColumnFormula>Tabel242567891011[[#This Row],[Stand Espresso Einde maand]]-Tabel242567891011[[#This Row],[Espresso vorige maand]]</calculatedColumnFormula>
    </tableColumn>
    <tableColumn id="7" xr3:uid="{94D394AB-7BA0-48F4-94B2-AF013F2D76F0}" name="Stand Latte Macchiato einde maand" dataDxfId="674"/>
    <tableColumn id="31" xr3:uid="{EE45AC2D-4240-4643-84A2-CEBEB70EA094}" name="Latte Macchiato vorige maand" dataDxfId="673">
      <calculatedColumnFormula>Tabel242[[#This Row],[Stand Latte Macchiato einde maand]]</calculatedColumnFormula>
    </tableColumn>
    <tableColumn id="30" xr3:uid="{19221197-F8C1-45C0-A253-E7A333325F88}" name="Verbruik Latte Macchiato deze maand" dataDxfId="672">
      <calculatedColumnFormula>Tabel242567891011[[#This Row],[Stand Latte Macchiato einde maand]]-Tabel242567891011[[#This Row],[Latte Macchiato vorige maand]]</calculatedColumnFormula>
    </tableColumn>
    <tableColumn id="8" xr3:uid="{2F824AB8-DE8E-4961-8C1D-EC7845322AAC}" name="Stand Coffee Latte einde maand" dataDxfId="671"/>
    <tableColumn id="33" xr3:uid="{C7FACF34-63CF-4367-B83C-5F0835A76332}" name="Coffee Latte vorige maand" dataDxfId="670">
      <calculatedColumnFormula>Tabel242[[#This Row],[Stand Coffee Latte einde maand]]</calculatedColumnFormula>
    </tableColumn>
    <tableColumn id="32" xr3:uid="{3DB84015-8947-4C92-A677-B9BF33642872}" name="Verbruik Coffee Latte deze maand" dataDxfId="669">
      <calculatedColumnFormula>Tabel242567891011[[#This Row],[Stand Coffee Latte einde maand]]-Tabel242567891011[[#This Row],[Coffee Latte vorige maand]]</calculatedColumnFormula>
    </tableColumn>
    <tableColumn id="9" xr3:uid="{54A8D684-F93B-428F-95FB-8424358D2532}" name="Stand Hot Water einde maand" dataDxfId="668"/>
    <tableColumn id="35" xr3:uid="{986785B7-9504-4969-A4F9-3BC7E5B50D6D}" name="Hot Water vorige maand" dataDxfId="667">
      <calculatedColumnFormula>Tabel242[[#This Row],[Stand Hot Water einde maand]]</calculatedColumnFormula>
    </tableColumn>
    <tableColumn id="34" xr3:uid="{250F9541-4534-4AAD-8A36-37678C5B67C2}" name="Verbruik Hot Water deze maand" dataDxfId="666">
      <calculatedColumnFormula>Tabel242567891011[[#This Row],[Stand Hot Water einde maand]]-Tabel242567891011[[#This Row],[Hot Water vorige maand]]</calculatedColumnFormula>
    </tableColumn>
    <tableColumn id="10" xr3:uid="{018BBA53-B81F-42E2-8374-F0199B311144}" name="Stand Cappucino einde maand" dataDxfId="665"/>
    <tableColumn id="36" xr3:uid="{2AD9EB86-2F1D-4767-AAF5-B44927FA49AB}" name="Stand Cappucino vorige maand" dataDxfId="664">
      <calculatedColumnFormula>Tabel242[[#This Row],[Stand Cappucino einde maand]]</calculatedColumnFormula>
    </tableColumn>
    <tableColumn id="37" xr3:uid="{5AE4A3B0-5A5F-4DCE-ADF1-198B52DB9F93}" name="Verbruik Cappucino deze maand" dataDxfId="663">
      <calculatedColumnFormula>Tabel242567891011[[#This Row],[Stand Cappucino einde maand]]-Tabel242567891011[[#This Row],[Stand Cappucino vorige maand]]</calculatedColumnFormula>
    </tableColumn>
    <tableColumn id="11" xr3:uid="{DA69F47A-6D9F-4FE4-A5A5-437332564E7C}" name="Stand Cappucino Plantaardig einde maand" dataDxfId="662"/>
    <tableColumn id="39" xr3:uid="{E59AC9CD-EB69-4C1B-8BD9-9845F66EA774}" name="Stand Cappucino Plantaardig vorige maand" dataDxfId="661">
      <calculatedColumnFormula>Tabel242[[#This Row],[Stand Cappucino Plantaardig einde maand]]</calculatedColumnFormula>
    </tableColumn>
    <tableColumn id="38" xr3:uid="{E47BB22A-380D-4678-A9F3-D0C9B16EA5FE}" name="Verbruik  Cappucino Plantaardig deze maand" dataDxfId="660">
      <calculatedColumnFormula>Tabel242567891011[[#This Row],[Stand Cappucino Plantaardig einde maand]]-Tabel242567891011[[#This Row],[Stand Cappucino Plantaardig vorige maand]]</calculatedColumnFormula>
    </tableColumn>
    <tableColumn id="12" xr3:uid="{77033193-CE2C-4718-A915-62BE70C16BFF}" name="Stand Latte Macchiato Plantaardig einde maand" dataDxfId="659"/>
    <tableColumn id="41" xr3:uid="{5E8E7B2F-7B39-4F39-8472-0DB0728564E5}" name="Stand Latte Macchiato Plantaardig vorige maand" dataDxfId="658">
      <calculatedColumnFormula>Tabel242[[#This Row],[Stand Latte Macchiato Plantaardig einde maand]]</calculatedColumnFormula>
    </tableColumn>
    <tableColumn id="40" xr3:uid="{3E426F6B-20C2-4746-AA68-5002E663568E}" name="Verbruik Stand Latte Macchiato Plantaardig deze maand" dataDxfId="657">
      <calculatedColumnFormula>Tabel242567891011[[#This Row],[Stand Latte Macchiato Plantaardig einde maand]]-Tabel242567891011[[#This Row],[Stand Latte Macchiato Plantaardig vorige maand]]</calculatedColumnFormula>
    </tableColumn>
    <tableColumn id="13" xr3:uid="{EED04823-9431-43DC-AC02-56FE02DBBE24}" name="Subtotaal koffieautomaten"/>
    <tableColumn id="14" xr3:uid="{92004B5D-1CC5-4698-A284-B1E210D25820}" name="Stand Kamertemp liter einde maand" dataDxfId="656"/>
    <tableColumn id="42" xr3:uid="{4D79341D-88F8-45EA-A857-6EEE468C2049}" name="Stand Kamertemp liter vorige maand" dataDxfId="655">
      <calculatedColumnFormula>Tabel242[[#This Row],[Stand Kamertemp liter einde maand]]</calculatedColumnFormula>
    </tableColumn>
    <tableColumn id="43" xr3:uid="{0887478D-49C3-4A02-9A9E-959AE597BB69}" name="Verbruik Kamertemp liter deze maand" dataDxfId="654">
      <calculatedColumnFormula>Tabel242567891011[[#This Row],[Stand Kamertemp liter einde maand]]-Tabel242567891011[[#This Row],[Stand Kamertemp liter vorige maand]]</calculatedColumnFormula>
    </tableColumn>
    <tableColumn id="15" xr3:uid="{08E6EA1C-4D44-446D-9A21-98A9552D76DB}" name="Aantal consumpties Kamertemp deze maand" dataDxfId="653"/>
    <tableColumn id="16" xr3:uid="{3F5DAF2B-6E1B-4982-967F-F69BD62AD288}" name="Stand Gekoeld liter einde maand" dataDxfId="652"/>
    <tableColumn id="45" xr3:uid="{9C1F5FC9-9EE8-4357-96C9-28F99C41F1FE}" name="Stand Gekoeld liter vorige maand" dataDxfId="651">
      <calculatedColumnFormula>Tabel242[[#This Row],[Stand Gekoeld liter einde maand]]</calculatedColumnFormula>
    </tableColumn>
    <tableColumn id="44" xr3:uid="{638869C4-07E1-4443-8A67-90803E369B95}" name="Verbruik Gekoeld liter deze maand" dataDxfId="650">
      <calculatedColumnFormula>Tabel242567891011[[#This Row],[Stand Gekoeld liter einde maand]]-Tabel242567891011[[#This Row],[Stand Gekoeld liter vorige maand]]</calculatedColumnFormula>
    </tableColumn>
    <tableColumn id="17" xr3:uid="{F338C055-264E-475A-8A51-97E6313EEF83}" name="Aantal consumpties gekoeld water deze maand" dataDxfId="649"/>
    <tableColumn id="18" xr3:uid="{012075A1-8876-4FCB-BC27-E84DE5C19764}" name="Stand Bruisend liter einde maand" dataDxfId="648"/>
    <tableColumn id="46" xr3:uid="{5F118561-EF8D-4968-BCED-0A9EB72DC1A0}" name="Stand Bruisend liter vorige maand" dataDxfId="647">
      <calculatedColumnFormula>Tabel242[[#This Row],[Stand Bruisend liter einde maand]]</calculatedColumnFormula>
    </tableColumn>
    <tableColumn id="47" xr3:uid="{CE0AD718-A7D3-4CE7-B316-40CAF5069C0D}" name="Verbruik Bruisend liter deze maand" dataDxfId="646">
      <calculatedColumnFormula>Tabel242567891011[[#This Row],[Stand Bruisend liter einde maand]]-Tabel242567891011[[#This Row],[Stand Bruisend liter vorige maand]]</calculatedColumnFormula>
    </tableColumn>
    <tableColumn id="19" xr3:uid="{00CC04A8-D564-4D39-8181-75CAC3686595}" name="aantal consumpties Bruisend water deze maand" dataDxfId="645"/>
    <tableColumn id="20" xr3:uid="{7F5E9F84-6C53-4BE6-AEF0-2CEBECF68290}" name="Stand licht bruisend liter einde maand" dataDxfId="644"/>
    <tableColumn id="49" xr3:uid="{AC8147EB-43AA-41E6-A6AD-4D602637F0F9}" name="Stand licht bruisend liter vorige maand" dataDxfId="643">
      <calculatedColumnFormula>Tabel242[[#This Row],[Stand licht bruisend liter einde maand]]</calculatedColumnFormula>
    </tableColumn>
    <tableColumn id="48" xr3:uid="{B5FB10C6-8019-48BC-8A11-66CF7B6DA3E2}" name="Verbruik licht bruisend liter deze maand" dataDxfId="642">
      <calculatedColumnFormula>Tabel242567891011[[#This Row],[Stand licht bruisend liter einde maand]]-Tabel242567891011[[#This Row],[Stand licht bruisend liter vorige maand]]</calculatedColumnFormula>
    </tableColumn>
    <tableColumn id="21" xr3:uid="{A9523B67-2E8F-432E-ACD5-99089B6FD4D5}" name="Aantal consumpties licht bruisend water deze maand" dataDxfId="641"/>
    <tableColumn id="22" xr3:uid="{ABF45A2E-F36F-446E-BEEE-FF1DA96A2C70}" name="Stand heet water liter einde maand" dataDxfId="640"/>
    <tableColumn id="51" xr3:uid="{D9DA6A77-C13F-4EEC-AF63-99B516200E1A}" name="Stand heet water liter vorige maand" dataDxfId="639">
      <calculatedColumnFormula>Tabel242[[#This Row],[Stand heet water liter einde maand]]</calculatedColumnFormula>
    </tableColumn>
    <tableColumn id="50" xr3:uid="{A64F0B07-338D-4035-B80E-512D6B9CDCD8}" name="Verbruik heet Water liter deze maand " dataDxfId="638">
      <calculatedColumnFormula>Tabel242567891011[[#This Row],[Stand heet water liter einde maand]]-Tabel242567891011[[#This Row],[Stand heet water liter vorige maand]]</calculatedColumnFormula>
    </tableColumn>
    <tableColumn id="23" xr3:uid="{8B8232A0-2033-4A79-BCB2-69B550F43EC7}" name="Aantal consumpties heet water deze maand" dataDxfId="637"/>
    <tableColumn id="24" xr3:uid="{F3F07819-2B14-41F1-A4D2-9787FA6D3495}" name="Subtotaal waterbar in consumpties" dataDxfId="636"/>
    <tableColumn id="25" xr3:uid="{6B5721EC-81BD-4E67-B5B9-E1471012E194}" name="Grand totaal" dataDxfId="635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9E9A7D1D-DE14-4BD3-8C94-627F6998173C}" name="Tabel24256789101112" displayName="Tabel24256789101112" ref="A2:AY65" totalsRowShown="0" headerRowDxfId="634">
  <autoFilter ref="A2:AY65" xr:uid="{4CC00096-8F91-4721-B1AE-2C536BE83AC6}"/>
  <sortState xmlns:xlrd2="http://schemas.microsoft.com/office/spreadsheetml/2017/richdata2" ref="A3:AY65">
    <sortCondition ref="B2:B65"/>
  </sortState>
  <tableColumns count="51">
    <tableColumn id="1" xr3:uid="{1B22EF2C-AD1C-4875-A188-C24F97AEE36E}" name="Verdieping"/>
    <tableColumn id="2" xr3:uid="{0B63CD0C-8CE6-4867-9551-880F7BA45A40}" name="Automatennaam"/>
    <tableColumn id="3" xr3:uid="{A3643C50-E298-42CA-B528-7C2559321CBB}" name="Type concept"/>
    <tableColumn id="4" xr3:uid="{675F8E03-13C8-45F7-AFEF-EE0C8FCA1CDB}" name="Serienummer"/>
    <tableColumn id="5" xr3:uid="{04F65E19-1803-429E-9570-4F2FFE239CA9}" name="Stand Coffee einde maand" dataDxfId="633"/>
    <tableColumn id="27" xr3:uid="{C9CA662A-C761-4D60-953E-B2C8EDF9238D}" name="Coffee vorige maand" dataDxfId="632">
      <calculatedColumnFormula>Tabel2[[#This Row],[Coffee]]</calculatedColumnFormula>
    </tableColumn>
    <tableColumn id="26" xr3:uid="{AB86F22E-0E2B-42D3-89BC-4F55158D6873}" name="Verbruik Coffee deze maand" dataDxfId="631">
      <calculatedColumnFormula>Tabel24256789101112[[#This Row],[Stand Coffee einde maand]]-Tabel24256789101112[[#This Row],[Coffee vorige maand]]</calculatedColumnFormula>
    </tableColumn>
    <tableColumn id="6" xr3:uid="{BF932F96-763B-4FF9-9A1A-755B3C9E8B54}" name="Stand Espresso Einde maand" dataDxfId="630"/>
    <tableColumn id="29" xr3:uid="{1497727A-75A0-42A3-90FE-30C2164FA8CF}" name="Espresso vorige maand" dataDxfId="629">
      <calculatedColumnFormula>Tabel2[[#This Row],[Espresso]]</calculatedColumnFormula>
    </tableColumn>
    <tableColumn id="28" xr3:uid="{565BD680-94E2-42E0-A301-FE39790F040A}" name="Verbruik Espresso deze maand" dataDxfId="628">
      <calculatedColumnFormula>Tabel24256789101112[[#This Row],[Stand Espresso Einde maand]]-Tabel24256789101112[[#This Row],[Espresso vorige maand]]</calculatedColumnFormula>
    </tableColumn>
    <tableColumn id="7" xr3:uid="{FDC1A9AF-004E-4408-A2DD-48F97C261407}" name="Stand Latte Macchiato einde maand" dataDxfId="627"/>
    <tableColumn id="31" xr3:uid="{D976476E-7CF1-4065-8C50-6F1C56F37D16}" name="Latte Macchiato vorige maand" dataDxfId="626">
      <calculatedColumnFormula>Tabel242[[#This Row],[Stand Latte Macchiato einde maand]]</calculatedColumnFormula>
    </tableColumn>
    <tableColumn id="30" xr3:uid="{DC7AAC00-4F66-4B1B-B279-236864FB72F1}" name="Verbruik Latte Macchiato deze maand" dataDxfId="625">
      <calculatedColumnFormula>Tabel24256789101112[[#This Row],[Stand Latte Macchiato einde maand]]-Tabel24256789101112[[#This Row],[Latte Macchiato vorige maand]]</calculatedColumnFormula>
    </tableColumn>
    <tableColumn id="8" xr3:uid="{E4E02853-1391-4AE0-8700-ECDBE9061850}" name="Stand Coffee Latte einde maand" dataDxfId="624"/>
    <tableColumn id="33" xr3:uid="{76AF45BC-0248-4D76-9A29-ED23A70BEDCC}" name="Coffee Latte vorige maand" dataDxfId="623">
      <calculatedColumnFormula>Tabel242[[#This Row],[Stand Coffee Latte einde maand]]</calculatedColumnFormula>
    </tableColumn>
    <tableColumn id="32" xr3:uid="{ED59DE4A-1464-4237-8F98-16B1E2010F53}" name="Verbruik Coffee Latte deze maand" dataDxfId="622">
      <calculatedColumnFormula>Tabel24256789101112[[#This Row],[Stand Coffee Latte einde maand]]-Tabel24256789101112[[#This Row],[Coffee Latte vorige maand]]</calculatedColumnFormula>
    </tableColumn>
    <tableColumn id="9" xr3:uid="{6C9723BF-DE54-40D5-B983-ACDE4D7351F5}" name="Stand Hot Water einde maand" dataDxfId="621"/>
    <tableColumn id="35" xr3:uid="{1ABD12F6-BB9C-45B5-BED7-41AAA910F806}" name="Hot Water vorige maand" dataDxfId="620">
      <calculatedColumnFormula>Tabel242[[#This Row],[Stand Hot Water einde maand]]</calculatedColumnFormula>
    </tableColumn>
    <tableColumn id="34" xr3:uid="{85CD21F1-9A4D-4D60-9DDF-5F91EDEFF0A5}" name="Verbruik Hot Water deze maand" dataDxfId="619">
      <calculatedColumnFormula>Tabel24256789101112[[#This Row],[Stand Hot Water einde maand]]-Tabel24256789101112[[#This Row],[Hot Water vorige maand]]</calculatedColumnFormula>
    </tableColumn>
    <tableColumn id="10" xr3:uid="{1F06AF49-6067-4B7B-863C-C8067CE5D7EC}" name="Stand Cappucino einde maand" dataDxfId="618"/>
    <tableColumn id="36" xr3:uid="{BC7E4226-CC60-40E1-9818-CF3E621FA04D}" name="Stand Cappucino vorige maand" dataDxfId="617">
      <calculatedColumnFormula>Tabel242[[#This Row],[Stand Cappucino einde maand]]</calculatedColumnFormula>
    </tableColumn>
    <tableColumn id="37" xr3:uid="{FB2FE4E4-8D38-4B00-855F-81008DD1122A}" name="Verbruik Cappucino deze maand" dataDxfId="616">
      <calculatedColumnFormula>Tabel24256789101112[[#This Row],[Stand Cappucino einde maand]]-Tabel24256789101112[[#This Row],[Stand Cappucino vorige maand]]</calculatedColumnFormula>
    </tableColumn>
    <tableColumn id="11" xr3:uid="{DB5ABCB4-91FE-4191-A540-5F99D4D82D6B}" name="Stand Cappucino Plantaardig einde maand" dataDxfId="615"/>
    <tableColumn id="39" xr3:uid="{CF964B8B-6C9A-417C-9D32-EEBB9E15145B}" name="Stand Cappucino Plantaardig vorige maand" dataDxfId="614">
      <calculatedColumnFormula>Tabel242[[#This Row],[Stand Cappucino Plantaardig einde maand]]</calculatedColumnFormula>
    </tableColumn>
    <tableColumn id="38" xr3:uid="{AD5D4E84-D5B7-4435-8B07-CE1414CC7E6F}" name="Verbruik  Cappucino Plantaardig deze maand" dataDxfId="613">
      <calculatedColumnFormula>Tabel24256789101112[[#This Row],[Stand Cappucino Plantaardig einde maand]]-Tabel24256789101112[[#This Row],[Stand Cappucino Plantaardig vorige maand]]</calculatedColumnFormula>
    </tableColumn>
    <tableColumn id="12" xr3:uid="{ED7C9CE7-FC5A-4CEF-9202-82AE50716C4F}" name="Stand Latte Macchiato Plantaardig einde maand" dataDxfId="612"/>
    <tableColumn id="41" xr3:uid="{75608DA1-6FDB-4D2B-A406-3BD13BC5AC8E}" name="Stand Latte Macchiato Plantaardig vorige maand" dataDxfId="611">
      <calculatedColumnFormula>Tabel242[[#This Row],[Stand Latte Macchiato Plantaardig einde maand]]</calculatedColumnFormula>
    </tableColumn>
    <tableColumn id="40" xr3:uid="{C39FAFC7-3256-4983-A9ED-E39EC5396FB3}" name="Verbruik Stand Latte Macchiato Plantaardig deze maand" dataDxfId="610">
      <calculatedColumnFormula>Tabel24256789101112[[#This Row],[Stand Latte Macchiato Plantaardig einde maand]]-Tabel24256789101112[[#This Row],[Stand Latte Macchiato Plantaardig vorige maand]]</calculatedColumnFormula>
    </tableColumn>
    <tableColumn id="13" xr3:uid="{94F9D97B-26E5-4827-81E5-EFECD399C198}" name="Subtotaal koffieautomaten"/>
    <tableColumn id="14" xr3:uid="{5DB91B61-4A80-4083-8095-979E231F1716}" name="Stand Kamertemp liter einde maand" dataDxfId="609"/>
    <tableColumn id="42" xr3:uid="{761AFAC1-FDB9-4BA0-B212-0C2A54E673C3}" name="Stand Kamertemp liter vorige maand" dataDxfId="608">
      <calculatedColumnFormula>Tabel242[[#This Row],[Stand Kamertemp liter einde maand]]</calculatedColumnFormula>
    </tableColumn>
    <tableColumn id="43" xr3:uid="{71761765-4B57-4D66-8520-5F49C9486344}" name="Verbruik Kamertemp liter deze maand" dataDxfId="607">
      <calculatedColumnFormula>Tabel24256789101112[[#This Row],[Stand Kamertemp liter einde maand]]-Tabel24256789101112[[#This Row],[Stand Kamertemp liter vorige maand]]</calculatedColumnFormula>
    </tableColumn>
    <tableColumn id="15" xr3:uid="{DF5097F9-A0E3-485C-BC9C-361058F7E2C6}" name="Aantal consumpties Kamertemp deze maand" dataDxfId="606"/>
    <tableColumn id="16" xr3:uid="{DC658D5E-E033-4402-8F9D-A32E2C1BC67A}" name="Stand Gekoeld liter einde maand" dataDxfId="605"/>
    <tableColumn id="45" xr3:uid="{BAB6E87F-A72A-4A7E-95FC-93A525735E6B}" name="Stand Gekoeld liter vorige maand" dataDxfId="604">
      <calculatedColumnFormula>Tabel242[[#This Row],[Stand Gekoeld liter einde maand]]</calculatedColumnFormula>
    </tableColumn>
    <tableColumn id="44" xr3:uid="{0E41F976-4705-42D4-A1E9-A511F7C06D2E}" name="Verbruik Gekoeld liter deze maand" dataDxfId="603">
      <calculatedColumnFormula>Tabel24256789101112[[#This Row],[Stand Gekoeld liter einde maand]]-Tabel24256789101112[[#This Row],[Stand Gekoeld liter vorige maand]]</calculatedColumnFormula>
    </tableColumn>
    <tableColumn id="17" xr3:uid="{5D2DABF4-EE11-49A4-B6F3-E5161D78602A}" name="Aantal consumpties gekoeld water deze maand" dataDxfId="602"/>
    <tableColumn id="18" xr3:uid="{0F719501-52AE-4F93-A774-F5AE9132103B}" name="Stand Bruisend liter einde maand" dataDxfId="601"/>
    <tableColumn id="46" xr3:uid="{45E99025-2D26-4B3D-8299-FC433A0DC7A1}" name="Stand Bruisend liter vorige maand" dataDxfId="600">
      <calculatedColumnFormula>Tabel242[[#This Row],[Stand Bruisend liter einde maand]]</calculatedColumnFormula>
    </tableColumn>
    <tableColumn id="47" xr3:uid="{B923B304-CFCD-4FB8-ADFA-4705EDEF8098}" name="Verbruik Bruisend liter deze maand" dataDxfId="599">
      <calculatedColumnFormula>Tabel24256789101112[[#This Row],[Stand Bruisend liter einde maand]]-Tabel24256789101112[[#This Row],[Stand Bruisend liter vorige maand]]</calculatedColumnFormula>
    </tableColumn>
    <tableColumn id="19" xr3:uid="{F48A3905-B3DF-400A-8B7E-0ABE947B42E0}" name="aantal consumpties Bruisend water deze maand" dataDxfId="598"/>
    <tableColumn id="20" xr3:uid="{F81AB353-870F-4209-BC62-104ED1C1E189}" name="Stand licht bruisend liter einde maand" dataDxfId="597"/>
    <tableColumn id="49" xr3:uid="{75130227-17CB-464C-9532-E5022D488F4B}" name="Stand licht bruisend liter vorige maand" dataDxfId="596">
      <calculatedColumnFormula>Tabel242[[#This Row],[Stand licht bruisend liter einde maand]]</calculatedColumnFormula>
    </tableColumn>
    <tableColumn id="48" xr3:uid="{EEFEF061-5238-4FB6-B820-FE9C113FA34C}" name="Verbruik licht bruisend liter deze maand" dataDxfId="595">
      <calculatedColumnFormula>Tabel24256789101112[[#This Row],[Stand licht bruisend liter einde maand]]-Tabel24256789101112[[#This Row],[Stand licht bruisend liter vorige maand]]</calculatedColumnFormula>
    </tableColumn>
    <tableColumn id="21" xr3:uid="{4A2C81EE-CC1C-422D-A85F-1BE2DAD05EE8}" name="Aantal consumpties licht bruisend water deze maand" dataDxfId="594"/>
    <tableColumn id="22" xr3:uid="{B8B8940E-4D4A-4B42-8827-A64C371814A4}" name="Stand heet water liter einde maand" dataDxfId="593"/>
    <tableColumn id="51" xr3:uid="{B580CC5A-0462-4FAD-9CA4-539A455D7707}" name="Stand heet water liter vorige maand" dataDxfId="592">
      <calculatedColumnFormula>Tabel242[[#This Row],[Stand heet water liter einde maand]]</calculatedColumnFormula>
    </tableColumn>
    <tableColumn id="50" xr3:uid="{23CF8A81-A242-4348-B5F3-5B421D331A1F}" name="Verbruik heet Water liter deze maand " dataDxfId="591">
      <calculatedColumnFormula>Tabel24256789101112[[#This Row],[Stand heet water liter einde maand]]-Tabel24256789101112[[#This Row],[Stand heet water liter vorige maand]]</calculatedColumnFormula>
    </tableColumn>
    <tableColumn id="23" xr3:uid="{3D77CF21-C995-4B3D-8F5D-45023C39BD08}" name="Aantal consumpties heet water deze maand" dataDxfId="590"/>
    <tableColumn id="24" xr3:uid="{F63A6873-8C64-437A-8A42-AA5139196656}" name="Subtotaal waterbar in consumpties" dataDxfId="589"/>
    <tableColumn id="25" xr3:uid="{6BDA6B16-9C9B-4A09-86B9-96FA430896AC}" name="Grand totaal" dataDxfId="588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1288A7AB-1716-4D40-BE5E-E47D96D7FE1D}" name="Tabel2425678910111213" displayName="Tabel2425678910111213" ref="A2:AY65" totalsRowShown="0" headerRowDxfId="587">
  <autoFilter ref="A2:AY65" xr:uid="{4CC00096-8F91-4721-B1AE-2C536BE83AC6}"/>
  <sortState xmlns:xlrd2="http://schemas.microsoft.com/office/spreadsheetml/2017/richdata2" ref="A3:AY65">
    <sortCondition ref="B2:B65"/>
  </sortState>
  <tableColumns count="51">
    <tableColumn id="1" xr3:uid="{3BAEBF21-A7D3-4917-8826-9904AC8B04F6}" name="Verdieping"/>
    <tableColumn id="2" xr3:uid="{407DB9F1-D823-4389-914F-9237F5C3F024}" name="Automatennaam"/>
    <tableColumn id="3" xr3:uid="{5FF3A1E7-194C-4335-9A4D-5E729AF806AA}" name="Type concept"/>
    <tableColumn id="4" xr3:uid="{CE12FD0D-8601-4947-BD5E-6BF037612C6C}" name="Serienummer"/>
    <tableColumn id="5" xr3:uid="{77F54011-B3AE-4B2F-8DD8-B85497C49B07}" name="Stand Coffee einde maand" dataDxfId="586"/>
    <tableColumn id="27" xr3:uid="{5E28C1AB-9D42-4ED2-A0FD-51E8A72A1C35}" name="Coffee vorige maand" dataDxfId="585">
      <calculatedColumnFormula>Tabel2[[#This Row],[Coffee]]</calculatedColumnFormula>
    </tableColumn>
    <tableColumn id="26" xr3:uid="{A08B2D28-2C4B-4171-B057-D063E9A5CB22}" name="Verbruik Coffee deze maand" dataDxfId="584">
      <calculatedColumnFormula>Tabel2425678910111213[[#This Row],[Stand Coffee einde maand]]-Tabel2425678910111213[[#This Row],[Coffee vorige maand]]</calculatedColumnFormula>
    </tableColumn>
    <tableColumn id="6" xr3:uid="{C8AFC115-4650-4E61-84E3-ED27A37AF0A6}" name="Stand Espresso Einde maand" dataDxfId="583"/>
    <tableColumn id="29" xr3:uid="{9398F71F-A5D5-4A46-ABF5-6B10792760FE}" name="Espresso vorige maand" dataDxfId="582">
      <calculatedColumnFormula>Tabel2[[#This Row],[Espresso]]</calculatedColumnFormula>
    </tableColumn>
    <tableColumn id="28" xr3:uid="{38381FB6-EF5E-4C62-BEDC-A2862F7A64E3}" name="Verbruik Espresso deze maand" dataDxfId="581">
      <calculatedColumnFormula>Tabel2425678910111213[[#This Row],[Stand Espresso Einde maand]]-Tabel2425678910111213[[#This Row],[Espresso vorige maand]]</calculatedColumnFormula>
    </tableColumn>
    <tableColumn id="7" xr3:uid="{BFF7240C-42DD-4539-AD6F-3B212BF3292D}" name="Stand Latte Macchiato einde maand" dataDxfId="580"/>
    <tableColumn id="31" xr3:uid="{A211D917-E251-44BA-B9A5-BED82F8293E3}" name="Latte Macchiato vorige maand" dataDxfId="579">
      <calculatedColumnFormula>Tabel242[[#This Row],[Stand Latte Macchiato einde maand]]</calculatedColumnFormula>
    </tableColumn>
    <tableColumn id="30" xr3:uid="{95590888-439D-452B-A9E9-DD02574BB650}" name="Verbruik Latte Macchiato deze maand" dataDxfId="578">
      <calculatedColumnFormula>Tabel2425678910111213[[#This Row],[Stand Latte Macchiato einde maand]]-Tabel2425678910111213[[#This Row],[Latte Macchiato vorige maand]]</calculatedColumnFormula>
    </tableColumn>
    <tableColumn id="8" xr3:uid="{56F8F422-C9AF-4C87-AEBA-DA25F7B074F1}" name="Stand Coffee Latte einde maand" dataDxfId="577"/>
    <tableColumn id="33" xr3:uid="{7A4EEF0A-22BD-4464-A846-E944124E9ADC}" name="Coffee Latte vorige maand" dataDxfId="576">
      <calculatedColumnFormula>Tabel242[[#This Row],[Stand Coffee Latte einde maand]]</calculatedColumnFormula>
    </tableColumn>
    <tableColumn id="32" xr3:uid="{076F6D64-DB25-44B6-96AF-EFDB7C4BDD7A}" name="Verbruik Coffee Latte deze maand" dataDxfId="575">
      <calculatedColumnFormula>Tabel2425678910111213[[#This Row],[Stand Coffee Latte einde maand]]-Tabel2425678910111213[[#This Row],[Coffee Latte vorige maand]]</calculatedColumnFormula>
    </tableColumn>
    <tableColumn id="9" xr3:uid="{C9D7341D-DD71-45BF-876C-EDC9D1BB551A}" name="Stand Hot Water einde maand" dataDxfId="574"/>
    <tableColumn id="35" xr3:uid="{33D67628-4AFD-4BE5-BA17-D478EF00F984}" name="Hot Water vorige maand" dataDxfId="573">
      <calculatedColumnFormula>Tabel242[[#This Row],[Stand Hot Water einde maand]]</calculatedColumnFormula>
    </tableColumn>
    <tableColumn id="34" xr3:uid="{40793565-418E-430F-8DDD-A72419192D9E}" name="Verbruik Hot Water deze maand" dataDxfId="572">
      <calculatedColumnFormula>Tabel2425678910111213[[#This Row],[Stand Hot Water einde maand]]-Tabel2425678910111213[[#This Row],[Hot Water vorige maand]]</calculatedColumnFormula>
    </tableColumn>
    <tableColumn id="10" xr3:uid="{990E4004-914D-478D-9424-0056BCCF7F47}" name="Stand Cappucino einde maand" dataDxfId="571"/>
    <tableColumn id="36" xr3:uid="{ECBD5A56-1479-461E-AA0F-C578561A6238}" name="Stand Cappucino vorige maand" dataDxfId="570">
      <calculatedColumnFormula>Tabel242[[#This Row],[Stand Cappucino einde maand]]</calculatedColumnFormula>
    </tableColumn>
    <tableColumn id="37" xr3:uid="{56AA9437-E5A5-480B-9BFD-CB48C244368A}" name="Verbruik Cappucino deze maand" dataDxfId="569">
      <calculatedColumnFormula>Tabel2425678910111213[[#This Row],[Stand Cappucino einde maand]]-Tabel2425678910111213[[#This Row],[Stand Cappucino vorige maand]]</calculatedColumnFormula>
    </tableColumn>
    <tableColumn id="11" xr3:uid="{93719A4B-F790-4482-86E9-8DECF29899F3}" name="Stand Cappucino Plantaardig einde maand" dataDxfId="568"/>
    <tableColumn id="39" xr3:uid="{AE750348-215C-4845-96A0-A410F61DD96F}" name="Stand Cappucino Plantaardig vorige maand" dataDxfId="567">
      <calculatedColumnFormula>Tabel242[[#This Row],[Stand Cappucino Plantaardig einde maand]]</calculatedColumnFormula>
    </tableColumn>
    <tableColumn id="38" xr3:uid="{E7453B11-AA4C-4882-8900-BE9F193AEBA0}" name="Verbruik  Cappucino Plantaardig deze maand" dataDxfId="566">
      <calculatedColumnFormula>Tabel2425678910111213[[#This Row],[Stand Cappucino Plantaardig einde maand]]-Tabel2425678910111213[[#This Row],[Stand Cappucino Plantaardig vorige maand]]</calculatedColumnFormula>
    </tableColumn>
    <tableColumn id="12" xr3:uid="{64593869-F2D8-4E51-8D67-6A879DDECDF1}" name="Stand Latte Macchiato Plantaardig einde maand" dataDxfId="565"/>
    <tableColumn id="41" xr3:uid="{B1E6705E-8E39-46C1-8467-59A8AC008DED}" name="Stand Latte Macchiato Plantaardig vorige maand" dataDxfId="564">
      <calculatedColumnFormula>Tabel242[[#This Row],[Stand Latte Macchiato Plantaardig einde maand]]</calculatedColumnFormula>
    </tableColumn>
    <tableColumn id="40" xr3:uid="{E589BB0A-DBE1-436F-9EF8-63C761015D26}" name="Verbruik Stand Latte Macchiato Plantaardig deze maand" dataDxfId="563">
      <calculatedColumnFormula>Tabel2425678910111213[[#This Row],[Stand Latte Macchiato Plantaardig einde maand]]-Tabel2425678910111213[[#This Row],[Stand Latte Macchiato Plantaardig vorige maand]]</calculatedColumnFormula>
    </tableColumn>
    <tableColumn id="13" xr3:uid="{5F4C9B24-B32A-4196-96E1-171C4BEBCD63}" name="Subtotaal koffieautomaten"/>
    <tableColumn id="14" xr3:uid="{CD58AD11-5941-40B3-8E28-E92789200102}" name="Stand Kamertemp liter einde maand" dataDxfId="562"/>
    <tableColumn id="42" xr3:uid="{017F40DE-8C2F-4AC3-B379-098466DDD944}" name="Stand Kamertemp liter vorige maand" dataDxfId="561">
      <calculatedColumnFormula>Tabel242[[#This Row],[Stand Kamertemp liter einde maand]]</calculatedColumnFormula>
    </tableColumn>
    <tableColumn id="43" xr3:uid="{8DF30134-E708-4452-8828-AAEF0A516AC8}" name="Verbruik Kamertemp liter deze maand" dataDxfId="560">
      <calculatedColumnFormula>Tabel2425678910111213[[#This Row],[Stand Kamertemp liter einde maand]]-Tabel2425678910111213[[#This Row],[Stand Kamertemp liter vorige maand]]</calculatedColumnFormula>
    </tableColumn>
    <tableColumn id="15" xr3:uid="{C5BF9428-2506-4861-8BBD-5567EA6C8289}" name="Aantal consumpties Kamertemp deze maand" dataDxfId="559"/>
    <tableColumn id="16" xr3:uid="{411CF1CF-0131-45FA-B291-354855907A1B}" name="Stand Gekoeld liter einde maand" dataDxfId="558"/>
    <tableColumn id="45" xr3:uid="{B28FF01C-DF8E-4B54-8207-1F760423E0E0}" name="Stand Gekoeld liter vorige maand" dataDxfId="557">
      <calculatedColumnFormula>Tabel242[[#This Row],[Stand Gekoeld liter einde maand]]</calculatedColumnFormula>
    </tableColumn>
    <tableColumn id="44" xr3:uid="{208215F4-423A-4B81-B1DE-94782F716B9B}" name="Verbruik Gekoeld liter deze maand" dataDxfId="556">
      <calculatedColumnFormula>Tabel2425678910111213[[#This Row],[Stand Gekoeld liter einde maand]]-Tabel2425678910111213[[#This Row],[Stand Gekoeld liter vorige maand]]</calculatedColumnFormula>
    </tableColumn>
    <tableColumn id="17" xr3:uid="{CD46391B-AD19-4DA3-B70E-C4BE3B25321D}" name="Aantal consumpties gekoeld water deze maand" dataDxfId="555"/>
    <tableColumn id="18" xr3:uid="{871C7295-B0CD-4254-AB32-1D0D5DB732CF}" name="Stand Bruisend liter einde maand" dataDxfId="554"/>
    <tableColumn id="46" xr3:uid="{D947130A-363E-4F4C-B591-ABF37FC7FBC7}" name="Stand Bruisend liter vorige maand" dataDxfId="553">
      <calculatedColumnFormula>Tabel242[[#This Row],[Stand Bruisend liter einde maand]]</calculatedColumnFormula>
    </tableColumn>
    <tableColumn id="47" xr3:uid="{84349958-90C6-474E-B324-DE667F4781D2}" name="Verbruik Bruisend liter deze maand" dataDxfId="552">
      <calculatedColumnFormula>Tabel2425678910111213[[#This Row],[Stand Bruisend liter einde maand]]-Tabel2425678910111213[[#This Row],[Stand Bruisend liter vorige maand]]</calculatedColumnFormula>
    </tableColumn>
    <tableColumn id="19" xr3:uid="{28BCDCAD-089C-4397-B17E-38E399340FB8}" name="aantal consumpties Bruisend water deze maand" dataDxfId="551"/>
    <tableColumn id="20" xr3:uid="{A6515625-8A0D-4C65-8BE7-8ABCDEA00F97}" name="Stand licht bruisend liter einde maand" dataDxfId="550"/>
    <tableColumn id="49" xr3:uid="{B7B0DA00-0BC3-4395-8DF7-E09EA86F120B}" name="Stand licht bruisend liter vorige maand" dataDxfId="549">
      <calculatedColumnFormula>Tabel242[[#This Row],[Stand licht bruisend liter einde maand]]</calculatedColumnFormula>
    </tableColumn>
    <tableColumn id="48" xr3:uid="{91A439C4-957C-481D-8A53-0AE3504BA4F1}" name="Verbruik licht bruisend liter deze maand" dataDxfId="548">
      <calculatedColumnFormula>Tabel2425678910111213[[#This Row],[Stand licht bruisend liter einde maand]]-Tabel2425678910111213[[#This Row],[Stand licht bruisend liter vorige maand]]</calculatedColumnFormula>
    </tableColumn>
    <tableColumn id="21" xr3:uid="{72EE7085-529B-44BD-88D2-0E7949EF58BF}" name="Aantal consumpties licht bruisend water deze maand" dataDxfId="547"/>
    <tableColumn id="22" xr3:uid="{702927CA-51F5-4125-A8B0-F3E31C25F3EA}" name="Stand heet water liter einde maand" dataDxfId="546"/>
    <tableColumn id="51" xr3:uid="{85D7208B-11B5-464E-97DF-5D53CEF96349}" name="Stand heet water liter vorige maand" dataDxfId="545">
      <calculatedColumnFormula>Tabel242[[#This Row],[Stand heet water liter einde maand]]</calculatedColumnFormula>
    </tableColumn>
    <tableColumn id="50" xr3:uid="{718D3BF4-2D39-4F07-A87D-3F1939FD2827}" name="Verbruik heet Water liter deze maand " dataDxfId="544">
      <calculatedColumnFormula>Tabel2425678910111213[[#This Row],[Stand heet water liter einde maand]]-Tabel2425678910111213[[#This Row],[Stand heet water liter vorige maand]]</calculatedColumnFormula>
    </tableColumn>
    <tableColumn id="23" xr3:uid="{CE288F24-6BD2-4D31-AD05-721AFD584DA8}" name="Aantal consumpties heet water deze maand" dataDxfId="543"/>
    <tableColumn id="24" xr3:uid="{48AC0B96-2DAE-42EF-A91A-8410841C3703}" name="Subtotaal waterbar in consumpties" dataDxfId="542"/>
    <tableColumn id="25" xr3:uid="{3BA2A186-41CA-4746-8A97-06FB98DC7CF0}" name="Grand totaal" dataDxfId="541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FBD6AAC8-3F80-482C-9D26-11D2267A7337}" name="Tabel242567891011121314151716181921202223" displayName="Tabel242567891011121314151716181921202223" ref="A2:AY66" totalsRowShown="0" headerRowDxfId="540">
  <autoFilter ref="A2:AY66" xr:uid="{A70EF718-F10B-4779-A138-DEDC58180FB0}"/>
  <sortState xmlns:xlrd2="http://schemas.microsoft.com/office/spreadsheetml/2017/richdata2" ref="A3:AY66">
    <sortCondition ref="B2:B66"/>
  </sortState>
  <tableColumns count="51">
    <tableColumn id="1" xr3:uid="{7188D6ED-D646-46F7-8A5B-E7082438F99B}" name="Verdieping" dataDxfId="539"/>
    <tableColumn id="2" xr3:uid="{8EB9977F-5199-41CE-8AF2-B4032C7051E0}" name="Automatennaam"/>
    <tableColumn id="3" xr3:uid="{C5B6EE1D-D819-430C-89AB-9D243B3A20BB}" name="Type concept"/>
    <tableColumn id="4" xr3:uid="{2A9D114A-5894-469B-8F9E-9B597808C2DA}" name="Serienummer"/>
    <tableColumn id="5" xr3:uid="{EB544014-A390-482D-9242-C8F3DF3F6A27}" name="Stand Coffee einde maand" dataDxfId="538"/>
    <tableColumn id="27" xr3:uid="{0783AF68-73F0-4CE9-8D26-D543B1421B51}" name="Coffee vorige maand" dataDxfId="537">
      <calculatedColumnFormula>Tabel2[[#This Row],[Coffee]]</calculatedColumnFormula>
    </tableColumn>
    <tableColumn id="26" xr3:uid="{1A2B755B-3297-41FE-9733-F07E2D26BB9D}" name="Verbruik Coffee deze maand" dataDxfId="536">
      <calculatedColumnFormula>Tabel242567891011121314151716181921202223[[#This Row],[Stand Coffee einde maand]]-Tabel242567891011121314151716181921202223[[#This Row],[Coffee vorige maand]]</calculatedColumnFormula>
    </tableColumn>
    <tableColumn id="6" xr3:uid="{3A218DE7-0D70-43A9-9B65-6EE6660E3131}" name="Stand Espresso Einde maand" dataDxfId="535"/>
    <tableColumn id="29" xr3:uid="{99074AD7-DC82-46EF-9C6E-57A4BE98E51B}" name="Espresso vorige maand" dataDxfId="534">
      <calculatedColumnFormula>Tabel2[[#This Row],[Espresso]]</calculatedColumnFormula>
    </tableColumn>
    <tableColumn id="28" xr3:uid="{FA0BB823-AF93-4511-B1F6-C74BF457C3C3}" name="Verbruik Espresso deze maand" dataDxfId="533">
      <calculatedColumnFormula>Tabel242567891011121314151716181921202223[[#This Row],[Stand Espresso Einde maand]]-Tabel242567891011121314151716181921202223[[#This Row],[Espresso vorige maand]]</calculatedColumnFormula>
    </tableColumn>
    <tableColumn id="7" xr3:uid="{89B10F17-81CD-44D3-98F2-AEE2E5637952}" name="Stand Latte Macchiato einde maand" dataDxfId="532"/>
    <tableColumn id="31" xr3:uid="{9DB4CEC8-EC4A-4A90-A118-E4E4FF64220B}" name="Latte Macchiato vorige maand" dataDxfId="531">
      <calculatedColumnFormula>Tabel242[[#This Row],[Stand Latte Macchiato einde maand]]</calculatedColumnFormula>
    </tableColumn>
    <tableColumn id="30" xr3:uid="{BFBEB1B0-096A-4FF1-9A30-C71F0B235A52}" name="Verbruik Latte Macchiato deze maand" dataDxfId="530">
      <calculatedColumnFormula>Tabel242567891011121314151716181921202223[[#This Row],[Stand Latte Macchiato einde maand]]-Tabel242567891011121314151716181921202223[[#This Row],[Latte Macchiato vorige maand]]</calculatedColumnFormula>
    </tableColumn>
    <tableColumn id="8" xr3:uid="{4AF08C95-CE76-48F6-823C-B0618E0B146B}" name="Stand Coffee Latte einde maand" dataDxfId="529"/>
    <tableColumn id="33" xr3:uid="{6A40DAEE-1AFC-44DE-A01E-CB0BA2DD85DF}" name="Coffee Latte vorige maand" dataDxfId="528">
      <calculatedColumnFormula>Tabel242[[#This Row],[Stand Coffee Latte einde maand]]</calculatedColumnFormula>
    </tableColumn>
    <tableColumn id="32" xr3:uid="{34CD8733-E226-4600-9DE1-4295BAAD1834}" name="Verbruik Coffee Latte deze maand" dataDxfId="527">
      <calculatedColumnFormula>Tabel242567891011121314151716181921202223[[#This Row],[Stand Coffee Latte einde maand]]-Tabel242567891011121314151716181921202223[[#This Row],[Coffee Latte vorige maand]]</calculatedColumnFormula>
    </tableColumn>
    <tableColumn id="9" xr3:uid="{FEF3D0C6-10CA-4831-8FED-9ED0AF51BF97}" name="Stand Hot Water einde maand" dataDxfId="526"/>
    <tableColumn id="35" xr3:uid="{3D742B41-4CBC-4E6F-9BC2-B6DC248AF723}" name="Hot Water vorige maand" dataDxfId="525">
      <calculatedColumnFormula>Tabel242[[#This Row],[Stand Hot Water einde maand]]</calculatedColumnFormula>
    </tableColumn>
    <tableColumn id="34" xr3:uid="{E965F56B-7A6E-4574-A764-2A6F1E4286FC}" name="Verbruik Hot Water deze maand" dataDxfId="524">
      <calculatedColumnFormula>Tabel242567891011121314151716181921202223[[#This Row],[Stand Hot Water einde maand]]-Tabel242567891011121314151716181921202223[[#This Row],[Hot Water vorige maand]]</calculatedColumnFormula>
    </tableColumn>
    <tableColumn id="10" xr3:uid="{8F4B0911-017D-476B-85C0-8F7A675E5C84}" name="Stand Cappucino einde maand" dataDxfId="523"/>
    <tableColumn id="36" xr3:uid="{9312A803-91EB-4255-8892-1B76B20539FC}" name="Stand Cappucino vorige maand" dataDxfId="522">
      <calculatedColumnFormula>Tabel242[[#This Row],[Stand Cappucino einde maand]]</calculatedColumnFormula>
    </tableColumn>
    <tableColumn id="37" xr3:uid="{DEA90ADE-03EC-4E40-9F63-17EC755342C2}" name="Verbruik Cappucino deze maand" dataDxfId="521">
      <calculatedColumnFormula>Tabel242567891011121314151716181921202223[[#This Row],[Stand Cappucino einde maand]]-Tabel242567891011121314151716181921202223[[#This Row],[Stand Cappucino vorige maand]]</calculatedColumnFormula>
    </tableColumn>
    <tableColumn id="11" xr3:uid="{F64778EA-691A-46CA-A675-875FBCD1E7E9}" name="Stand Cappucino Plantaardig einde maand" dataDxfId="520"/>
    <tableColumn id="39" xr3:uid="{098A6B53-C524-423B-8606-E452F74992D3}" name="Stand Cappucino Plantaardig vorige maand" dataDxfId="519">
      <calculatedColumnFormula>Tabel242[[#This Row],[Stand Cappucino Plantaardig einde maand]]</calculatedColumnFormula>
    </tableColumn>
    <tableColumn id="38" xr3:uid="{0E452B11-508D-4062-8FF1-3B21921867BF}" name="Verbruik  Cappucino Plantaardig deze maand" dataDxfId="518">
      <calculatedColumnFormula>Tabel242567891011121314151716181921202223[[#This Row],[Stand Cappucino Plantaardig einde maand]]-Tabel242567891011121314151716181921202223[[#This Row],[Stand Cappucino Plantaardig vorige maand]]</calculatedColumnFormula>
    </tableColumn>
    <tableColumn id="12" xr3:uid="{9EFD82A3-BA77-40D7-9594-AD73AFDF97B6}" name="Stand Latte Macchiato Plantaardig einde maand" dataDxfId="517"/>
    <tableColumn id="41" xr3:uid="{E10662CE-6453-464F-851C-59AEED7B600B}" name="Stand Latte Macchiato Plantaardig vorige maand" dataDxfId="516">
      <calculatedColumnFormula>Tabel242[[#This Row],[Stand Latte Macchiato Plantaardig einde maand]]</calculatedColumnFormula>
    </tableColumn>
    <tableColumn id="40" xr3:uid="{EBB34400-2154-4072-BE5E-7E168028E0F2}" name="Verbruik Stand Latte Macchiato Plantaardig deze maand" dataDxfId="515">
      <calculatedColumnFormula>Tabel242567891011121314151716181921202223[[#This Row],[Stand Latte Macchiato Plantaardig einde maand]]-Tabel242567891011121314151716181921202223[[#This Row],[Stand Latte Macchiato Plantaardig vorige maand]]</calculatedColumnFormula>
    </tableColumn>
    <tableColumn id="13" xr3:uid="{4B69FE2C-BAB5-46EB-B695-7EACB43BF62D}" name="Subtotaal koffieautomaten" dataDxfId="514"/>
    <tableColumn id="14" xr3:uid="{9D3E6FAB-3B9F-47B0-9735-4A7A693FF25B}" name="Stand Kamertemp liter einde maand" dataDxfId="513"/>
    <tableColumn id="42" xr3:uid="{95F99376-5351-4CA9-A786-A3EA5E01E000}" name="Stand Kamertemp liter vorige maand" dataDxfId="512"/>
    <tableColumn id="43" xr3:uid="{68FBD684-F7E7-452C-B098-693E293FC6A2}" name="Verbruik Kamertemp liter deze maand" dataDxfId="511"/>
    <tableColumn id="15" xr3:uid="{D9FA4462-5548-41FA-B78A-575E0DE9B3CE}" name="Aantal consumpties Kamertemp deze maand" dataDxfId="510"/>
    <tableColumn id="16" xr3:uid="{304A55EA-0905-4A2D-AE84-A0446023C524}" name="Stand Gekoeld liter einde maand" dataDxfId="509"/>
    <tableColumn id="45" xr3:uid="{6382ACF2-2F0A-4CA4-9E74-3275ADEC374F}" name="Stand Gekoeld liter vorige maand" dataDxfId="508"/>
    <tableColumn id="44" xr3:uid="{AE50CFD5-2E1D-4C9D-9DDB-DD85CF3AAD35}" name="Verbruik Gekoeld liter deze maand" dataDxfId="507"/>
    <tableColumn id="17" xr3:uid="{93CFA5F3-4EC8-41FB-B3BC-F17CE4D9A206}" name="Aantal consumpties gekoeld water deze maand"/>
    <tableColumn id="18" xr3:uid="{7EADA24D-BE38-489F-87B8-DE03076FFA57}" name="Stand Bruisend liter einde maand" dataDxfId="506"/>
    <tableColumn id="46" xr3:uid="{9D321C9D-F71C-436E-BDFC-F1BF3865D933}" name="Stand Bruisend liter vorige maand" dataDxfId="505"/>
    <tableColumn id="47" xr3:uid="{85B4862A-3B7F-4D51-AE75-5A070DB88C6B}" name="Verbruik Bruisend liter deze maand" dataDxfId="504"/>
    <tableColumn id="19" xr3:uid="{FC666E42-D020-4583-81C7-3D781E3254ED}" name="aantal consumpties Bruisend water deze maand"/>
    <tableColumn id="20" xr3:uid="{BD13BCAA-0D62-403D-9FDA-2746DCB279A8}" name="Stand licht bruisend liter einde maand" dataDxfId="503"/>
    <tableColumn id="49" xr3:uid="{B4B108F4-917C-4129-82CB-C412A644E1F5}" name="Stand licht bruisend liter vorige maand" dataDxfId="502"/>
    <tableColumn id="48" xr3:uid="{6D1F26E5-16E8-4EEF-AE19-BDD617DBD1F1}" name="Verbruik licht bruisend liter deze maand" dataDxfId="501"/>
    <tableColumn id="21" xr3:uid="{65EAD53A-1EE4-4505-AB2A-33C43D58649D}" name="Aantal consumpties licht bruisend water deze maand"/>
    <tableColumn id="22" xr3:uid="{F9CB99AC-E390-45EE-892E-31B5A76B207A}" name="Stand heet water liter einde maand" dataDxfId="500"/>
    <tableColumn id="51" xr3:uid="{38A350C4-4B67-4B73-96F1-757E1092EBD3}" name="Stand heet water liter vorige maand" dataDxfId="499"/>
    <tableColumn id="50" xr3:uid="{C562D587-2320-4AC0-BBD8-EB20D1D901C0}" name="Verbruik heet Water liter deze maand " dataDxfId="498"/>
    <tableColumn id="23" xr3:uid="{9F18CD5F-FF3A-44C1-8E2C-BC488453DB22}" name="Aantal consumpties heet water deze maand" dataDxfId="497"/>
    <tableColumn id="24" xr3:uid="{20107D8A-4B9C-42B0-812A-A1DA1622516D}" name="Subtotaal waterbar in consumpties" dataDxfId="496"/>
    <tableColumn id="25" xr3:uid="{E1367E6C-2558-444F-8336-E4577F7FF51B}" name="Grand totaal" dataDxfId="495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7B72B8F7-FC93-4C91-90A1-62236DD0B78A}" name="Tabel24256789101112131415171618192120222326" displayName="Tabel24256789101112131415171618192120222326" ref="A2:AY66" totalsRowShown="0" headerRowDxfId="494">
  <autoFilter ref="A2:AY66" xr:uid="{A70EF718-F10B-4779-A138-DEDC58180FB0}"/>
  <sortState xmlns:xlrd2="http://schemas.microsoft.com/office/spreadsheetml/2017/richdata2" ref="A3:AY66">
    <sortCondition ref="B2:B66"/>
  </sortState>
  <tableColumns count="51">
    <tableColumn id="1" xr3:uid="{EE95BC31-8696-48FC-8C79-2F70687D4439}" name="Verdieping" dataDxfId="493"/>
    <tableColumn id="2" xr3:uid="{2FF0812F-5D8D-44DB-B33A-1FB98B494CCD}" name="Automatennaam"/>
    <tableColumn id="3" xr3:uid="{64F14704-E048-4DDE-8F9A-A935B38F9724}" name="Type concept"/>
    <tableColumn id="4" xr3:uid="{A0E58B01-FDC8-4E5F-B674-62F9FC978F59}" name="Serienummer"/>
    <tableColumn id="5" xr3:uid="{4ECB7920-AD59-4E85-BFAB-DE99A835A9F4}" name="Stand Coffee einde maand" dataDxfId="492"/>
    <tableColumn id="27" xr3:uid="{F318F900-D506-48C5-B556-F73E9DC63193}" name="Coffee vorige maand" dataDxfId="491">
      <calculatedColumnFormula>Tabel2[[#This Row],[Coffee]]</calculatedColumnFormula>
    </tableColumn>
    <tableColumn id="26" xr3:uid="{130205B3-48AD-4915-B93F-197A86B6BA37}" name="Verbruik Coffee deze maand" dataDxfId="490">
      <calculatedColumnFormula>Tabel24256789101112131415171618192120222326[[#This Row],[Stand Coffee einde maand]]-Tabel24256789101112131415171618192120222326[[#This Row],[Coffee vorige maand]]</calculatedColumnFormula>
    </tableColumn>
    <tableColumn id="6" xr3:uid="{42CBA1C9-2E93-468F-913B-DAF1ED2F08B9}" name="Stand Espresso Einde maand" dataDxfId="489"/>
    <tableColumn id="29" xr3:uid="{73CC581B-8BEC-4212-B585-62AADA63F85C}" name="Espresso vorige maand" dataDxfId="488">
      <calculatedColumnFormula>Tabel2[[#This Row],[Espresso]]</calculatedColumnFormula>
    </tableColumn>
    <tableColumn id="28" xr3:uid="{93367D13-9FFA-4F5B-9B99-06CF0CB1E661}" name="Verbruik Espresso deze maand" dataDxfId="487">
      <calculatedColumnFormula>Tabel24256789101112131415171618192120222326[[#This Row],[Stand Espresso Einde maand]]-Tabel24256789101112131415171618192120222326[[#This Row],[Espresso vorige maand]]</calculatedColumnFormula>
    </tableColumn>
    <tableColumn id="7" xr3:uid="{2B356D59-7DD9-48F5-B924-E7B0D7992B36}" name="Stand Latte Macchiato einde maand" dataDxfId="486"/>
    <tableColumn id="31" xr3:uid="{905E8B6F-4FDD-4AED-878C-696DA2750601}" name="Latte Macchiato vorige maand" dataDxfId="485">
      <calculatedColumnFormula>Tabel242[[#This Row],[Stand Latte Macchiato einde maand]]</calculatedColumnFormula>
    </tableColumn>
    <tableColumn id="30" xr3:uid="{7D6CDC26-4A4B-4739-A4FF-03F3FDCCCA5F}" name="Verbruik Latte Macchiato deze maand" dataDxfId="484">
      <calculatedColumnFormula>Tabel24256789101112131415171618192120222326[[#This Row],[Stand Latte Macchiato einde maand]]-Tabel24256789101112131415171618192120222326[[#This Row],[Latte Macchiato vorige maand]]</calculatedColumnFormula>
    </tableColumn>
    <tableColumn id="8" xr3:uid="{DB16102E-23D8-44EB-A20F-E13C13FBA86F}" name="Stand Coffee Latte einde maand" dataDxfId="483"/>
    <tableColumn id="33" xr3:uid="{43C1D12D-E2E8-436A-A6CC-975593C1184B}" name="Coffee Latte vorige maand" dataDxfId="482">
      <calculatedColumnFormula>Tabel242[[#This Row],[Stand Coffee Latte einde maand]]</calculatedColumnFormula>
    </tableColumn>
    <tableColumn id="32" xr3:uid="{A306DC81-E0AD-4192-8699-87BB83A77E66}" name="Verbruik Coffee Latte deze maand" dataDxfId="481">
      <calculatedColumnFormula>Tabel24256789101112131415171618192120222326[[#This Row],[Stand Coffee Latte einde maand]]-Tabel24256789101112131415171618192120222326[[#This Row],[Coffee Latte vorige maand]]</calculatedColumnFormula>
    </tableColumn>
    <tableColumn id="9" xr3:uid="{79542B96-341D-45B2-B3B8-F62A7CC4077D}" name="Stand Hot Water einde maand" dataDxfId="480"/>
    <tableColumn id="35" xr3:uid="{ACA47408-7E5A-4461-91FA-48C52785D42E}" name="Hot Water vorige maand" dataDxfId="479">
      <calculatedColumnFormula>Tabel242[[#This Row],[Stand Hot Water einde maand]]</calculatedColumnFormula>
    </tableColumn>
    <tableColumn id="34" xr3:uid="{386D19FD-4844-4167-879B-6C27A4F4D6D4}" name="Verbruik Hot Water deze maand" dataDxfId="478">
      <calculatedColumnFormula>Tabel24256789101112131415171618192120222326[[#This Row],[Stand Hot Water einde maand]]-Tabel24256789101112131415171618192120222326[[#This Row],[Hot Water vorige maand]]</calculatedColumnFormula>
    </tableColumn>
    <tableColumn id="10" xr3:uid="{0DB28301-D238-405F-AFD6-A8101F756DE7}" name="Stand Cappucino einde maand" dataDxfId="477"/>
    <tableColumn id="36" xr3:uid="{F0D41392-F1D7-4033-AEFC-0225192605B9}" name="Stand Cappucino vorige maand" dataDxfId="476">
      <calculatedColumnFormula>Tabel242[[#This Row],[Stand Cappucino einde maand]]</calculatedColumnFormula>
    </tableColumn>
    <tableColumn id="37" xr3:uid="{1F2D2848-60A3-481F-B03A-97721C7E7D71}" name="Verbruik Cappucino deze maand" dataDxfId="475">
      <calculatedColumnFormula>Tabel24256789101112131415171618192120222326[[#This Row],[Stand Cappucino einde maand]]-Tabel24256789101112131415171618192120222326[[#This Row],[Stand Cappucino vorige maand]]</calculatedColumnFormula>
    </tableColumn>
    <tableColumn id="11" xr3:uid="{E94755D6-BACF-4735-9FED-2AA7953EDD2B}" name="Stand Cappucino Plantaardig einde maand" dataDxfId="474"/>
    <tableColumn id="39" xr3:uid="{6B4279DD-FEA7-4B4A-ADDE-EE764C6F37EA}" name="Stand Cappucino Plantaardig vorige maand" dataDxfId="473">
      <calculatedColumnFormula>Tabel242[[#This Row],[Stand Cappucino Plantaardig einde maand]]</calculatedColumnFormula>
    </tableColumn>
    <tableColumn id="38" xr3:uid="{484A936E-1209-41B1-8682-295FA4989906}" name="Verbruik  Cappucino Plantaardig deze maand" dataDxfId="472">
      <calculatedColumnFormula>Tabel24256789101112131415171618192120222326[[#This Row],[Stand Cappucino Plantaardig einde maand]]-Tabel24256789101112131415171618192120222326[[#This Row],[Stand Cappucino Plantaardig vorige maand]]</calculatedColumnFormula>
    </tableColumn>
    <tableColumn id="12" xr3:uid="{F49A33FD-2D26-4AE9-9573-759C6597BF27}" name="Stand Latte Macchiato Plantaardig einde maand" dataDxfId="471"/>
    <tableColumn id="41" xr3:uid="{B2BC1484-790C-4059-AD67-27B4DEA0E2E8}" name="Stand Latte Macchiato Plantaardig vorige maand" dataDxfId="470">
      <calculatedColumnFormula>Tabel242[[#This Row],[Stand Latte Macchiato Plantaardig einde maand]]</calculatedColumnFormula>
    </tableColumn>
    <tableColumn id="40" xr3:uid="{5AE86AF4-56E3-4653-BDB6-16D0D750493A}" name="Verbruik Stand Latte Macchiato Plantaardig deze maand" dataDxfId="469">
      <calculatedColumnFormula>Tabel24256789101112131415171618192120222326[[#This Row],[Stand Latte Macchiato Plantaardig einde maand]]-Tabel24256789101112131415171618192120222326[[#This Row],[Stand Latte Macchiato Plantaardig vorige maand]]</calculatedColumnFormula>
    </tableColumn>
    <tableColumn id="13" xr3:uid="{BFA60E4D-AEDE-475A-98F0-72A2E5072D40}" name="Subtotaal koffieautomaten" dataDxfId="468"/>
    <tableColumn id="14" xr3:uid="{9E32C5AE-D8C5-4BCC-9B07-4FC810EA1FA5}" name="Stand Kamertemp liter einde maand" dataDxfId="467"/>
    <tableColumn id="42" xr3:uid="{2C972F94-CA53-4F61-9C89-A498E9D4F27C}" name="Stand Kamertemp liter vorige maand" dataDxfId="466"/>
    <tableColumn id="43" xr3:uid="{239A607A-D80F-4916-9AF9-FBC803B5D00C}" name="Verbruik Kamertemp liter deze maand" dataDxfId="465"/>
    <tableColumn id="15" xr3:uid="{E81A3E25-82E1-49DE-AADB-7F4CD9AF305F}" name="Aantal consumpties Kamertemp deze maand"/>
    <tableColumn id="16" xr3:uid="{400D5C8E-2354-4836-8CF4-83EF837A8166}" name="Stand Gekoeld liter einde maand" dataDxfId="464"/>
    <tableColumn id="45" xr3:uid="{B110A36A-17D0-4D13-A8CC-F88E2C341027}" name="Stand Gekoeld liter vorige maand" dataDxfId="463"/>
    <tableColumn id="44" xr3:uid="{ABF271E8-0565-4A00-85CB-6A57D3D2671C}" name="Verbruik Gekoeld liter deze maand" dataDxfId="462"/>
    <tableColumn id="17" xr3:uid="{5067B795-FD6A-4E85-9965-198D2FECC73B}" name="Aantal consumpties gekoeld water deze maand"/>
    <tableColumn id="18" xr3:uid="{C6EF8789-06F8-43F9-BA11-25C4383CA6DA}" name="Stand Bruisend liter einde maand" dataDxfId="461"/>
    <tableColumn id="46" xr3:uid="{E92A1E0C-136D-49DC-9396-ABAAFE77432A}" name="Stand Bruisend liter vorige maand" dataDxfId="460"/>
    <tableColumn id="47" xr3:uid="{D64B0FF0-0FAE-4B59-94F4-2F397D6629F5}" name="Verbruik Bruisend liter deze maand" dataDxfId="459"/>
    <tableColumn id="19" xr3:uid="{3F88CB0C-4CCA-45E3-9620-BD8BD065A1B3}" name="aantal consumpties Bruisend water deze maand"/>
    <tableColumn id="20" xr3:uid="{57D7230E-4349-4E03-94FC-094B58A8F5C1}" name="Stand licht bruisend liter einde maand" dataDxfId="458"/>
    <tableColumn id="49" xr3:uid="{3CEC45CE-2E43-4A11-84CE-E7A03CC5DED7}" name="Stand licht bruisend liter vorige maand" dataDxfId="457"/>
    <tableColumn id="48" xr3:uid="{D9F63C5F-840C-4E0F-8B3C-AEDF1947F016}" name="Verbruik licht bruisend liter deze maand" dataDxfId="456"/>
    <tableColumn id="21" xr3:uid="{5F0B56F0-468C-4CA4-AA4C-7E71AD57D66A}" name="Aantal consumpties licht bruisend water deze maand"/>
    <tableColumn id="22" xr3:uid="{A404D328-6FE0-40DB-889F-777E737715C5}" name="Stand heet water liter einde maand" dataDxfId="455"/>
    <tableColumn id="51" xr3:uid="{FBD845A5-BE53-425D-A38C-A31DF172BB08}" name="Stand heet water liter vorige maand" dataDxfId="454"/>
    <tableColumn id="50" xr3:uid="{2F27EA76-DFA2-4CE2-9B37-773E837657A0}" name="Verbruik heet Water liter deze maand " dataDxfId="453"/>
    <tableColumn id="23" xr3:uid="{28577296-9A51-4D29-A43D-17278D4D7B05}" name="Aantal consumpties heet water deze maand" dataDxfId="452"/>
    <tableColumn id="24" xr3:uid="{EA100DC5-449C-4FD7-8CED-2710928F0E3F}" name="Subtotaal waterbar in consumpties" dataDxfId="451"/>
    <tableColumn id="25" xr3:uid="{189C731F-F518-4C62-8115-5F61218D1497}" name="Grand totaal" dataDxfId="450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5304F9F8-E7A8-43D9-804A-AFE6B31C8D1C}" name="Tabel2425678910111213141517161819212022232614" displayName="Tabel2425678910111213141517161819212022232614" ref="A2:AY66" totalsRowShown="0" headerRowDxfId="449">
  <autoFilter ref="A2:AY66" xr:uid="{A70EF718-F10B-4779-A138-DEDC58180FB0}"/>
  <sortState xmlns:xlrd2="http://schemas.microsoft.com/office/spreadsheetml/2017/richdata2" ref="A3:AY66">
    <sortCondition ref="B2:B66"/>
  </sortState>
  <tableColumns count="51">
    <tableColumn id="1" xr3:uid="{E4C3CB56-F2EA-4B0A-88BA-FC611108A397}" name="Verdieping" dataDxfId="448"/>
    <tableColumn id="2" xr3:uid="{7599A3FD-A87E-4624-9ED1-5B6406E962B7}" name="Automatennaam"/>
    <tableColumn id="3" xr3:uid="{96875BA7-3316-47BA-B167-AE0CA518840C}" name="Type concept"/>
    <tableColumn id="4" xr3:uid="{E160F7F0-525B-4D8B-9C00-8702FA387DC3}" name="Serienummer"/>
    <tableColumn id="5" xr3:uid="{F4399025-06A9-4B39-9889-65527623EF70}" name="Stand Coffee einde maand" dataDxfId="447"/>
    <tableColumn id="27" xr3:uid="{0E571200-7C98-473F-B9A2-A4A50E8F6FF2}" name="Coffee vorige maand" dataDxfId="446">
      <calculatedColumnFormula>Tabel2[[#This Row],[Coffee]]</calculatedColumnFormula>
    </tableColumn>
    <tableColumn id="26" xr3:uid="{F133200D-EB1C-492C-A17A-92482E5F6047}" name="Verbruik Coffee deze maand" dataDxfId="445">
      <calculatedColumnFormula>Tabel2425678910111213141517161819212022232614[[#This Row],[Stand Coffee einde maand]]-Tabel2425678910111213141517161819212022232614[[#This Row],[Coffee vorige maand]]</calculatedColumnFormula>
    </tableColumn>
    <tableColumn id="6" xr3:uid="{41BA92C5-C00A-4702-AA5F-3C5801C5E814}" name="Stand Espresso Einde maand" dataDxfId="444"/>
    <tableColumn id="29" xr3:uid="{671D7592-EC80-4F78-9FDE-2510D4B9B974}" name="Espresso vorige maand" dataDxfId="443">
      <calculatedColumnFormula>Tabel2[[#This Row],[Espresso]]</calculatedColumnFormula>
    </tableColumn>
    <tableColumn id="28" xr3:uid="{C46DB476-BEA1-4AAC-B8A6-12ED981CE814}" name="Verbruik Espresso deze maand" dataDxfId="442">
      <calculatedColumnFormula>Tabel2425678910111213141517161819212022232614[[#This Row],[Stand Espresso Einde maand]]-Tabel2425678910111213141517161819212022232614[[#This Row],[Espresso vorige maand]]</calculatedColumnFormula>
    </tableColumn>
    <tableColumn id="7" xr3:uid="{1550BE9A-9514-42D1-BD1A-F019DF1F0418}" name="Stand Latte Macchiato einde maand" dataDxfId="441"/>
    <tableColumn id="31" xr3:uid="{71C538AE-A2A2-40AD-8AF6-F18EE2BF27EB}" name="Latte Macchiato vorige maand" dataDxfId="440">
      <calculatedColumnFormula>Tabel242[[#This Row],[Stand Latte Macchiato einde maand]]</calculatedColumnFormula>
    </tableColumn>
    <tableColumn id="30" xr3:uid="{2D85FDD7-783E-462B-8FBB-CE6418BD6908}" name="Verbruik Latte Macchiato deze maand" dataDxfId="439">
      <calculatedColumnFormula>Tabel2425678910111213141517161819212022232614[[#This Row],[Stand Latte Macchiato einde maand]]-Tabel2425678910111213141517161819212022232614[[#This Row],[Latte Macchiato vorige maand]]</calculatedColumnFormula>
    </tableColumn>
    <tableColumn id="8" xr3:uid="{8255C320-0697-401D-AD64-73D3ECEF4984}" name="Stand Coffee Latte einde maand" dataDxfId="438"/>
    <tableColumn id="33" xr3:uid="{5EFA9A13-BDF9-4638-8768-113636920614}" name="Coffee Latte vorige maand" dataDxfId="437">
      <calculatedColumnFormula>Tabel242[[#This Row],[Stand Coffee Latte einde maand]]</calculatedColumnFormula>
    </tableColumn>
    <tableColumn id="32" xr3:uid="{9EB495F3-E15F-4FBD-89E3-F5FBDAE3B319}" name="Verbruik Coffee Latte deze maand" dataDxfId="436">
      <calculatedColumnFormula>Tabel2425678910111213141517161819212022232614[[#This Row],[Stand Coffee Latte einde maand]]-Tabel2425678910111213141517161819212022232614[[#This Row],[Coffee Latte vorige maand]]</calculatedColumnFormula>
    </tableColumn>
    <tableColumn id="9" xr3:uid="{536482F5-E8EE-4CA1-81F8-6B8709AA2CF5}" name="Stand Hot Water einde maand" dataDxfId="435"/>
    <tableColumn id="35" xr3:uid="{B20D55F6-65E5-4860-94BC-71B6D178A4CB}" name="Hot Water vorige maand" dataDxfId="434">
      <calculatedColumnFormula>Tabel242[[#This Row],[Stand Hot Water einde maand]]</calculatedColumnFormula>
    </tableColumn>
    <tableColumn id="34" xr3:uid="{6F483EB9-EE2B-4471-9A92-8B554ED34142}" name="Verbruik Hot Water deze maand" dataDxfId="433">
      <calculatedColumnFormula>Tabel2425678910111213141517161819212022232614[[#This Row],[Stand Hot Water einde maand]]-Tabel2425678910111213141517161819212022232614[[#This Row],[Hot Water vorige maand]]</calculatedColumnFormula>
    </tableColumn>
    <tableColumn id="10" xr3:uid="{041F4DF0-29AF-4E3A-9400-7A9748D23FB1}" name="Stand Cappucino einde maand" dataDxfId="432"/>
    <tableColumn id="36" xr3:uid="{CE46232F-DB8C-4E73-A6B2-80652D9E6BE1}" name="Stand Cappucino vorige maand" dataDxfId="431">
      <calculatedColumnFormula>Tabel242[[#This Row],[Stand Cappucino einde maand]]</calculatedColumnFormula>
    </tableColumn>
    <tableColumn id="37" xr3:uid="{785B65CF-A7AD-4FB8-99C4-01827C4C24D1}" name="Verbruik Cappucino deze maand" dataDxfId="430">
      <calculatedColumnFormula>Tabel2425678910111213141517161819212022232614[[#This Row],[Stand Cappucino einde maand]]-Tabel2425678910111213141517161819212022232614[[#This Row],[Stand Cappucino vorige maand]]</calculatedColumnFormula>
    </tableColumn>
    <tableColumn id="11" xr3:uid="{EE14037C-DE69-46F2-AAE6-6EF3C60DDB9E}" name="Stand Cappucino Plantaardig einde maand" dataDxfId="429"/>
    <tableColumn id="39" xr3:uid="{A2679A44-DC1A-4270-A741-B6A5F7A6A08E}" name="Stand Cappucino Plantaardig vorige maand" dataDxfId="428">
      <calculatedColumnFormula>Tabel242[[#This Row],[Stand Cappucino Plantaardig einde maand]]</calculatedColumnFormula>
    </tableColumn>
    <tableColumn id="38" xr3:uid="{70B74091-A560-4B8D-A42A-9B3DFDE72FC8}" name="Verbruik  Cappucino Plantaardig deze maand" dataDxfId="427">
      <calculatedColumnFormula>Tabel2425678910111213141517161819212022232614[[#This Row],[Stand Cappucino Plantaardig einde maand]]-Tabel2425678910111213141517161819212022232614[[#This Row],[Stand Cappucino Plantaardig vorige maand]]</calculatedColumnFormula>
    </tableColumn>
    <tableColumn id="12" xr3:uid="{C2F4D2D0-33B0-4DE1-90C5-F589820F43A7}" name="Stand Latte Macchiato Plantaardig einde maand" dataDxfId="426"/>
    <tableColumn id="41" xr3:uid="{534493FF-9AB3-41A4-A718-D16B893381B3}" name="Stand Latte Macchiato Plantaardig vorige maand" dataDxfId="425">
      <calculatedColumnFormula>Tabel242[[#This Row],[Stand Latte Macchiato Plantaardig einde maand]]</calculatedColumnFormula>
    </tableColumn>
    <tableColumn id="40" xr3:uid="{3FC213B4-2A8A-43E4-B1BC-DA4D380D9D3F}" name="Verbruik Stand Latte Macchiato Plantaardig deze maand" dataDxfId="424">
      <calculatedColumnFormula>Tabel2425678910111213141517161819212022232614[[#This Row],[Stand Latte Macchiato Plantaardig einde maand]]-Tabel2425678910111213141517161819212022232614[[#This Row],[Stand Latte Macchiato Plantaardig vorige maand]]</calculatedColumnFormula>
    </tableColumn>
    <tableColumn id="13" xr3:uid="{50F6D6A8-048D-413B-940F-AEB39B858EBB}" name="Subtotaal koffieautomaten" dataDxfId="423"/>
    <tableColumn id="14" xr3:uid="{22D438B2-98EB-4DD5-A335-A50DC1162907}" name="Stand Kamertemp liter einde maand" dataDxfId="422"/>
    <tableColumn id="42" xr3:uid="{D5E40160-DA8D-4B3F-92CC-F8237B746A61}" name="Stand Kamertemp liter vorige maand" dataDxfId="421"/>
    <tableColumn id="43" xr3:uid="{93A1CD0E-E00F-4C3C-B925-85204D070022}" name="Verbruik Kamertemp liter deze maand" dataDxfId="420"/>
    <tableColumn id="15" xr3:uid="{D97B28E7-F6E4-41EE-AFC4-86D45E69F541}" name="Aantal consumpties Kamertemp deze maand"/>
    <tableColumn id="16" xr3:uid="{206B125A-DD56-46C1-913D-F28CAAF08D08}" name="Stand Gekoeld liter einde maand" dataDxfId="419"/>
    <tableColumn id="45" xr3:uid="{8165FAB7-E8A9-4109-90F0-D6ED6F29C43F}" name="Stand Gekoeld liter vorige maand" dataDxfId="418"/>
    <tableColumn id="44" xr3:uid="{86342F8A-4A81-4BA6-884A-73E4CD74472F}" name="Verbruik Gekoeld liter deze maand" dataDxfId="417"/>
    <tableColumn id="17" xr3:uid="{0B1460E9-72C4-4F41-92FC-DA5322352DC7}" name="Aantal consumpties gekoeld water deze maand"/>
    <tableColumn id="18" xr3:uid="{EB6C427F-F238-4AEF-9C5B-7FB9532826E4}" name="Stand Bruisend liter einde maand" dataDxfId="416"/>
    <tableColumn id="46" xr3:uid="{BA474BF2-AE03-427C-A9E1-585D5E8DE64D}" name="Stand Bruisend liter vorige maand" dataDxfId="415"/>
    <tableColumn id="47" xr3:uid="{2680A82F-0FB4-4792-9993-0E47A75823B8}" name="Verbruik Bruisend liter deze maand" dataDxfId="414"/>
    <tableColumn id="19" xr3:uid="{27D6E1F2-5E0C-4044-9A8E-266C526701FA}" name="aantal consumpties Bruisend water deze maand"/>
    <tableColumn id="20" xr3:uid="{BDA31B10-B572-4CCA-8971-C4DC90312A5D}" name="Stand licht bruisend liter einde maand" dataDxfId="413"/>
    <tableColumn id="49" xr3:uid="{18CCB8DD-E1A9-4892-A31E-6CC940E2D953}" name="Stand licht bruisend liter vorige maand" dataDxfId="412"/>
    <tableColumn id="48" xr3:uid="{84F11D21-97EA-4A55-9403-161C6B5298A4}" name="Verbruik licht bruisend liter deze maand" dataDxfId="411"/>
    <tableColumn id="21" xr3:uid="{16400C4F-B2CE-41D2-8B8B-143AFA103792}" name="Aantal consumpties licht bruisend water deze maand"/>
    <tableColumn id="22" xr3:uid="{6E88C464-343C-498C-B692-2319A50EFC5E}" name="Stand heet water liter einde maand" dataDxfId="410"/>
    <tableColumn id="51" xr3:uid="{227BD0F0-3E34-4FEA-A3AD-BA260AD56053}" name="Stand heet water liter vorige maand" dataDxfId="409"/>
    <tableColumn id="50" xr3:uid="{0AD7E5AF-47A1-426A-8AF5-92F430144647}" name="Verbruik heet Water liter deze maand " dataDxfId="408"/>
    <tableColumn id="23" xr3:uid="{0AFECD0B-0E72-45C4-A70C-219E9F2C093D}" name="Aantal consumpties heet water deze maand" dataDxfId="407"/>
    <tableColumn id="24" xr3:uid="{F184DF97-C1D8-478F-ABDF-A056FFC6E878}" name="Subtotaal waterbar in consumpties" dataDxfId="406"/>
    <tableColumn id="25" xr3:uid="{AB3449B9-DA53-4AC5-A221-52AEA57B6C00}" name="Grand totaal" dataDxfId="405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7E4B4DAA-4531-4BC3-A748-7500E5D1082A}" name="Tabel242567891011121314151716181921202223261415" displayName="Tabel242567891011121314151716181921202223261415" ref="A2:AY66" totalsRowShown="0" headerRowDxfId="404">
  <autoFilter ref="A2:AY66" xr:uid="{A70EF718-F10B-4779-A138-DEDC58180FB0}"/>
  <sortState xmlns:xlrd2="http://schemas.microsoft.com/office/spreadsheetml/2017/richdata2" ref="A3:AY66">
    <sortCondition ref="B2:B66"/>
  </sortState>
  <tableColumns count="51">
    <tableColumn id="1" xr3:uid="{32013A54-50FB-47E0-A576-B0F8ACE0874A}" name="Verdieping" dataDxfId="403"/>
    <tableColumn id="2" xr3:uid="{D9916400-EBF5-434C-929F-114F116DD1EB}" name="Automatennaam"/>
    <tableColumn id="3" xr3:uid="{DC06B0B7-B4CB-4C83-8BC3-0977BBBEECFE}" name="Type concept"/>
    <tableColumn id="4" xr3:uid="{1AA0A928-ED81-49DE-8C56-99636298E5F7}" name="Serienummer"/>
    <tableColumn id="5" xr3:uid="{A2661178-9795-4CE3-B6DC-05D4D6A97897}" name="Stand Coffee einde maand" dataDxfId="402"/>
    <tableColumn id="27" xr3:uid="{C29723AA-2CC4-4904-99C4-9FA146913A10}" name="Coffee vorige maand" dataDxfId="401">
      <calculatedColumnFormula>Tabel2[[#This Row],[Coffee]]</calculatedColumnFormula>
    </tableColumn>
    <tableColumn id="26" xr3:uid="{D209D731-DA4A-4DBB-90AD-16D3D349940C}" name="Verbruik Coffee deze maand" dataDxfId="400">
      <calculatedColumnFormula>Tabel242567891011121314151716181921202223261415[[#This Row],[Stand Coffee einde maand]]-Tabel242567891011121314151716181921202223261415[[#This Row],[Coffee vorige maand]]</calculatedColumnFormula>
    </tableColumn>
    <tableColumn id="6" xr3:uid="{0BAC8D02-4FE2-433D-9AE7-2A08D34DF4DB}" name="Stand Espresso Einde maand" dataDxfId="399"/>
    <tableColumn id="29" xr3:uid="{979C4667-7CEC-493B-8191-0B8CADD8B7D6}" name="Espresso vorige maand" dataDxfId="398">
      <calculatedColumnFormula>Tabel2[[#This Row],[Espresso]]</calculatedColumnFormula>
    </tableColumn>
    <tableColumn id="28" xr3:uid="{431C4699-11A7-48F2-BFE0-58510ED499EA}" name="Verbruik Espresso deze maand" dataDxfId="397">
      <calculatedColumnFormula>Tabel242567891011121314151716181921202223261415[[#This Row],[Stand Espresso Einde maand]]-Tabel242567891011121314151716181921202223261415[[#This Row],[Espresso vorige maand]]</calculatedColumnFormula>
    </tableColumn>
    <tableColumn id="7" xr3:uid="{4C47BC61-BF7E-4D90-B7D6-A2B82B95A4E4}" name="Stand Latte Macchiato einde maand" dataDxfId="396"/>
    <tableColumn id="31" xr3:uid="{AFB144F6-5B22-4DA1-BDA3-4279F65A761A}" name="Latte Macchiato vorige maand" dataDxfId="395">
      <calculatedColumnFormula>Tabel242[[#This Row],[Stand Latte Macchiato einde maand]]</calculatedColumnFormula>
    </tableColumn>
    <tableColumn id="30" xr3:uid="{CF4AE7D8-F50E-4D2D-B363-086F55F4A45D}" name="Verbruik Latte Macchiato deze maand" dataDxfId="394">
      <calculatedColumnFormula>Tabel242567891011121314151716181921202223261415[[#This Row],[Stand Latte Macchiato einde maand]]-Tabel242567891011121314151716181921202223261415[[#This Row],[Latte Macchiato vorige maand]]</calculatedColumnFormula>
    </tableColumn>
    <tableColumn id="8" xr3:uid="{02852C09-F4FC-4EAA-B4F2-0C244F9E0DA0}" name="Stand Coffee Latte einde maand" dataDxfId="393"/>
    <tableColumn id="33" xr3:uid="{CD48AE74-5D3E-44CB-A59B-05EE860B98A9}" name="Coffee Latte vorige maand" dataDxfId="392">
      <calculatedColumnFormula>Tabel242[[#This Row],[Stand Coffee Latte einde maand]]</calculatedColumnFormula>
    </tableColumn>
    <tableColumn id="32" xr3:uid="{DBB3BAF2-8C3F-4B70-939A-DDE4E9688E8D}" name="Verbruik Coffee Latte deze maand" dataDxfId="391">
      <calculatedColumnFormula>Tabel242567891011121314151716181921202223261415[[#This Row],[Stand Coffee Latte einde maand]]-Tabel242567891011121314151716181921202223261415[[#This Row],[Coffee Latte vorige maand]]</calculatedColumnFormula>
    </tableColumn>
    <tableColumn id="9" xr3:uid="{F89FBFF1-0D4A-4B7E-BE29-E6C660140EBB}" name="Stand Hot Water einde maand" dataDxfId="390"/>
    <tableColumn id="35" xr3:uid="{91CED843-7C0E-414F-A984-62FEAE1204BB}" name="Hot Water vorige maand" dataDxfId="389">
      <calculatedColumnFormula>Tabel242[[#This Row],[Stand Hot Water einde maand]]</calculatedColumnFormula>
    </tableColumn>
    <tableColumn id="34" xr3:uid="{0BDA863C-EC85-4638-8780-868F0B4025D9}" name="Verbruik Hot Water deze maand" dataDxfId="388">
      <calculatedColumnFormula>Tabel242567891011121314151716181921202223261415[[#This Row],[Stand Hot Water einde maand]]-Tabel242567891011121314151716181921202223261415[[#This Row],[Hot Water vorige maand]]</calculatedColumnFormula>
    </tableColumn>
    <tableColumn id="10" xr3:uid="{531EE73E-1DC1-42B1-9F84-0191AC98E44B}" name="Stand Cappucino einde maand" dataDxfId="387"/>
    <tableColumn id="36" xr3:uid="{3CB6F29A-D5A4-45C0-ABAD-00555BE573E6}" name="Stand Cappucino vorige maand" dataDxfId="386">
      <calculatedColumnFormula>Tabel242[[#This Row],[Stand Cappucino einde maand]]</calculatedColumnFormula>
    </tableColumn>
    <tableColumn id="37" xr3:uid="{25E1D8C9-1597-4612-B80B-50630CC4C52D}" name="Verbruik Cappucino deze maand" dataDxfId="385">
      <calculatedColumnFormula>Tabel242567891011121314151716181921202223261415[[#This Row],[Stand Cappucino einde maand]]-Tabel242567891011121314151716181921202223261415[[#This Row],[Stand Cappucino vorige maand]]</calculatedColumnFormula>
    </tableColumn>
    <tableColumn id="11" xr3:uid="{D1EB31A8-D7F4-41BD-98C0-CD295771A5AB}" name="Stand Cappucino Plantaardig einde maand" dataDxfId="384"/>
    <tableColumn id="39" xr3:uid="{A7DD6C8F-7539-4479-9C0C-6CC18116DCCA}" name="Stand Cappucino Plantaardig vorige maand" dataDxfId="383">
      <calculatedColumnFormula>Tabel242[[#This Row],[Stand Cappucino Plantaardig einde maand]]</calculatedColumnFormula>
    </tableColumn>
    <tableColumn id="38" xr3:uid="{10E775F7-15DC-4FBF-BCA3-F9C4F17A2916}" name="Verbruik  Cappucino Plantaardig deze maand" dataDxfId="382">
      <calculatedColumnFormula>Tabel242567891011121314151716181921202223261415[[#This Row],[Stand Cappucino Plantaardig einde maand]]-Tabel242567891011121314151716181921202223261415[[#This Row],[Stand Cappucino Plantaardig vorige maand]]</calculatedColumnFormula>
    </tableColumn>
    <tableColumn id="12" xr3:uid="{72C72959-2C40-46A9-9FAE-573DD4BFB821}" name="Stand Latte Macchiato Plantaardig einde maand" dataDxfId="381"/>
    <tableColumn id="41" xr3:uid="{0386A2DE-827A-426A-A16E-2F46EF1904E5}" name="Stand Latte Macchiato Plantaardig vorige maand" dataDxfId="380">
      <calculatedColumnFormula>Tabel242[[#This Row],[Stand Latte Macchiato Plantaardig einde maand]]</calculatedColumnFormula>
    </tableColumn>
    <tableColumn id="40" xr3:uid="{8739CDE2-7276-43BD-9FB3-E4804F1DEC2E}" name="Verbruik Stand Latte Macchiato Plantaardig deze maand" dataDxfId="379">
      <calculatedColumnFormula>Tabel242567891011121314151716181921202223261415[[#This Row],[Stand Latte Macchiato Plantaardig einde maand]]-Tabel242567891011121314151716181921202223261415[[#This Row],[Stand Latte Macchiato Plantaardig vorige maand]]</calculatedColumnFormula>
    </tableColumn>
    <tableColumn id="13" xr3:uid="{AD76D806-33D3-4F05-8809-6EDF2DD1B4D3}" name="Subtotaal koffieautomaten" dataDxfId="378"/>
    <tableColumn id="14" xr3:uid="{E8EFDFC9-A36D-42E7-8DB0-D96829B85096}" name="Stand Kamertemp liter einde maand" dataDxfId="377"/>
    <tableColumn id="42" xr3:uid="{6068DB47-F672-4D87-B60A-4D54CD5DB9FA}" name="Stand Kamertemp liter vorige maand" dataDxfId="376"/>
    <tableColumn id="43" xr3:uid="{AC54DF0B-C74A-42BF-843E-FF393459AAEB}" name="Verbruik Kamertemp liter deze maand" dataDxfId="375"/>
    <tableColumn id="15" xr3:uid="{043F463E-0872-4251-B146-8D1961E957C2}" name="Aantal consumpties Kamertemp deze maand"/>
    <tableColumn id="16" xr3:uid="{5C7699FF-C54D-448B-8449-2DFDA3162550}" name="Stand Gekoeld liter einde maand" dataDxfId="374"/>
    <tableColumn id="45" xr3:uid="{2ED1EAD4-B95D-4BCA-ADB7-99D7E090EA51}" name="Stand Gekoeld liter vorige maand" dataDxfId="373"/>
    <tableColumn id="44" xr3:uid="{DF61DFE5-7301-479E-B2DE-2FD232519B7D}" name="Verbruik Gekoeld liter deze maand" dataDxfId="372"/>
    <tableColumn id="17" xr3:uid="{894DEE58-A7D7-44DB-A0E9-08F7F2B0DFF3}" name="Aantal consumpties gekoeld water deze maand"/>
    <tableColumn id="18" xr3:uid="{53E91CC2-6F04-4BDC-9F65-A99E07E5DA47}" name="Stand Bruisend liter einde maand" dataDxfId="371"/>
    <tableColumn id="46" xr3:uid="{8513F33A-1860-44F6-82C8-835254B49917}" name="Stand Bruisend liter vorige maand" dataDxfId="370"/>
    <tableColumn id="47" xr3:uid="{0DBD1B3F-3F06-4E82-B051-38C1C7FD5F87}" name="Verbruik Bruisend liter deze maand" dataDxfId="369"/>
    <tableColumn id="19" xr3:uid="{2B95EB7A-DD07-4B02-9268-F056809DBF53}" name="aantal consumpties Bruisend water deze maand"/>
    <tableColumn id="20" xr3:uid="{6A12E50F-B9A1-4AC4-A546-C99F1E356722}" name="Stand licht bruisend liter einde maand" dataDxfId="368"/>
    <tableColumn id="49" xr3:uid="{22C5AA1C-10B2-4A3E-B9AB-7BA51234C200}" name="Stand licht bruisend liter vorige maand" dataDxfId="367"/>
    <tableColumn id="48" xr3:uid="{8FC4DB01-A958-4AB8-8B6B-0369E04703E9}" name="Verbruik licht bruisend liter deze maand" dataDxfId="366"/>
    <tableColumn id="21" xr3:uid="{1AE55B55-84F6-4A24-912A-537045C0CFEF}" name="Aantal consumpties licht bruisend water deze maand"/>
    <tableColumn id="22" xr3:uid="{4A52C0CB-743B-4B03-8F4F-9AED6E916695}" name="Stand heet water liter einde maand" dataDxfId="365"/>
    <tableColumn id="51" xr3:uid="{51B113FD-1A60-4299-A001-D120755C071A}" name="Stand heet water liter vorige maand" dataDxfId="364"/>
    <tableColumn id="50" xr3:uid="{1368B3B2-61C4-4966-8124-84554A6D53E6}" name="Verbruik heet Water liter deze maand " dataDxfId="363"/>
    <tableColumn id="23" xr3:uid="{BC76DB95-0863-4950-9CD7-7B5619B8C7A8}" name="Aantal consumpties heet water deze maand" dataDxfId="362"/>
    <tableColumn id="24" xr3:uid="{86511B4F-F638-4A82-858D-86B79D560729}" name="Subtotaal waterbar in consumpties" dataDxfId="361"/>
    <tableColumn id="25" xr3:uid="{FF93B1DC-DF6B-44F2-8A74-5ADB6CD3E3FB}" name="Grand totaal" dataDxfId="360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2248F856-227E-4F94-91B9-920242A07675}" name="Tabel24256789101112131415171618192120222326141516" displayName="Tabel24256789101112131415171618192120222326141516" ref="A2:AY66" totalsRowShown="0" headerRowDxfId="359">
  <autoFilter ref="A2:AY66" xr:uid="{A70EF718-F10B-4779-A138-DEDC58180FB0}"/>
  <sortState xmlns:xlrd2="http://schemas.microsoft.com/office/spreadsheetml/2017/richdata2" ref="A3:AY66">
    <sortCondition ref="B2:B66"/>
  </sortState>
  <tableColumns count="51">
    <tableColumn id="1" xr3:uid="{D9730553-59D7-4131-AE9E-8215981F4EA3}" name="Verdieping" dataDxfId="358"/>
    <tableColumn id="2" xr3:uid="{D004CF56-B77A-4F58-8470-2D44D20C9951}" name="Automatennaam"/>
    <tableColumn id="3" xr3:uid="{FB680AA1-660B-4E80-8A2E-F26AE61F116E}" name="Type concept"/>
    <tableColumn id="4" xr3:uid="{884BC268-6F5C-4E16-B234-B9516B5DEFE2}" name="Serienummer"/>
    <tableColumn id="5" xr3:uid="{C4B319FE-039B-4E27-AE02-34C605F8FFFC}" name="Stand Coffee einde maand" dataDxfId="357"/>
    <tableColumn id="27" xr3:uid="{19397E3D-E077-4822-8982-981FEFFE40FE}" name="Coffee vorige maand" dataDxfId="356">
      <calculatedColumnFormula>Tabel2[[#This Row],[Coffee]]</calculatedColumnFormula>
    </tableColumn>
    <tableColumn id="26" xr3:uid="{F62FADC6-729E-47CF-BCB7-E87B6C0A243E}" name="Verbruik Coffee deze maand" dataDxfId="355">
      <calculatedColumnFormula>Tabel24256789101112131415171618192120222326141516[[#This Row],[Stand Coffee einde maand]]-Tabel24256789101112131415171618192120222326141516[[#This Row],[Coffee vorige maand]]</calculatedColumnFormula>
    </tableColumn>
    <tableColumn id="6" xr3:uid="{3EC6409E-B89F-4F94-A513-45C31C565853}" name="Stand Espresso Einde maand" dataDxfId="354"/>
    <tableColumn id="29" xr3:uid="{824B9CAA-FEB8-459B-922D-7BD9B785CBFD}" name="Espresso vorige maand" dataDxfId="353">
      <calculatedColumnFormula>Tabel2[[#This Row],[Espresso]]</calculatedColumnFormula>
    </tableColumn>
    <tableColumn id="28" xr3:uid="{8833B322-820C-4077-A59A-DF5463C38604}" name="Verbruik Espresso deze maand" dataDxfId="352">
      <calculatedColumnFormula>Tabel24256789101112131415171618192120222326141516[[#This Row],[Stand Espresso Einde maand]]-Tabel24256789101112131415171618192120222326141516[[#This Row],[Espresso vorige maand]]</calculatedColumnFormula>
    </tableColumn>
    <tableColumn id="7" xr3:uid="{AA69EE6F-133C-458A-9894-5208DBCA3CE9}" name="Stand Latte Macchiato einde maand" dataDxfId="351"/>
    <tableColumn id="31" xr3:uid="{444CDDCF-B5D0-45B3-B178-B37918646C61}" name="Latte Macchiato vorige maand" dataDxfId="350">
      <calculatedColumnFormula>Tabel242[[#This Row],[Stand Latte Macchiato einde maand]]</calculatedColumnFormula>
    </tableColumn>
    <tableColumn id="30" xr3:uid="{C1AA88C1-CF59-4B21-8677-ECD0AD4E0168}" name="Verbruik Latte Macchiato deze maand" dataDxfId="349">
      <calculatedColumnFormula>Tabel24256789101112131415171618192120222326141516[[#This Row],[Stand Latte Macchiato einde maand]]-Tabel24256789101112131415171618192120222326141516[[#This Row],[Latte Macchiato vorige maand]]</calculatedColumnFormula>
    </tableColumn>
    <tableColumn id="8" xr3:uid="{3B7CFE10-A420-4D5D-BB41-18C057247321}" name="Stand Coffee Latte einde maand" dataDxfId="348"/>
    <tableColumn id="33" xr3:uid="{F6A19091-D65F-42F3-99E7-2EE06DE402C9}" name="Coffee Latte vorige maand" dataDxfId="347">
      <calculatedColumnFormula>Tabel242[[#This Row],[Stand Coffee Latte einde maand]]</calculatedColumnFormula>
    </tableColumn>
    <tableColumn id="32" xr3:uid="{28479060-1D35-4C3E-8F55-1E403B1B14A3}" name="Verbruik Coffee Latte deze maand" dataDxfId="346">
      <calculatedColumnFormula>Tabel24256789101112131415171618192120222326141516[[#This Row],[Stand Coffee Latte einde maand]]-Tabel24256789101112131415171618192120222326141516[[#This Row],[Coffee Latte vorige maand]]</calculatedColumnFormula>
    </tableColumn>
    <tableColumn id="9" xr3:uid="{05A2A223-DEBE-45F3-95AF-3B7546975A1D}" name="Stand Hot Water einde maand" dataDxfId="345"/>
    <tableColumn id="35" xr3:uid="{25592A7C-2483-4E78-A033-244508131DA7}" name="Hot Water vorige maand" dataDxfId="344">
      <calculatedColumnFormula>Tabel242[[#This Row],[Stand Hot Water einde maand]]</calculatedColumnFormula>
    </tableColumn>
    <tableColumn id="34" xr3:uid="{F07B747C-6C44-4BFA-B34F-27F7BC20BE93}" name="Verbruik Hot Water deze maand" dataDxfId="343">
      <calculatedColumnFormula>Tabel24256789101112131415171618192120222326141516[[#This Row],[Stand Hot Water einde maand]]-Tabel24256789101112131415171618192120222326141516[[#This Row],[Hot Water vorige maand]]</calculatedColumnFormula>
    </tableColumn>
    <tableColumn id="10" xr3:uid="{5A2D1895-AB36-43AB-B639-F1951925BEA7}" name="Stand Cappucino einde maand" dataDxfId="342"/>
    <tableColumn id="36" xr3:uid="{6F262102-8078-4E72-8999-936C591A29A5}" name="Stand Cappucino vorige maand" dataDxfId="341">
      <calculatedColumnFormula>Tabel242[[#This Row],[Stand Cappucino einde maand]]</calculatedColumnFormula>
    </tableColumn>
    <tableColumn id="37" xr3:uid="{56EA21EF-7AC9-4CA5-9F17-8B2AC25FAE14}" name="Verbruik Cappucino deze maand" dataDxfId="340">
      <calculatedColumnFormula>Tabel24256789101112131415171618192120222326141516[[#This Row],[Stand Cappucino einde maand]]-Tabel24256789101112131415171618192120222326141516[[#This Row],[Stand Cappucino vorige maand]]</calculatedColumnFormula>
    </tableColumn>
    <tableColumn id="11" xr3:uid="{8F759C61-6A16-4335-8548-84B865EF11E6}" name="Stand Cappucino Plantaardig einde maand" dataDxfId="339"/>
    <tableColumn id="39" xr3:uid="{529CECF1-B2DA-4AD9-B848-99E4BD6DB1D4}" name="Stand Cappucino Plantaardig vorige maand" dataDxfId="338">
      <calculatedColumnFormula>Tabel242[[#This Row],[Stand Cappucino Plantaardig einde maand]]</calculatedColumnFormula>
    </tableColumn>
    <tableColumn id="38" xr3:uid="{041A880F-A09E-4D69-85F2-0836EF342AA5}" name="Verbruik  Cappucino Plantaardig deze maand" dataDxfId="337">
      <calculatedColumnFormula>Tabel24256789101112131415171618192120222326141516[[#This Row],[Stand Cappucino Plantaardig einde maand]]-Tabel24256789101112131415171618192120222326141516[[#This Row],[Stand Cappucino Plantaardig vorige maand]]</calculatedColumnFormula>
    </tableColumn>
    <tableColumn id="12" xr3:uid="{A4BFE36A-A1AA-45F7-A25F-846BB4D6AB5C}" name="Stand Latte Macchiato Plantaardig einde maand" dataDxfId="336"/>
    <tableColumn id="41" xr3:uid="{EFFBE4E5-4202-40E0-A997-3EDB15EC584B}" name="Stand Latte Macchiato Plantaardig vorige maand" dataDxfId="335">
      <calculatedColumnFormula>Tabel242[[#This Row],[Stand Latte Macchiato Plantaardig einde maand]]</calculatedColumnFormula>
    </tableColumn>
    <tableColumn id="40" xr3:uid="{C641FFBD-311B-48DE-81CB-CF14508974F2}" name="Verbruik Stand Latte Macchiato Plantaardig deze maand" dataDxfId="334">
      <calculatedColumnFormula>Tabel24256789101112131415171618192120222326141516[[#This Row],[Stand Latte Macchiato Plantaardig einde maand]]-Tabel24256789101112131415171618192120222326141516[[#This Row],[Stand Latte Macchiato Plantaardig vorige maand]]</calculatedColumnFormula>
    </tableColumn>
    <tableColumn id="13" xr3:uid="{7EC601DD-521E-4B70-8942-CEF2F9D24C9C}" name="Subtotaal koffieautomaten" dataDxfId="333"/>
    <tableColumn id="14" xr3:uid="{52F2554F-2456-4CD0-817B-ACEEFD88A1DB}" name="Stand Kamertemp liter einde maand" dataDxfId="332"/>
    <tableColumn id="42" xr3:uid="{BBE04215-E9BB-4631-863D-3AC9FC8A156F}" name="Stand Kamertemp liter vorige maand" dataDxfId="331"/>
    <tableColumn id="43" xr3:uid="{6F5D4D80-47C5-4AFD-8E51-C1A6D50B9FD0}" name="Verbruik Kamertemp liter deze maand" dataDxfId="330"/>
    <tableColumn id="15" xr3:uid="{E63C9E2E-28C8-46DC-A27F-883A9441DE18}" name="Aantal consumpties Kamertemp deze maand"/>
    <tableColumn id="16" xr3:uid="{DB948624-73A5-4BD6-AD2D-8438423558D6}" name="Stand Gekoeld liter einde maand" dataDxfId="329"/>
    <tableColumn id="45" xr3:uid="{7F5CD974-8280-4AFF-BE70-9151CC1A147D}" name="Stand Gekoeld liter vorige maand" dataDxfId="328"/>
    <tableColumn id="44" xr3:uid="{A69CE2B3-62A1-401C-A322-4FCD1F30C79A}" name="Verbruik Gekoeld liter deze maand" dataDxfId="327"/>
    <tableColumn id="17" xr3:uid="{85E122DD-7638-408B-A449-387A403C40C0}" name="Aantal consumpties gekoeld water deze maand"/>
    <tableColumn id="18" xr3:uid="{E74C20B1-32C2-4377-9378-EBE04249653E}" name="Stand Bruisend liter einde maand" dataDxfId="326"/>
    <tableColumn id="46" xr3:uid="{75C7261B-A671-4243-B164-DA58F522E7CE}" name="Stand Bruisend liter vorige maand" dataDxfId="325"/>
    <tableColumn id="47" xr3:uid="{89F78692-0E7E-4701-BE5F-DD9C5F7E57D2}" name="Verbruik Bruisend liter deze maand" dataDxfId="324"/>
    <tableColumn id="19" xr3:uid="{45DBC3A3-F08E-493C-9EAF-652FE8534C10}" name="aantal consumpties Bruisend water deze maand"/>
    <tableColumn id="20" xr3:uid="{7ACF19E7-5ED0-4BA1-8734-C8AD865C6AE8}" name="Stand licht bruisend liter einde maand" dataDxfId="323"/>
    <tableColumn id="49" xr3:uid="{F62108B5-D0F1-44E1-8DC9-F0AA75AF9BDF}" name="Stand licht bruisend liter vorige maand" dataDxfId="322"/>
    <tableColumn id="48" xr3:uid="{D094F089-8B60-4C4D-B74B-E743AE0E98B9}" name="Verbruik licht bruisend liter deze maand" dataDxfId="321"/>
    <tableColumn id="21" xr3:uid="{7CF5BEEC-FEF7-4612-8E96-C69DB4466579}" name="Aantal consumpties licht bruisend water deze maand"/>
    <tableColumn id="22" xr3:uid="{7571F6EE-49BA-4C03-BCAE-759436F505C9}" name="Stand heet water liter einde maand" dataDxfId="320"/>
    <tableColumn id="51" xr3:uid="{AFEB1607-00D4-4DF6-9E49-12B5F27BCFDE}" name="Stand heet water liter vorige maand" dataDxfId="319"/>
    <tableColumn id="50" xr3:uid="{703A5D55-797A-4432-B384-AB0A0B26302D}" name="Verbruik heet Water liter deze maand " dataDxfId="318"/>
    <tableColumn id="23" xr3:uid="{FC4AB8A1-024E-43EE-84FF-78BDD4209666}" name="Aantal consumpties heet water deze maand" dataDxfId="317"/>
    <tableColumn id="24" xr3:uid="{4B356156-0BE6-40C2-9560-1C265B2F8F6E}" name="Subtotaal waterbar in consumpties" dataDxfId="316"/>
    <tableColumn id="25" xr3:uid="{ADE4F9A6-DDC7-4171-971F-482101BA6FA1}" name="Grand totaal" dataDxfId="315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A3EB2D5B-FCF2-4B39-92C0-D8673B9D7A66}" name="Tabel2425678910111213141517161819212022232614151617" displayName="Tabel2425678910111213141517161819212022232614151617" ref="A2:AY66" totalsRowShown="0" headerRowDxfId="314">
  <autoFilter ref="A2:AY66" xr:uid="{A70EF718-F10B-4779-A138-DEDC58180FB0}"/>
  <sortState xmlns:xlrd2="http://schemas.microsoft.com/office/spreadsheetml/2017/richdata2" ref="A3:AY66">
    <sortCondition ref="B2:B66"/>
  </sortState>
  <tableColumns count="51">
    <tableColumn id="1" xr3:uid="{ADB58D6D-1E4F-401D-A46E-322A00CD4289}" name="Verdieping" dataDxfId="313"/>
    <tableColumn id="2" xr3:uid="{32B6EEDB-C2A5-4BF3-9404-C279358B8717}" name="Automatennaam"/>
    <tableColumn id="3" xr3:uid="{1E51A81E-BF82-4ED9-BDF0-8E1A25831F13}" name="Type concept"/>
    <tableColumn id="4" xr3:uid="{CEE13BCE-A20A-4505-B3D4-BA3986004803}" name="Serienummer"/>
    <tableColumn id="5" xr3:uid="{6F32C437-AEC7-414B-AF59-ACCBB661D04A}" name="Stand Coffee einde maand" dataDxfId="312"/>
    <tableColumn id="27" xr3:uid="{061B6EF4-A375-4CF6-878D-5CB4A00ADF18}" name="Coffee vorige maand" dataDxfId="311">
      <calculatedColumnFormula>Tabel2[[#This Row],[Coffee]]</calculatedColumnFormula>
    </tableColumn>
    <tableColumn id="26" xr3:uid="{E8E7B4C7-A51C-42D1-84F1-9D44F05D3840}" name="Verbruik Coffee deze maand" dataDxfId="310">
      <calculatedColumnFormula>Tabel2425678910111213141517161819212022232614151617[[#This Row],[Stand Coffee einde maand]]-Tabel2425678910111213141517161819212022232614151617[[#This Row],[Coffee vorige maand]]</calculatedColumnFormula>
    </tableColumn>
    <tableColumn id="6" xr3:uid="{EBD510D6-498C-453C-BB5D-637C7A87449B}" name="Stand Espresso Einde maand" dataDxfId="309"/>
    <tableColumn id="29" xr3:uid="{AC50503B-BB5C-4504-919E-3E10FEED736F}" name="Espresso vorige maand" dataDxfId="308">
      <calculatedColumnFormula>Tabel2[[#This Row],[Espresso]]</calculatedColumnFormula>
    </tableColumn>
    <tableColumn id="28" xr3:uid="{77D0E204-A62D-448C-B68C-E8B12A935655}" name="Verbruik Espresso deze maand" dataDxfId="307">
      <calculatedColumnFormula>Tabel2425678910111213141517161819212022232614151617[[#This Row],[Stand Espresso Einde maand]]-Tabel2425678910111213141517161819212022232614151617[[#This Row],[Espresso vorige maand]]</calculatedColumnFormula>
    </tableColumn>
    <tableColumn id="7" xr3:uid="{AB5CCA1F-699F-446B-BFB5-4F2372D411AB}" name="Stand Latte Macchiato einde maand" dataDxfId="306"/>
    <tableColumn id="31" xr3:uid="{DD7BF9D7-EFAA-4664-94BA-FE3E26997C70}" name="Latte Macchiato vorige maand" dataDxfId="305">
      <calculatedColumnFormula>Tabel242[[#This Row],[Stand Latte Macchiato einde maand]]</calculatedColumnFormula>
    </tableColumn>
    <tableColumn id="30" xr3:uid="{083EAC90-368D-4E8A-9753-F280D810AFE6}" name="Verbruik Latte Macchiato deze maand" dataDxfId="304">
      <calculatedColumnFormula>Tabel2425678910111213141517161819212022232614151617[[#This Row],[Stand Latte Macchiato einde maand]]-Tabel2425678910111213141517161819212022232614151617[[#This Row],[Latte Macchiato vorige maand]]</calculatedColumnFormula>
    </tableColumn>
    <tableColumn id="8" xr3:uid="{9E33B7CD-4CA7-4E51-A832-4AE852025095}" name="Stand Coffee Latte einde maand" dataDxfId="303"/>
    <tableColumn id="33" xr3:uid="{2CE5C693-7E50-4E95-B31C-DEEFCB405AFF}" name="Coffee Latte vorige maand" dataDxfId="302">
      <calculatedColumnFormula>Tabel242[[#This Row],[Stand Coffee Latte einde maand]]</calculatedColumnFormula>
    </tableColumn>
    <tableColumn id="32" xr3:uid="{77910DD0-150D-4B1C-A936-1D357ECE73DF}" name="Verbruik Coffee Latte deze maand" dataDxfId="301">
      <calculatedColumnFormula>Tabel2425678910111213141517161819212022232614151617[[#This Row],[Stand Coffee Latte einde maand]]-Tabel2425678910111213141517161819212022232614151617[[#This Row],[Coffee Latte vorige maand]]</calculatedColumnFormula>
    </tableColumn>
    <tableColumn id="9" xr3:uid="{E439A951-D863-4388-86E5-16AB96B196EF}" name="Stand Hot Water einde maand" dataDxfId="300"/>
    <tableColumn id="35" xr3:uid="{773A8A60-A801-45EF-BF02-61DFE59087D1}" name="Hot Water vorige maand" dataDxfId="299">
      <calculatedColumnFormula>Tabel242[[#This Row],[Stand Hot Water einde maand]]</calculatedColumnFormula>
    </tableColumn>
    <tableColumn id="34" xr3:uid="{82C98694-AFAF-4E29-B573-808DD6100AD5}" name="Verbruik Hot Water deze maand" dataDxfId="298">
      <calculatedColumnFormula>Tabel2425678910111213141517161819212022232614151617[[#This Row],[Stand Hot Water einde maand]]-Tabel2425678910111213141517161819212022232614151617[[#This Row],[Hot Water vorige maand]]</calculatedColumnFormula>
    </tableColumn>
    <tableColumn id="10" xr3:uid="{499D2354-F86F-471A-BEB6-38DD4CF3E1D9}" name="Stand Cappucino einde maand" dataDxfId="297"/>
    <tableColumn id="36" xr3:uid="{F990C213-0793-4F17-B14D-82F1CF1E6116}" name="Stand Cappucino vorige maand" dataDxfId="296">
      <calculatedColumnFormula>Tabel242[[#This Row],[Stand Cappucino einde maand]]</calculatedColumnFormula>
    </tableColumn>
    <tableColumn id="37" xr3:uid="{89FB6A1E-8211-43C7-BDDA-ECC50B3805C0}" name="Verbruik Cappucino deze maand" dataDxfId="295">
      <calculatedColumnFormula>Tabel2425678910111213141517161819212022232614151617[[#This Row],[Stand Cappucino einde maand]]-Tabel2425678910111213141517161819212022232614151617[[#This Row],[Stand Cappucino vorige maand]]</calculatedColumnFormula>
    </tableColumn>
    <tableColumn id="11" xr3:uid="{D25FA5AC-FFC2-473E-A874-36B533D75495}" name="Stand Cappucino Plantaardig einde maand" dataDxfId="294"/>
    <tableColumn id="39" xr3:uid="{675EB51D-7729-4001-9EF9-9CCF53C1FA05}" name="Stand Cappucino Plantaardig vorige maand" dataDxfId="293">
      <calculatedColumnFormula>Tabel242[[#This Row],[Stand Cappucino Plantaardig einde maand]]</calculatedColumnFormula>
    </tableColumn>
    <tableColumn id="38" xr3:uid="{41AFFBA1-5716-42AF-8195-798ECDAC0BE2}" name="Verbruik  Cappucino Plantaardig deze maand" dataDxfId="292">
      <calculatedColumnFormula>Tabel2425678910111213141517161819212022232614151617[[#This Row],[Stand Cappucino Plantaardig einde maand]]-Tabel2425678910111213141517161819212022232614151617[[#This Row],[Stand Cappucino Plantaardig vorige maand]]</calculatedColumnFormula>
    </tableColumn>
    <tableColumn id="12" xr3:uid="{959BB6B8-F9BA-4E32-9575-0775A4A7AF31}" name="Stand Latte Macchiato Plantaardig einde maand" dataDxfId="291"/>
    <tableColumn id="41" xr3:uid="{1FBDC7C4-CD67-42C0-AF46-6D19F0B70201}" name="Stand Latte Macchiato Plantaardig vorige maand" dataDxfId="290">
      <calculatedColumnFormula>Tabel242[[#This Row],[Stand Latte Macchiato Plantaardig einde maand]]</calculatedColumnFormula>
    </tableColumn>
    <tableColumn id="40" xr3:uid="{42D1C271-B578-42BF-918B-9EC1F9AD14BA}" name="Verbruik Stand Latte Macchiato Plantaardig deze maand" dataDxfId="289">
      <calculatedColumnFormula>Tabel2425678910111213141517161819212022232614151617[[#This Row],[Stand Latte Macchiato Plantaardig einde maand]]-Tabel2425678910111213141517161819212022232614151617[[#This Row],[Stand Latte Macchiato Plantaardig vorige maand]]</calculatedColumnFormula>
    </tableColumn>
    <tableColumn id="13" xr3:uid="{54403A59-4D3D-4A0E-BE73-55EB93F606FC}" name="Subtotaal koffieautomaten" dataDxfId="288"/>
    <tableColumn id="14" xr3:uid="{1AD57D44-EFE9-48F0-9897-1B47CFE566B1}" name="Stand Kamertemp liter einde maand" dataDxfId="287"/>
    <tableColumn id="42" xr3:uid="{4BDA85C8-FA8B-4CE9-8D96-0A8B9918F197}" name="Stand Kamertemp liter vorige maand" dataDxfId="286"/>
    <tableColumn id="43" xr3:uid="{F18DC8E6-89B2-43E9-A16C-D7DBD76E3CF1}" name="Verbruik Kamertemp liter deze maand" dataDxfId="285"/>
    <tableColumn id="15" xr3:uid="{E8835208-61FA-4650-8A33-7DB12371A15E}" name="Aantal consumpties Kamertemp deze maand"/>
    <tableColumn id="16" xr3:uid="{A33CBFB3-5B50-4B90-BA2F-1B68DD2C6347}" name="Stand Gekoeld liter einde maand" dataDxfId="284"/>
    <tableColumn id="45" xr3:uid="{4EE55953-8990-4F6E-82FA-89B874705B47}" name="Stand Gekoeld liter vorige maand" dataDxfId="283"/>
    <tableColumn id="44" xr3:uid="{1D063344-BE72-4AA4-8F50-388B766B91A4}" name="Verbruik Gekoeld liter deze maand" dataDxfId="282"/>
    <tableColumn id="17" xr3:uid="{3596CE24-EB06-45D6-A6D2-6D1323B373A9}" name="Aantal consumpties gekoeld water deze maand"/>
    <tableColumn id="18" xr3:uid="{188896E3-58AE-4F1D-B42B-B6FCF923708D}" name="Stand Bruisend liter einde maand" dataDxfId="281"/>
    <tableColumn id="46" xr3:uid="{E441ECAE-DD28-4660-8B2B-DB7140B03AF2}" name="Stand Bruisend liter vorige maand" dataDxfId="280"/>
    <tableColumn id="47" xr3:uid="{B00263CF-F895-44F1-BA2E-F8F382A8DD91}" name="Verbruik Bruisend liter deze maand" dataDxfId="279"/>
    <tableColumn id="19" xr3:uid="{BE39A8E2-C87C-4A70-987C-139553B84E9E}" name="aantal consumpties Bruisend water deze maand"/>
    <tableColumn id="20" xr3:uid="{82DD03EB-C62C-4BA9-AC7D-7A29EDF8FE50}" name="Stand licht bruisend liter einde maand" dataDxfId="278"/>
    <tableColumn id="49" xr3:uid="{4F207D4B-5C21-4527-8568-5C126486498D}" name="Stand licht bruisend liter vorige maand" dataDxfId="277"/>
    <tableColumn id="48" xr3:uid="{52589431-ED81-4549-90C2-399B9B43D936}" name="Verbruik licht bruisend liter deze maand" dataDxfId="276"/>
    <tableColumn id="21" xr3:uid="{7DEBBA46-BC93-4381-9982-F2EA15E1740E}" name="Aantal consumpties licht bruisend water deze maand"/>
    <tableColumn id="22" xr3:uid="{946D3001-6BB2-4312-852B-15AB333CE790}" name="Stand heet water liter einde maand" dataDxfId="275"/>
    <tableColumn id="51" xr3:uid="{26F419F3-F2FD-498F-B352-5DC553F1CF1B}" name="Stand heet water liter vorige maand" dataDxfId="274"/>
    <tableColumn id="50" xr3:uid="{3F2CE128-5E34-4C6D-A50A-743EA75232E6}" name="Verbruik heet Water liter deze maand " dataDxfId="273"/>
    <tableColumn id="23" xr3:uid="{1EFBEADE-D58B-4CD9-BA60-816B85C40A38}" name="Aantal consumpties heet water deze maand" dataDxfId="272"/>
    <tableColumn id="24" xr3:uid="{2451E7F4-4EC5-4605-ADDE-7E2C67FB0C68}" name="Subtotaal waterbar in consumpties" dataDxfId="271"/>
    <tableColumn id="25" xr3:uid="{1792E866-F5D8-4555-A878-2B30E1D66036}" name="Grand totaal" dataDxfId="270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6862B595-AA17-4669-8D4C-8D36CCA2D686}" name="Tabel24256789101112131415171618192120222326141518" displayName="Tabel24256789101112131415171618192120222326141518" ref="A2:AY66" totalsRowShown="0" headerRowDxfId="269">
  <autoFilter ref="A2:AY66" xr:uid="{A70EF718-F10B-4779-A138-DEDC58180FB0}"/>
  <sortState xmlns:xlrd2="http://schemas.microsoft.com/office/spreadsheetml/2017/richdata2" ref="A3:AY66">
    <sortCondition ref="B2:B66"/>
  </sortState>
  <tableColumns count="51">
    <tableColumn id="1" xr3:uid="{BF659758-4C22-4C67-BC13-87ECEB6A8C67}" name="Verdieping" dataDxfId="268"/>
    <tableColumn id="2" xr3:uid="{590B85C2-820C-40D9-BAC8-68B06ACF4DA0}" name="Automatennaam"/>
    <tableColumn id="3" xr3:uid="{A76DC401-2490-4D95-A634-839309443EF1}" name="Type concept"/>
    <tableColumn id="4" xr3:uid="{1E2F1493-4070-4FAF-9A10-1FA43062C32E}" name="Serienummer"/>
    <tableColumn id="5" xr3:uid="{53D305C4-2F8A-43A3-8B2D-75B86804E8D4}" name="Stand Coffee einde maand" dataDxfId="267"/>
    <tableColumn id="27" xr3:uid="{B91BB238-F3CD-4CDA-9F30-04FB93BC1A27}" name="Coffee vorige maand" dataDxfId="266">
      <calculatedColumnFormula>Tabel2[[#This Row],[Coffee]]</calculatedColumnFormula>
    </tableColumn>
    <tableColumn id="26" xr3:uid="{965D00A7-FCE3-47AC-AA68-95F4C92A8121}" name="Verbruik Coffee deze maand" dataDxfId="265">
      <calculatedColumnFormula>Tabel24256789101112131415171618192120222326141518[[#This Row],[Stand Coffee einde maand]]-Tabel24256789101112131415171618192120222326141518[[#This Row],[Coffee vorige maand]]</calculatedColumnFormula>
    </tableColumn>
    <tableColumn id="6" xr3:uid="{6F62D549-7165-4E60-A8F2-30A05F1D23D4}" name="Stand Espresso Einde maand" dataDxfId="264"/>
    <tableColumn id="29" xr3:uid="{6065164C-B127-448F-BCA6-C1F6973B867B}" name="Espresso vorige maand" dataDxfId="263">
      <calculatedColumnFormula>Tabel2[[#This Row],[Espresso]]</calculatedColumnFormula>
    </tableColumn>
    <tableColumn id="28" xr3:uid="{DB064909-EB45-4E01-AFF9-7F743F943DD1}" name="Verbruik Espresso deze maand" dataDxfId="262">
      <calculatedColumnFormula>Tabel24256789101112131415171618192120222326141518[[#This Row],[Stand Espresso Einde maand]]-Tabel24256789101112131415171618192120222326141518[[#This Row],[Espresso vorige maand]]</calculatedColumnFormula>
    </tableColumn>
    <tableColumn id="7" xr3:uid="{0082B44F-DB72-48D1-9F55-37E2AF4A3624}" name="Stand Latte Macchiato einde maand" dataDxfId="261"/>
    <tableColumn id="31" xr3:uid="{B432B868-9678-41D8-B053-D5869E36EA0C}" name="Latte Macchiato vorige maand" dataDxfId="260">
      <calculatedColumnFormula>Tabel242[[#This Row],[Stand Latte Macchiato einde maand]]</calculatedColumnFormula>
    </tableColumn>
    <tableColumn id="30" xr3:uid="{D8A4084A-2E97-445D-8994-B6157E2B1B8A}" name="Verbruik Latte Macchiato deze maand" dataDxfId="259">
      <calculatedColumnFormula>Tabel24256789101112131415171618192120222326141518[[#This Row],[Stand Latte Macchiato einde maand]]-Tabel24256789101112131415171618192120222326141518[[#This Row],[Latte Macchiato vorige maand]]</calculatedColumnFormula>
    </tableColumn>
    <tableColumn id="8" xr3:uid="{BC1BF6FD-8D79-4BAD-9A35-63F127C2486A}" name="Stand Coffee Latte einde maand" dataDxfId="258"/>
    <tableColumn id="33" xr3:uid="{A090739B-0CB8-4CF5-AEEA-796FD6204BD0}" name="Coffee Latte vorige maand" dataDxfId="257">
      <calculatedColumnFormula>Tabel242[[#This Row],[Stand Coffee Latte einde maand]]</calculatedColumnFormula>
    </tableColumn>
    <tableColumn id="32" xr3:uid="{89009528-6B1D-4217-91F2-3BB1C8D098D1}" name="Verbruik Coffee Latte deze maand" dataDxfId="256">
      <calculatedColumnFormula>Tabel24256789101112131415171618192120222326141518[[#This Row],[Stand Coffee Latte einde maand]]-Tabel24256789101112131415171618192120222326141518[[#This Row],[Coffee Latte vorige maand]]</calculatedColumnFormula>
    </tableColumn>
    <tableColumn id="9" xr3:uid="{94E90255-A686-4508-933A-38564CFCCA42}" name="Stand Hot Water einde maand" dataDxfId="255"/>
    <tableColumn id="35" xr3:uid="{C25CF348-931E-4771-BB7B-16B8646100E6}" name="Hot Water vorige maand" dataDxfId="254">
      <calculatedColumnFormula>Tabel242[[#This Row],[Stand Hot Water einde maand]]</calculatedColumnFormula>
    </tableColumn>
    <tableColumn id="34" xr3:uid="{9C61656A-ACBB-4C05-B022-9E34529567C0}" name="Verbruik Hot Water deze maand" dataDxfId="253">
      <calculatedColumnFormula>Tabel24256789101112131415171618192120222326141518[[#This Row],[Stand Hot Water einde maand]]-Tabel24256789101112131415171618192120222326141518[[#This Row],[Hot Water vorige maand]]</calculatedColumnFormula>
    </tableColumn>
    <tableColumn id="10" xr3:uid="{8B21E7BC-D208-4C91-869A-050BE17E9CF0}" name="Stand Cappucino einde maand" dataDxfId="252"/>
    <tableColumn id="36" xr3:uid="{E8FFA508-D8E2-44CF-A60E-8ECF9C62A1CD}" name="Stand Cappucino vorige maand" dataDxfId="251">
      <calculatedColumnFormula>Tabel242[[#This Row],[Stand Cappucino einde maand]]</calculatedColumnFormula>
    </tableColumn>
    <tableColumn id="37" xr3:uid="{4B319E90-DA13-4DE2-AB0E-86D573C49318}" name="Verbruik Cappucino deze maand" dataDxfId="250">
      <calculatedColumnFormula>Tabel24256789101112131415171618192120222326141518[[#This Row],[Stand Cappucino einde maand]]-Tabel24256789101112131415171618192120222326141518[[#This Row],[Stand Cappucino vorige maand]]</calculatedColumnFormula>
    </tableColumn>
    <tableColumn id="11" xr3:uid="{9C9C095E-F305-4128-9BCD-39A258F2B57F}" name="Stand Cappucino Plantaardig einde maand" dataDxfId="249"/>
    <tableColumn id="39" xr3:uid="{0B3E2557-EAF4-451D-BD39-1F7404E256E6}" name="Stand Cappucino Plantaardig vorige maand" dataDxfId="248">
      <calculatedColumnFormula>Tabel242[[#This Row],[Stand Cappucino Plantaardig einde maand]]</calculatedColumnFormula>
    </tableColumn>
    <tableColumn id="38" xr3:uid="{BDF5F2FD-D2B4-47F7-8164-F34C1F18417B}" name="Verbruik  Cappucino Plantaardig deze maand" dataDxfId="247">
      <calculatedColumnFormula>Tabel24256789101112131415171618192120222326141518[[#This Row],[Stand Cappucino Plantaardig einde maand]]-Tabel24256789101112131415171618192120222326141518[[#This Row],[Stand Cappucino Plantaardig vorige maand]]</calculatedColumnFormula>
    </tableColumn>
    <tableColumn id="12" xr3:uid="{E1F8CC17-14B0-4FF6-9C2E-50D3196F8389}" name="Stand Latte Macchiato Plantaardig einde maand" dataDxfId="246"/>
    <tableColumn id="41" xr3:uid="{90D257A6-30A8-461C-8824-66C64368B738}" name="Stand Latte Macchiato Plantaardig vorige maand" dataDxfId="245">
      <calculatedColumnFormula>Tabel242[[#This Row],[Stand Latte Macchiato Plantaardig einde maand]]</calculatedColumnFormula>
    </tableColumn>
    <tableColumn id="40" xr3:uid="{0559E94D-6370-495D-BA07-E5EE60F212E2}" name="Verbruik Stand Latte Macchiato Plantaardig deze maand" dataDxfId="244">
      <calculatedColumnFormula>Tabel24256789101112131415171618192120222326141518[[#This Row],[Stand Latte Macchiato Plantaardig einde maand]]-Tabel24256789101112131415171618192120222326141518[[#This Row],[Stand Latte Macchiato Plantaardig vorige maand]]</calculatedColumnFormula>
    </tableColumn>
    <tableColumn id="13" xr3:uid="{EAA8D534-7E3A-4D21-94DA-8110D642D171}" name="Subtotaal koffieautomaten" dataDxfId="243"/>
    <tableColumn id="14" xr3:uid="{A2AC13FB-C19E-453E-BB47-FDAE83FA8D1F}" name="Stand Kamertemp liter einde maand" dataDxfId="242"/>
    <tableColumn id="42" xr3:uid="{FC040EBB-C02B-4AF1-B9B0-6C502A8D3A26}" name="Stand Kamertemp liter vorige maand" dataDxfId="241"/>
    <tableColumn id="43" xr3:uid="{F9B52175-CD8A-48DA-809F-DD54D77233A6}" name="Verbruik Kamertemp liter deze maand" dataDxfId="240"/>
    <tableColumn id="15" xr3:uid="{38F5E416-DB34-40A8-875F-16B18ED89D4E}" name="Aantal consumpties Kamertemp deze maand"/>
    <tableColumn id="16" xr3:uid="{57ACD9D8-C416-409C-9150-4E8F3C6021E2}" name="Stand Gekoeld liter einde maand" dataDxfId="239"/>
    <tableColumn id="45" xr3:uid="{E01F915C-F768-43FF-90E5-D238CDD8D1C1}" name="Stand Gekoeld liter vorige maand" dataDxfId="238"/>
    <tableColumn id="44" xr3:uid="{F83AF502-703C-414D-934E-E9B0EF9561F2}" name="Verbruik Gekoeld liter deze maand" dataDxfId="237"/>
    <tableColumn id="17" xr3:uid="{71D484C3-AA97-42F1-8D5C-837D409145C9}" name="Aantal consumpties gekoeld water deze maand"/>
    <tableColumn id="18" xr3:uid="{A0063B93-2BEC-43AC-8EA1-6B34DCD54960}" name="Stand Bruisend liter einde maand" dataDxfId="236"/>
    <tableColumn id="46" xr3:uid="{D1D622A0-338A-4FDB-B4A3-C13064B59AF2}" name="Stand Bruisend liter vorige maand" dataDxfId="235"/>
    <tableColumn id="47" xr3:uid="{EE6F4206-6E0C-4EF8-B1C0-8D210EF0511F}" name="Verbruik Bruisend liter deze maand" dataDxfId="234"/>
    <tableColumn id="19" xr3:uid="{CD967965-FB70-47AE-9EC7-EABEC0FA645E}" name="aantal consumpties Bruisend water deze maand"/>
    <tableColumn id="20" xr3:uid="{AEF02F1A-25FC-4D54-B02E-6EB9F7848B4E}" name="Stand licht bruisend liter einde maand" dataDxfId="233"/>
    <tableColumn id="49" xr3:uid="{A6C11589-A627-487F-918D-8279C3B1E820}" name="Stand licht bruisend liter vorige maand" dataDxfId="232"/>
    <tableColumn id="48" xr3:uid="{9F68DFA1-4043-49E4-9ACF-0459DB8258F5}" name="Verbruik licht bruisend liter deze maand" dataDxfId="231"/>
    <tableColumn id="21" xr3:uid="{829B39B8-BC0D-4799-9C4A-27501626A4C6}" name="Aantal consumpties licht bruisend water deze maand"/>
    <tableColumn id="22" xr3:uid="{078D5B41-C7D5-4F72-8A7D-495333152303}" name="Stand heet water liter einde maand" dataDxfId="230"/>
    <tableColumn id="51" xr3:uid="{62C1B0FF-E7B8-49AC-83B3-AFAC59885FBD}" name="Stand heet water liter vorige maand" dataDxfId="229"/>
    <tableColumn id="50" xr3:uid="{C11D0FE4-8324-4C66-8A7E-5FCB039086DC}" name="Verbruik heet Water liter deze maand " dataDxfId="228"/>
    <tableColumn id="23" xr3:uid="{B9B84C82-8066-4611-BA10-3AFAFF5C893E}" name="Aantal consumpties heet water deze maand" dataDxfId="227"/>
    <tableColumn id="24" xr3:uid="{0F9B7DFE-E173-424B-B8DA-8342C98CC66F}" name="Subtotaal waterbar in consumpties" dataDxfId="226"/>
    <tableColumn id="25" xr3:uid="{5FBD5AA1-CC11-4627-8DDB-613487845229}" name="Grand totaal" dataDxfId="2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44E2C33-B954-48ED-880D-A49159D10E1B}" name="Tabel24" displayName="Tabel24" ref="A2:AY65" totalsRowShown="0" headerRowDxfId="1057">
  <autoFilter ref="A2:AY65" xr:uid="{36B0F649-C70D-4FA8-AD70-FB3B04D6FBF2}"/>
  <sortState xmlns:xlrd2="http://schemas.microsoft.com/office/spreadsheetml/2017/richdata2" ref="A3:AY65">
    <sortCondition ref="B2:B65"/>
  </sortState>
  <tableColumns count="51">
    <tableColumn id="1" xr3:uid="{FC6525A8-561A-4125-B8B5-BD2A9BB259AA}" name="Verdieping"/>
    <tableColumn id="2" xr3:uid="{09110472-D524-44D0-A342-B9437201E168}" name="Automatennaam"/>
    <tableColumn id="3" xr3:uid="{087737E2-387A-4FA4-B3C5-F84FF5405556}" name="Type concept"/>
    <tableColumn id="4" xr3:uid="{8084C676-645F-40BB-B215-0AAF4D44F1BB}" name="Serienummer"/>
    <tableColumn id="5" xr3:uid="{D485184C-11C9-43EA-80A4-5CFD8BCEE3A8}" name="Stand Coffee einde maand" dataDxfId="1056"/>
    <tableColumn id="27" xr3:uid="{F42816F7-6EA4-435F-A0A7-A643BD0C04DB}" name="Coffee vorige maand" dataDxfId="1055">
      <calculatedColumnFormula>Tabel2[[#This Row],[Coffee]]</calculatedColumnFormula>
    </tableColumn>
    <tableColumn id="26" xr3:uid="{52C7CC2E-9ED1-46F4-9249-E866ED58DC6A}" name="Verbruik Coffee deze maand" dataDxfId="1054">
      <calculatedColumnFormula>Tabel24[[#This Row],[Stand Coffee einde maand]]-Tabel24[[#This Row],[Coffee vorige maand]]</calculatedColumnFormula>
    </tableColumn>
    <tableColumn id="6" xr3:uid="{F4029492-384D-483C-9691-9E6B59D609B4}" name="Stand Espresso Einde maand" dataDxfId="1053"/>
    <tableColumn id="29" xr3:uid="{2EFC3222-AD12-4F86-B020-D5C514BC19FC}" name="Espresso vorige maand" dataDxfId="1052">
      <calculatedColumnFormula>Tabel2[[#This Row],[Espresso]]</calculatedColumnFormula>
    </tableColumn>
    <tableColumn id="28" xr3:uid="{69108A43-3A01-433C-8CF9-D1603E7CE632}" name="Verbruik Espresso deze maand" dataDxfId="1051">
      <calculatedColumnFormula>Tabel24[[#This Row],[Stand Espresso Einde maand]]-Tabel24[[#This Row],[Espresso vorige maand]]</calculatedColumnFormula>
    </tableColumn>
    <tableColumn id="7" xr3:uid="{14405392-0678-410F-8B31-04FEB33195EF}" name="Stand Latte Macchiato einde maand" dataDxfId="1050"/>
    <tableColumn id="31" xr3:uid="{9A225878-C481-4111-93BD-2522C82AF823}" name="Latte Macchiato vorige maand" dataDxfId="1049">
      <calculatedColumnFormula>Tabel2[[#This Row],[Latte Macchiato]]</calculatedColumnFormula>
    </tableColumn>
    <tableColumn id="30" xr3:uid="{74BFD465-8102-4C93-8420-68E9BAB80EA2}" name="Verbruik Latte Macchiato deze maand" dataDxfId="1048">
      <calculatedColumnFormula>Tabel24[[#This Row],[Stand Latte Macchiato einde maand]]-Tabel24[[#This Row],[Latte Macchiato vorige maand]]</calculatedColumnFormula>
    </tableColumn>
    <tableColumn id="8" xr3:uid="{5ED3658A-8867-4196-B584-9B9A55B20776}" name="Stand Coffee Latte einde maand" dataDxfId="1047"/>
    <tableColumn id="33" xr3:uid="{7939717A-2E45-48F6-A872-15303E921D17}" name="Coffee Latte vorige maand" dataDxfId="1046">
      <calculatedColumnFormula>Tabel2[[#This Row],[Coffee Latte]]</calculatedColumnFormula>
    </tableColumn>
    <tableColumn id="32" xr3:uid="{3477304E-00AF-4524-BC90-85110C454A24}" name="Verbruik Coffee Latte deze maand" dataDxfId="1045">
      <calculatedColumnFormula>Tabel24[[#This Row],[Stand Coffee Latte einde maand]]-Tabel24[[#This Row],[Coffee Latte vorige maand]]</calculatedColumnFormula>
    </tableColumn>
    <tableColumn id="9" xr3:uid="{E1A3515D-CBF9-4A2D-AB69-16E7B353ACF8}" name="Stand Hot Water einde maand" dataDxfId="1044"/>
    <tableColumn id="35" xr3:uid="{0121A78A-9DA3-4DA3-9A7A-802D846E7B34}" name="Hot Water vorige maand" dataDxfId="1043">
      <calculatedColumnFormula>Tabel2[[#This Row],[Hot Water]]</calculatedColumnFormula>
    </tableColumn>
    <tableColumn id="34" xr3:uid="{FFD01F0D-F060-48E3-AE54-0DA70576480F}" name="Verbruik Hot Water deze maand" dataDxfId="1042">
      <calculatedColumnFormula>Tabel24[[#This Row],[Stand Hot Water einde maand]]-Tabel24[[#This Row],[Hot Water vorige maand]]</calculatedColumnFormula>
    </tableColumn>
    <tableColumn id="10" xr3:uid="{03A2AD48-CD46-4667-96EE-23174EA56359}" name="Stand Cappucino einde maand" dataDxfId="1041"/>
    <tableColumn id="36" xr3:uid="{519BD850-75BE-43DF-9172-87E825806AB4}" name="Stand Cappucino vorige maand" dataDxfId="1040">
      <calculatedColumnFormula>Tabel2[[#This Row],[Cappucino]]</calculatedColumnFormula>
    </tableColumn>
    <tableColumn id="37" xr3:uid="{2267D66E-D854-4594-940D-7413F87620C9}" name="Verbruik Cappucino deze maand" dataDxfId="1039">
      <calculatedColumnFormula>Tabel24[[#This Row],[Stand Cappucino einde maand]]-Tabel24[[#This Row],[Stand Cappucino vorige maand]]</calculatedColumnFormula>
    </tableColumn>
    <tableColumn id="11" xr3:uid="{3AEB2322-8B9E-49AE-84BE-DD7380C12080}" name="Stand Cappucino Plantaardig einde maand" dataDxfId="1038"/>
    <tableColumn id="39" xr3:uid="{C9595CDD-C1B4-4A01-967F-08F48D733A19}" name="Stand Cappucino Plantaardig vorige maand" dataDxfId="1037">
      <calculatedColumnFormula>Tabel2[[#This Row],[Cappucino Plantaardig]]</calculatedColumnFormula>
    </tableColumn>
    <tableColumn id="38" xr3:uid="{D648298A-377B-42C8-A0BB-297D3561FE3A}" name="Verbruik  Cappucino Plantaardig deze maand" dataDxfId="1036">
      <calculatedColumnFormula>Tabel24[[#This Row],[Stand Cappucino Plantaardig einde maand]]-Tabel24[[#This Row],[Stand Cappucino Plantaardig vorige maand]]</calculatedColumnFormula>
    </tableColumn>
    <tableColumn id="12" xr3:uid="{05B67296-8412-4D02-9A05-D6BB37A8D350}" name="Stand Latte Macchiato Plantaardig einde maand" dataDxfId="1035"/>
    <tableColumn id="41" xr3:uid="{66C9ACDD-82AC-4557-BD74-BED688539814}" name="Stand Latte Macchiato Plantaardig vorige maand" dataDxfId="1034">
      <calculatedColumnFormula>Tabel2[[#This Row],[Latte Macchiato Plantaardig]]</calculatedColumnFormula>
    </tableColumn>
    <tableColumn id="40" xr3:uid="{1FC2E36A-087A-4E93-AE1A-A80CB1702223}" name="Verbruik Stand Latte Macchiato Plantaardig deze maand" dataDxfId="1033">
      <calculatedColumnFormula>Tabel24[[#This Row],[Stand Latte Macchiato Plantaardig einde maand]]-Tabel24[[#This Row],[Stand Latte Macchiato Plantaardig vorige maand]]</calculatedColumnFormula>
    </tableColumn>
    <tableColumn id="13" xr3:uid="{886C0D13-4B34-41EE-BF4D-D2A9A03D1B24}" name="Subtotaal koffieautomaten"/>
    <tableColumn id="14" xr3:uid="{261B61C9-C51B-411F-95E5-739388294995}" name="Stand Kamertemp liter einde maand" dataDxfId="1032"/>
    <tableColumn id="42" xr3:uid="{4B43CAE5-B2DA-46F2-B545-6D0C84D4C509}" name="Stand Kamertemp liter vorige maand" dataDxfId="1031">
      <calculatedColumnFormula>Tabel2[[#This Row],[kamertemp liter]]</calculatedColumnFormula>
    </tableColumn>
    <tableColumn id="43" xr3:uid="{EBE958B3-5AB0-4451-9A0B-3646520BBEC4}" name="Verbruik Kamertemp liter deze maand" dataDxfId="1030">
      <calculatedColumnFormula>Tabel24[[#This Row],[Stand Kamertemp liter einde maand]]-Tabel24[[#This Row],[Stand Kamertemp liter vorige maand]]</calculatedColumnFormula>
    </tableColumn>
    <tableColumn id="15" xr3:uid="{ADF6BDEC-1554-4449-A6F1-116A13997B3B}" name="Aantal consumpties Kamertemp deze maand" dataDxfId="1029"/>
    <tableColumn id="16" xr3:uid="{6CF2F00F-AD88-47C7-BE89-0677F4AF35D4}" name="Stand Gekoeld liter einde maand" dataDxfId="1028"/>
    <tableColumn id="45" xr3:uid="{712B5C6C-EF8F-4F4E-801C-63DE3EBE2898}" name="Stand Gekoeld liter vorige maand" dataDxfId="1027">
      <calculatedColumnFormula>Tabel2[[#This Row],[gekoeld liter]]</calculatedColumnFormula>
    </tableColumn>
    <tableColumn id="44" xr3:uid="{0BB6D3C8-9DB7-49A8-9850-D1A07C2E28E7}" name="Verbruik Gekoeld liter deze maand" dataDxfId="1026">
      <calculatedColumnFormula>Tabel24[[#This Row],[Stand Gekoeld liter einde maand]]-Tabel24[[#This Row],[Stand Gekoeld liter vorige maand]]</calculatedColumnFormula>
    </tableColumn>
    <tableColumn id="17" xr3:uid="{15815483-2626-416F-B8C0-06DF1EDBE8FB}" name="Aantal consumpties gekoeld water deze maand" dataDxfId="1025"/>
    <tableColumn id="18" xr3:uid="{1DC6AF38-6871-4F45-99AE-13B95F4018D7}" name="Stand Bruisend liter einde maand" dataDxfId="1024"/>
    <tableColumn id="46" xr3:uid="{4BA25226-0DFF-4DCE-8109-9DB60614B66A}" name="Stand Bruisend liter vorige maand" dataDxfId="1023">
      <calculatedColumnFormula>Tabel2[[#This Row],[bruisend liter]]</calculatedColumnFormula>
    </tableColumn>
    <tableColumn id="47" xr3:uid="{54E86609-D21B-4B87-B505-9152518B7442}" name="Verbruik Bruisend liter deze maand" dataDxfId="1022">
      <calculatedColumnFormula>Tabel24[[#This Row],[Stand Bruisend liter einde maand]]-Tabel24[[#This Row],[Stand Bruisend liter vorige maand]]</calculatedColumnFormula>
    </tableColumn>
    <tableColumn id="19" xr3:uid="{B6FFD1F6-7C4E-4B54-A659-F3D41074B918}" name="aantal consumpties Bruisend water deze maand" dataDxfId="1021"/>
    <tableColumn id="20" xr3:uid="{84C9A0EE-9053-4203-9367-6A491D02DAC8}" name="Stand licht bruisend liter einde maand" dataDxfId="1020"/>
    <tableColumn id="49" xr3:uid="{D28AE039-9372-4729-A9DD-603FF80F468E}" name="Stand licht bruisend liter vorige maand" dataDxfId="1019">
      <calculatedColumnFormula>Tabel2[[#This Row],[licht bruisend liter]]</calculatedColumnFormula>
    </tableColumn>
    <tableColumn id="48" xr3:uid="{7A0CF62E-F763-4A7B-89B1-9A13A3914563}" name="Verbruik licht bruisend liter deze maand" dataDxfId="1018">
      <calculatedColumnFormula>Tabel24[[#This Row],[Stand licht bruisend liter einde maand]]-Tabel24[[#This Row],[Stand licht bruisend liter vorige maand]]</calculatedColumnFormula>
    </tableColumn>
    <tableColumn id="21" xr3:uid="{BD6ECFC9-0B3E-4E9F-A1B8-491BE44E45BF}" name="Aantal consumpties licht bruisend water deze maand" dataDxfId="1017"/>
    <tableColumn id="22" xr3:uid="{5D67AF2C-DC4F-446D-B497-4300C00F4665}" name="Stand heet water liter einde maand" dataDxfId="1016"/>
    <tableColumn id="51" xr3:uid="{4D7E796C-7063-4E82-85DF-AA94F8C1E975}" name="Stand heet water liter vorige maand" dataDxfId="1015">
      <calculatedColumnFormula>Tabel2[[#This Row],[heet water liter]]</calculatedColumnFormula>
    </tableColumn>
    <tableColumn id="50" xr3:uid="{54D2DDC7-7492-4129-B592-33EAF672FD55}" name="Verbruik heet Water liter deze maand " dataDxfId="1014">
      <calculatedColumnFormula>Tabel24[[#This Row],[Stand heet water liter einde maand]]-Tabel24[[#This Row],[Stand heet water liter vorige maand]]</calculatedColumnFormula>
    </tableColumn>
    <tableColumn id="23" xr3:uid="{05CF2646-1C34-457A-8C3F-87363AA9F64B}" name="Aantal consumpties heet water deze maand" dataDxfId="1013"/>
    <tableColumn id="24" xr3:uid="{9361A298-95B9-4FEF-B1EA-5AAE70B12689}" name="Subtotaal waterbar in consumpties" dataDxfId="1012"/>
    <tableColumn id="25" xr3:uid="{6007B404-D60F-4C08-B580-F37A6F65A997}" name="Grand totaal" dataDxfId="1011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6F9F6225-A70F-44E7-8CFC-3A9AAC853270}" name="Tabel2425678910111213141517161819212022232614151819" displayName="Tabel2425678910111213141517161819212022232614151819" ref="A2:AY66" totalsRowShown="0" headerRowDxfId="224">
  <autoFilter ref="A2:AY66" xr:uid="{A70EF718-F10B-4779-A138-DEDC58180FB0}"/>
  <sortState xmlns:xlrd2="http://schemas.microsoft.com/office/spreadsheetml/2017/richdata2" ref="A3:AY66">
    <sortCondition ref="B2:B66"/>
  </sortState>
  <tableColumns count="51">
    <tableColumn id="1" xr3:uid="{C0068DC5-926F-4706-9D60-EBBD755EF880}" name="Verdieping" dataDxfId="223"/>
    <tableColumn id="2" xr3:uid="{D1714A84-1B02-457F-885C-CF095521D86D}" name="Automatennaam"/>
    <tableColumn id="3" xr3:uid="{54EA65A9-4D07-4406-8B03-135977336C24}" name="Type concept"/>
    <tableColumn id="4" xr3:uid="{03D15503-22C5-4042-9FA5-53BAEBFA912D}" name="Serienummer"/>
    <tableColumn id="5" xr3:uid="{C2A67567-54A4-427B-93D5-FC03B19F15AD}" name="Stand Coffee einde maand" dataDxfId="222"/>
    <tableColumn id="27" xr3:uid="{FC1FAB87-4B3C-4A88-90EB-365A04C83002}" name="Coffee vorige maand" dataDxfId="221">
      <calculatedColumnFormula>Tabel2[[#This Row],[Coffee]]</calculatedColumnFormula>
    </tableColumn>
    <tableColumn id="26" xr3:uid="{1588BB61-F23B-4418-B1A5-4ECE959D9B46}" name="Verbruik Coffee deze maand" dataDxfId="220">
      <calculatedColumnFormula>Tabel2425678910111213141517161819212022232614151819[[#This Row],[Stand Coffee einde maand]]-Tabel2425678910111213141517161819212022232614151819[[#This Row],[Coffee vorige maand]]</calculatedColumnFormula>
    </tableColumn>
    <tableColumn id="6" xr3:uid="{66D1FFD3-6FB0-42FE-A14C-7121BA79C824}" name="Stand Espresso Einde maand" dataDxfId="219"/>
    <tableColumn id="29" xr3:uid="{3CEF78C1-DA29-4048-9D33-56C110FCED7E}" name="Espresso vorige maand" dataDxfId="218">
      <calculatedColumnFormula>Tabel2[[#This Row],[Espresso]]</calculatedColumnFormula>
    </tableColumn>
    <tableColumn id="28" xr3:uid="{460F03FC-DFA9-434A-B265-F5AC5D418FB0}" name="Verbruik Espresso deze maand" dataDxfId="217">
      <calculatedColumnFormula>Tabel2425678910111213141517161819212022232614151819[[#This Row],[Stand Espresso Einde maand]]-Tabel2425678910111213141517161819212022232614151819[[#This Row],[Espresso vorige maand]]</calculatedColumnFormula>
    </tableColumn>
    <tableColumn id="7" xr3:uid="{B041C7BC-73B9-44D1-82F8-966C4A193182}" name="Stand Latte Macchiato einde maand" dataDxfId="216"/>
    <tableColumn id="31" xr3:uid="{B796A67F-D2BE-4F72-B5E9-CC5A0AB2BBBB}" name="Latte Macchiato vorige maand" dataDxfId="215">
      <calculatedColumnFormula>Tabel242[[#This Row],[Stand Latte Macchiato einde maand]]</calculatedColumnFormula>
    </tableColumn>
    <tableColumn id="30" xr3:uid="{040B9455-77CF-4F44-B4B9-380FC8FA8EEB}" name="Verbruik Latte Macchiato deze maand" dataDxfId="214">
      <calculatedColumnFormula>Tabel2425678910111213141517161819212022232614151819[[#This Row],[Stand Latte Macchiato einde maand]]-Tabel2425678910111213141517161819212022232614151819[[#This Row],[Latte Macchiato vorige maand]]</calculatedColumnFormula>
    </tableColumn>
    <tableColumn id="8" xr3:uid="{F9D01B8C-51AD-499D-B552-B830F09FBB88}" name="Stand Coffee Latte einde maand" dataDxfId="213"/>
    <tableColumn id="33" xr3:uid="{22CD43F3-218D-4C49-A5F0-5B80945D3B78}" name="Coffee Latte vorige maand" dataDxfId="212">
      <calculatedColumnFormula>Tabel242[[#This Row],[Stand Coffee Latte einde maand]]</calculatedColumnFormula>
    </tableColumn>
    <tableColumn id="32" xr3:uid="{E6EAF6B6-1C84-4F5F-8903-8251A9077D79}" name="Verbruik Coffee Latte deze maand" dataDxfId="211">
      <calculatedColumnFormula>Tabel2425678910111213141517161819212022232614151819[[#This Row],[Stand Coffee Latte einde maand]]-Tabel2425678910111213141517161819212022232614151819[[#This Row],[Coffee Latte vorige maand]]</calculatedColumnFormula>
    </tableColumn>
    <tableColumn id="9" xr3:uid="{DF87151A-A6AC-45BD-A009-E8CD635C9AAB}" name="Stand Hot Water einde maand" dataDxfId="210"/>
    <tableColumn id="35" xr3:uid="{699B791E-F601-4375-A896-98DAD6AADCBC}" name="Hot Water vorige maand" dataDxfId="209">
      <calculatedColumnFormula>Tabel242[[#This Row],[Stand Hot Water einde maand]]</calculatedColumnFormula>
    </tableColumn>
    <tableColumn id="34" xr3:uid="{C09AB72E-3029-4C4B-A4B0-8EE5A0C02603}" name="Verbruik Hot Water deze maand" dataDxfId="208">
      <calculatedColumnFormula>Tabel2425678910111213141517161819212022232614151819[[#This Row],[Stand Hot Water einde maand]]-Tabel2425678910111213141517161819212022232614151819[[#This Row],[Hot Water vorige maand]]</calculatedColumnFormula>
    </tableColumn>
    <tableColumn id="10" xr3:uid="{CC79688E-0F13-490A-978E-243AD2604086}" name="Stand Cappucino einde maand" dataDxfId="207"/>
    <tableColumn id="36" xr3:uid="{E03F38CE-409F-4D35-B92E-44BB89BC87A6}" name="Stand Cappucino vorige maand" dataDxfId="206">
      <calculatedColumnFormula>Tabel242[[#This Row],[Stand Cappucino einde maand]]</calculatedColumnFormula>
    </tableColumn>
    <tableColumn id="37" xr3:uid="{12B85858-C64C-458C-8C19-ECEB126EE89D}" name="Verbruik Cappucino deze maand" dataDxfId="205">
      <calculatedColumnFormula>Tabel2425678910111213141517161819212022232614151819[[#This Row],[Stand Cappucino einde maand]]-Tabel2425678910111213141517161819212022232614151819[[#This Row],[Stand Cappucino vorige maand]]</calculatedColumnFormula>
    </tableColumn>
    <tableColumn id="11" xr3:uid="{B2FDE3DB-78B1-4635-B7DC-692201C9B47B}" name="Stand Cappucino Plantaardig einde maand" dataDxfId="204"/>
    <tableColumn id="39" xr3:uid="{62A48B06-EED0-4A52-A4A5-68D9EADA470F}" name="Stand Cappucino Plantaardig vorige maand" dataDxfId="203">
      <calculatedColumnFormula>Tabel242[[#This Row],[Stand Cappucino Plantaardig einde maand]]</calculatedColumnFormula>
    </tableColumn>
    <tableColumn id="38" xr3:uid="{74E52F34-D229-46A9-AFAF-E9A66E191799}" name="Verbruik  Cappucino Plantaardig deze maand" dataDxfId="202">
      <calculatedColumnFormula>Tabel2425678910111213141517161819212022232614151819[[#This Row],[Stand Cappucino Plantaardig einde maand]]-Tabel2425678910111213141517161819212022232614151819[[#This Row],[Stand Cappucino Plantaardig vorige maand]]</calculatedColumnFormula>
    </tableColumn>
    <tableColumn id="12" xr3:uid="{8152D629-FC68-4533-BE7D-000EDD53B09C}" name="Stand Latte Macchiato Plantaardig einde maand" dataDxfId="201"/>
    <tableColumn id="41" xr3:uid="{5EE1BB47-3BCB-4E70-8FEF-7D985062336A}" name="Stand Latte Macchiato Plantaardig vorige maand" dataDxfId="200">
      <calculatedColumnFormula>Tabel242[[#This Row],[Stand Latte Macchiato Plantaardig einde maand]]</calculatedColumnFormula>
    </tableColumn>
    <tableColumn id="40" xr3:uid="{38740486-728E-4134-BBFD-CA88E797C962}" name="Verbruik Stand Latte Macchiato Plantaardig deze maand" dataDxfId="199">
      <calculatedColumnFormula>Tabel2425678910111213141517161819212022232614151819[[#This Row],[Stand Latte Macchiato Plantaardig einde maand]]-Tabel2425678910111213141517161819212022232614151819[[#This Row],[Stand Latte Macchiato Plantaardig vorige maand]]</calculatedColumnFormula>
    </tableColumn>
    <tableColumn id="13" xr3:uid="{9A15DF8E-DB03-4680-A468-FEF468290881}" name="Subtotaal koffieautomaten" dataDxfId="198"/>
    <tableColumn id="14" xr3:uid="{4C676B56-6122-41A0-A011-4ACDCB8752F8}" name="Stand Kamertemp liter einde maand" dataDxfId="197"/>
    <tableColumn id="42" xr3:uid="{92ECA4FE-5745-4BE0-8F89-E82A76099441}" name="Stand Kamertemp liter vorige maand" dataDxfId="196"/>
    <tableColumn id="43" xr3:uid="{9BC63D64-3DCF-4546-BEFF-55A1BC273A85}" name="Verbruik Kamertemp liter deze maand" dataDxfId="195"/>
    <tableColumn id="15" xr3:uid="{F6DE6039-2DED-45B7-B4E2-5568D9D16928}" name="Aantal consumpties Kamertemp deze maand"/>
    <tableColumn id="16" xr3:uid="{A81FDA34-8EA7-40CD-9694-25AE0E20B731}" name="Stand Gekoeld liter einde maand" dataDxfId="194"/>
    <tableColumn id="45" xr3:uid="{ADB7E5B9-3032-456F-AB99-76ABE3EC5498}" name="Stand Gekoeld liter vorige maand" dataDxfId="193"/>
    <tableColumn id="44" xr3:uid="{4268B190-D99C-4DEC-8377-74361F4DF1E8}" name="Verbruik Gekoeld liter deze maand" dataDxfId="192"/>
    <tableColumn id="17" xr3:uid="{9089EE87-6D1F-4E39-905D-F5321C031449}" name="Aantal consumpties gekoeld water deze maand"/>
    <tableColumn id="18" xr3:uid="{EC969D21-EE75-427D-B7C9-21B3846EF12F}" name="Stand Bruisend liter einde maand" dataDxfId="191"/>
    <tableColumn id="46" xr3:uid="{954444D3-47AF-4AC9-9399-797151CF94C4}" name="Stand Bruisend liter vorige maand" dataDxfId="190"/>
    <tableColumn id="47" xr3:uid="{E76A4C22-E0C6-45D8-A49F-2DE6DFA89679}" name="Verbruik Bruisend liter deze maand" dataDxfId="189"/>
    <tableColumn id="19" xr3:uid="{65DB89BA-3C3A-4500-959C-A03F60DAB0E8}" name="aantal consumpties Bruisend water deze maand"/>
    <tableColumn id="20" xr3:uid="{3B7652D8-6FB5-4277-8F93-56DE725C99BD}" name="Stand licht bruisend liter einde maand" dataDxfId="188"/>
    <tableColumn id="49" xr3:uid="{0A5FD321-3B6D-4C1C-A4E9-030042566A3D}" name="Stand licht bruisend liter vorige maand" dataDxfId="187"/>
    <tableColumn id="48" xr3:uid="{64D74EF4-AFA0-4F16-91EA-F6ECAC6D3674}" name="Verbruik licht bruisend liter deze maand" dataDxfId="186"/>
    <tableColumn id="21" xr3:uid="{4604EAFA-E3A5-45C0-9F6F-E392D834BA13}" name="Aantal consumpties licht bruisend water deze maand"/>
    <tableColumn id="22" xr3:uid="{0A4254C5-4544-4005-A283-034D753AA550}" name="Stand heet water liter einde maand" dataDxfId="185"/>
    <tableColumn id="51" xr3:uid="{60A8B16E-ABE2-4DC3-871D-80314B6FA1CA}" name="Stand heet water liter vorige maand" dataDxfId="184"/>
    <tableColumn id="50" xr3:uid="{588E9534-24E0-4A9A-B940-3AF6D67F05C2}" name="Verbruik heet Water liter deze maand " dataDxfId="183"/>
    <tableColumn id="23" xr3:uid="{146321EF-764A-4024-B901-57308C48E091}" name="Aantal consumpties heet water deze maand" dataDxfId="182"/>
    <tableColumn id="24" xr3:uid="{8088314E-68C0-4258-8158-C153EA95A74A}" name="Subtotaal waterbar in consumpties" dataDxfId="181"/>
    <tableColumn id="25" xr3:uid="{AE051339-911D-4475-8E1B-BEAC71EF45E8}" name="Grand totaal" dataDxfId="180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620CFC52-7281-4372-B02D-7CFF91C51C1D}" name="Tabel242567891011121314151716181921202223261415181920" displayName="Tabel242567891011121314151716181921202223261415181920" ref="A2:AY66" totalsRowShown="0" headerRowDxfId="179">
  <autoFilter ref="A2:AY66" xr:uid="{A70EF718-F10B-4779-A138-DEDC58180FB0}"/>
  <sortState xmlns:xlrd2="http://schemas.microsoft.com/office/spreadsheetml/2017/richdata2" ref="A3:AY66">
    <sortCondition ref="B2:B66"/>
  </sortState>
  <tableColumns count="51">
    <tableColumn id="1" xr3:uid="{F117B147-ED87-485A-A02B-C9DCF23D2E61}" name="Verdieping" dataDxfId="178"/>
    <tableColumn id="2" xr3:uid="{EF744B36-CE27-42D6-A0EA-740666ED4873}" name="Automatennaam"/>
    <tableColumn id="3" xr3:uid="{C4408E51-DC0F-4CD7-961E-28D227258EE6}" name="Type concept"/>
    <tableColumn id="4" xr3:uid="{8644ABFC-5532-4379-8105-0123F2D55D02}" name="Serienummer"/>
    <tableColumn id="5" xr3:uid="{939288D8-BEB9-4AFF-A09C-E392FB44B89B}" name="Stand Coffee einde maand" dataDxfId="177"/>
    <tableColumn id="27" xr3:uid="{5E0EB979-E666-44F1-AFBE-5DF602093AA2}" name="Coffee vorige maand" dataDxfId="176">
      <calculatedColumnFormula>Tabel2[[#This Row],[Coffee]]</calculatedColumnFormula>
    </tableColumn>
    <tableColumn id="26" xr3:uid="{C9D9B924-8E46-41C0-BB53-6E461A35EAB8}" name="Verbruik Coffee deze maand" dataDxfId="175">
      <calculatedColumnFormula>Tabel242567891011121314151716181921202223261415181920[[#This Row],[Stand Coffee einde maand]]-Tabel242567891011121314151716181921202223261415181920[[#This Row],[Coffee vorige maand]]</calculatedColumnFormula>
    </tableColumn>
    <tableColumn id="6" xr3:uid="{640538AE-4801-423F-8C0A-159CBD61283D}" name="Stand Espresso Einde maand" dataDxfId="174"/>
    <tableColumn id="29" xr3:uid="{DC3A1187-EEE7-42C7-BB8D-D4FA2A9F15E6}" name="Espresso vorige maand" dataDxfId="173">
      <calculatedColumnFormula>Tabel2[[#This Row],[Espresso]]</calculatedColumnFormula>
    </tableColumn>
    <tableColumn id="28" xr3:uid="{FD2CABDF-AF56-401B-A7E3-9077F1A2DE53}" name="Verbruik Espresso deze maand" dataDxfId="172">
      <calculatedColumnFormula>Tabel242567891011121314151716181921202223261415181920[[#This Row],[Stand Espresso Einde maand]]-Tabel242567891011121314151716181921202223261415181920[[#This Row],[Espresso vorige maand]]</calculatedColumnFormula>
    </tableColumn>
    <tableColumn id="7" xr3:uid="{E8859948-9C78-4685-9DB0-D77A8C51DA84}" name="Stand Latte Macchiato einde maand" dataDxfId="171"/>
    <tableColumn id="31" xr3:uid="{89224B6F-D3FC-4EE8-9B9F-4851E9A502DA}" name="Latte Macchiato vorige maand" dataDxfId="170">
      <calculatedColumnFormula>Tabel242[[#This Row],[Stand Latte Macchiato einde maand]]</calculatedColumnFormula>
    </tableColumn>
    <tableColumn id="30" xr3:uid="{65E733F6-27C0-46AC-B857-AD1972F18839}" name="Verbruik Latte Macchiato deze maand" dataDxfId="169">
      <calculatedColumnFormula>Tabel242567891011121314151716181921202223261415181920[[#This Row],[Stand Latte Macchiato einde maand]]-Tabel242567891011121314151716181921202223261415181920[[#This Row],[Latte Macchiato vorige maand]]</calculatedColumnFormula>
    </tableColumn>
    <tableColumn id="8" xr3:uid="{BFD08DDB-E548-4ACD-8595-B3AB835ABB23}" name="Stand Coffee Latte einde maand" dataDxfId="168"/>
    <tableColumn id="33" xr3:uid="{0D42B795-809E-40E0-A8B6-AFA50E060E95}" name="Coffee Latte vorige maand" dataDxfId="167">
      <calculatedColumnFormula>Tabel242[[#This Row],[Stand Coffee Latte einde maand]]</calculatedColumnFormula>
    </tableColumn>
    <tableColumn id="32" xr3:uid="{B37A82EE-0CD5-492A-A9DC-688538F5D7D6}" name="Verbruik Coffee Latte deze maand" dataDxfId="166">
      <calculatedColumnFormula>Tabel242567891011121314151716181921202223261415181920[[#This Row],[Stand Coffee Latte einde maand]]-Tabel242567891011121314151716181921202223261415181920[[#This Row],[Coffee Latte vorige maand]]</calculatedColumnFormula>
    </tableColumn>
    <tableColumn id="9" xr3:uid="{770E35DB-F1B7-4116-A43F-FECDBA67C1A0}" name="Stand Hot Water einde maand" dataDxfId="165"/>
    <tableColumn id="35" xr3:uid="{AE5F70B8-3EDA-411F-99A8-DA816C9369B6}" name="Hot Water vorige maand" dataDxfId="164">
      <calculatedColumnFormula>Tabel242[[#This Row],[Stand Hot Water einde maand]]</calculatedColumnFormula>
    </tableColumn>
    <tableColumn id="34" xr3:uid="{65CAC91D-B031-4DAC-B53F-0B5B1B0D7E8C}" name="Verbruik Hot Water deze maand" dataDxfId="163">
      <calculatedColumnFormula>Tabel242567891011121314151716181921202223261415181920[[#This Row],[Stand Hot Water einde maand]]-Tabel242567891011121314151716181921202223261415181920[[#This Row],[Hot Water vorige maand]]</calculatedColumnFormula>
    </tableColumn>
    <tableColumn id="10" xr3:uid="{F7CF1444-74F2-4483-97EC-2FEE0BA69971}" name="Stand Cappucino einde maand" dataDxfId="162"/>
    <tableColumn id="36" xr3:uid="{C778EA86-3BC6-4D01-B155-C52356326B1D}" name="Stand Cappucino vorige maand" dataDxfId="161">
      <calculatedColumnFormula>Tabel242[[#This Row],[Stand Cappucino einde maand]]</calculatedColumnFormula>
    </tableColumn>
    <tableColumn id="37" xr3:uid="{7B099EF0-A962-4FCA-AD37-2DFA29AE5C63}" name="Verbruik Cappucino deze maand" dataDxfId="160">
      <calculatedColumnFormula>Tabel242567891011121314151716181921202223261415181920[[#This Row],[Stand Cappucino einde maand]]-Tabel242567891011121314151716181921202223261415181920[[#This Row],[Stand Cappucino vorige maand]]</calculatedColumnFormula>
    </tableColumn>
    <tableColumn id="11" xr3:uid="{9DED8480-3043-4ABA-B7FF-5C194A14F7CD}" name="Stand Cappucino Plantaardig einde maand" dataDxfId="159"/>
    <tableColumn id="39" xr3:uid="{0538053D-84D8-47F4-B4CB-567984EDFA0A}" name="Stand Cappucino Plantaardig vorige maand" dataDxfId="158">
      <calculatedColumnFormula>Tabel242[[#This Row],[Stand Cappucino Plantaardig einde maand]]</calculatedColumnFormula>
    </tableColumn>
    <tableColumn id="38" xr3:uid="{9D49FA50-C94D-49A2-A1D3-874F9404737C}" name="Verbruik  Cappucino Plantaardig deze maand" dataDxfId="157">
      <calculatedColumnFormula>Tabel242567891011121314151716181921202223261415181920[[#This Row],[Stand Cappucino Plantaardig einde maand]]-Tabel242567891011121314151716181921202223261415181920[[#This Row],[Stand Cappucino Plantaardig vorige maand]]</calculatedColumnFormula>
    </tableColumn>
    <tableColumn id="12" xr3:uid="{C0C57E58-71BC-410D-A141-CDBB493569DD}" name="Stand Latte Macchiato Plantaardig einde maand" dataDxfId="156"/>
    <tableColumn id="41" xr3:uid="{89323757-31DA-4737-AE71-5E8171E3647E}" name="Stand Latte Macchiato Plantaardig vorige maand" dataDxfId="155">
      <calculatedColumnFormula>Tabel242[[#This Row],[Stand Latte Macchiato Plantaardig einde maand]]</calculatedColumnFormula>
    </tableColumn>
    <tableColumn id="40" xr3:uid="{A70831ED-2E5F-4A84-A554-9F9B85F5B2E8}" name="Verbruik Stand Latte Macchiato Plantaardig deze maand" dataDxfId="154">
      <calculatedColumnFormula>Tabel242567891011121314151716181921202223261415181920[[#This Row],[Stand Latte Macchiato Plantaardig einde maand]]-Tabel242567891011121314151716181921202223261415181920[[#This Row],[Stand Latte Macchiato Plantaardig vorige maand]]</calculatedColumnFormula>
    </tableColumn>
    <tableColumn id="13" xr3:uid="{E95270FB-8615-4CAC-99DE-11E8CDD0FBCD}" name="Subtotaal koffieautomaten" dataDxfId="153"/>
    <tableColumn id="14" xr3:uid="{8FCF4277-6BAC-4A89-9830-BD006812C89B}" name="Stand Kamertemp liter einde maand" dataDxfId="152"/>
    <tableColumn id="42" xr3:uid="{38B51132-5D9D-4D27-A8C2-132C9EDACB59}" name="Stand Kamertemp liter vorige maand" dataDxfId="151"/>
    <tableColumn id="43" xr3:uid="{FA96E465-2E30-411C-8E58-9B678E0874D0}" name="Verbruik Kamertemp liter deze maand" dataDxfId="150"/>
    <tableColumn id="15" xr3:uid="{0CE55161-FE59-4420-AA31-09A4F0C0BE41}" name="Aantal consumpties Kamertemp deze maand"/>
    <tableColumn id="16" xr3:uid="{0D74928D-16C2-46D7-BB82-8347B88578B6}" name="Stand Gekoeld liter einde maand" dataDxfId="149"/>
    <tableColumn id="45" xr3:uid="{630E6E2E-2CE5-4228-937E-6D19206B05A3}" name="Stand Gekoeld liter vorige maand" dataDxfId="148"/>
    <tableColumn id="44" xr3:uid="{B17931FD-019B-4E82-AE33-310EDFF5B254}" name="Verbruik Gekoeld liter deze maand" dataDxfId="147"/>
    <tableColumn id="17" xr3:uid="{ABEBC54B-60CE-4919-BDD9-C2F5F4D3D545}" name="Aantal consumpties gekoeld water deze maand"/>
    <tableColumn id="18" xr3:uid="{34FC2C3D-F093-4DA3-ADD6-F31C879F0560}" name="Stand Bruisend liter einde maand" dataDxfId="146"/>
    <tableColumn id="46" xr3:uid="{0448564C-0AE8-401A-A505-B91598D00A40}" name="Stand Bruisend liter vorige maand" dataDxfId="145"/>
    <tableColumn id="47" xr3:uid="{95500D0F-27D5-4CA6-83BA-28ED9386039D}" name="Verbruik Bruisend liter deze maand" dataDxfId="144"/>
    <tableColumn id="19" xr3:uid="{54D6C24D-29FC-469B-B97F-4B277A8D699F}" name="aantal consumpties Bruisend water deze maand"/>
    <tableColumn id="20" xr3:uid="{C000734E-5535-4216-9475-01B9A4CA1401}" name="Stand licht bruisend liter einde maand" dataDxfId="143"/>
    <tableColumn id="49" xr3:uid="{AA8C9AD3-E71B-4239-9D4C-A76FE3BB3040}" name="Stand licht bruisend liter vorige maand" dataDxfId="142"/>
    <tableColumn id="48" xr3:uid="{EDCE26CC-B679-403A-A400-1AEEF4442360}" name="Verbruik licht bruisend liter deze maand" dataDxfId="141"/>
    <tableColumn id="21" xr3:uid="{807917F4-CDE5-4345-A966-2804AF0EC30D}" name="Aantal consumpties licht bruisend water deze maand"/>
    <tableColumn id="22" xr3:uid="{166FB705-23D9-4D44-8B0D-6C2E418026EA}" name="Stand heet water liter einde maand" dataDxfId="140"/>
    <tableColumn id="51" xr3:uid="{7412FA41-DBC9-4AFD-A6ED-D443793CE6F0}" name="Stand heet water liter vorige maand" dataDxfId="139"/>
    <tableColumn id="50" xr3:uid="{4BAA239C-5024-4015-AEDA-75F3B7058B1E}" name="Verbruik heet Water liter deze maand " dataDxfId="138"/>
    <tableColumn id="23" xr3:uid="{CCF60D68-29DA-4B0F-AE07-AA5EFFEF889A}" name="Aantal consumpties heet water deze maand" dataDxfId="137"/>
    <tableColumn id="24" xr3:uid="{7090F9C2-3F94-4C2B-8412-4B0D942B00DA}" name="Subtotaal waterbar in consumpties" dataDxfId="136"/>
    <tableColumn id="25" xr3:uid="{6A08D1A2-5054-43FC-9BDC-820F0EBB78B4}" name="Grand totaal" dataDxfId="135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540922C3-62B3-4EAB-8E6E-5D113985B031}" name="Tabel24256789101112131415171618192120222326141518192021" displayName="Tabel24256789101112131415171618192120222326141518192021" ref="A2:AY66" totalsRowShown="0" headerRowDxfId="134">
  <autoFilter ref="A2:AY66" xr:uid="{A70EF718-F10B-4779-A138-DEDC58180FB0}"/>
  <sortState xmlns:xlrd2="http://schemas.microsoft.com/office/spreadsheetml/2017/richdata2" ref="A3:AY66">
    <sortCondition ref="B2:B66"/>
  </sortState>
  <tableColumns count="51">
    <tableColumn id="1" xr3:uid="{2F5085E3-10BC-4E37-9D1F-9BD69234772A}" name="Verdieping" dataDxfId="133"/>
    <tableColumn id="2" xr3:uid="{8F2C814D-DC9F-4267-9D93-8D06E91DA84D}" name="Automatennaam"/>
    <tableColumn id="3" xr3:uid="{F974F8C9-9232-40DD-98CA-023E5A8CA496}" name="Type concept"/>
    <tableColumn id="4" xr3:uid="{9D938276-F314-4FAE-A2D6-2D877D9080CF}" name="Serienummer"/>
    <tableColumn id="5" xr3:uid="{21663301-66B7-4D15-8A0F-76242ED7839D}" name="Stand Coffee einde maand" dataDxfId="132"/>
    <tableColumn id="27" xr3:uid="{824479B6-3318-4006-A208-54D1CA5C2385}" name="Coffee vorige maand" dataDxfId="131">
      <calculatedColumnFormula>Tabel2[[#This Row],[Coffee]]</calculatedColumnFormula>
    </tableColumn>
    <tableColumn id="26" xr3:uid="{02B5CB34-C540-49AD-8D64-FD145D80423C}" name="Verbruik Coffee deze maand" dataDxfId="130">
      <calculatedColumnFormula>Tabel24256789101112131415171618192120222326141518192021[[#This Row],[Stand Coffee einde maand]]-Tabel24256789101112131415171618192120222326141518192021[[#This Row],[Coffee vorige maand]]</calculatedColumnFormula>
    </tableColumn>
    <tableColumn id="6" xr3:uid="{4670236A-9584-47C6-A530-AD6E6DB54F48}" name="Stand Espresso Einde maand" dataDxfId="129"/>
    <tableColumn id="29" xr3:uid="{03549AAD-92FD-495E-9188-0459D4E2089C}" name="Espresso vorige maand" dataDxfId="128">
      <calculatedColumnFormula>Tabel2[[#This Row],[Espresso]]</calculatedColumnFormula>
    </tableColumn>
    <tableColumn id="28" xr3:uid="{8ED22466-01FA-40BC-A0C4-902A3FE6761E}" name="Verbruik Espresso deze maand" dataDxfId="127">
      <calculatedColumnFormula>Tabel24256789101112131415171618192120222326141518192021[[#This Row],[Stand Espresso Einde maand]]-Tabel24256789101112131415171618192120222326141518192021[[#This Row],[Espresso vorige maand]]</calculatedColumnFormula>
    </tableColumn>
    <tableColumn id="7" xr3:uid="{6C49F0E4-BA6D-4716-A11D-3E6E7418F241}" name="Stand Latte Macchiato einde maand" dataDxfId="126"/>
    <tableColumn id="31" xr3:uid="{1C3B0FC9-E3E1-4954-A2B2-55D90E9586C0}" name="Latte Macchiato vorige maand" dataDxfId="125">
      <calculatedColumnFormula>Tabel242[[#This Row],[Stand Latte Macchiato einde maand]]</calculatedColumnFormula>
    </tableColumn>
    <tableColumn id="30" xr3:uid="{B89DAED0-0901-4E4B-95BC-81E2DCADA5D3}" name="Verbruik Latte Macchiato deze maand" dataDxfId="124">
      <calculatedColumnFormula>Tabel24256789101112131415171618192120222326141518192021[[#This Row],[Stand Latte Macchiato einde maand]]-Tabel24256789101112131415171618192120222326141518192021[[#This Row],[Latte Macchiato vorige maand]]</calculatedColumnFormula>
    </tableColumn>
    <tableColumn id="8" xr3:uid="{9D2F4EFD-54F2-4922-8345-2FEB92F0B760}" name="Stand Coffee Latte einde maand" dataDxfId="123"/>
    <tableColumn id="33" xr3:uid="{67ABE592-9B13-41B9-B433-613615306A53}" name="Coffee Latte vorige maand" dataDxfId="122">
      <calculatedColumnFormula>Tabel242[[#This Row],[Stand Coffee Latte einde maand]]</calculatedColumnFormula>
    </tableColumn>
    <tableColumn id="32" xr3:uid="{EEF3BB6A-9AAB-47DC-A15A-824C70F20809}" name="Verbruik Coffee Latte deze maand" dataDxfId="121">
      <calculatedColumnFormula>Tabel24256789101112131415171618192120222326141518192021[[#This Row],[Stand Coffee Latte einde maand]]-Tabel24256789101112131415171618192120222326141518192021[[#This Row],[Coffee Latte vorige maand]]</calculatedColumnFormula>
    </tableColumn>
    <tableColumn id="9" xr3:uid="{838252AA-8F6A-4EEF-8CD8-98C4E2916410}" name="Stand Hot Water einde maand" dataDxfId="120"/>
    <tableColumn id="35" xr3:uid="{7E9BAEC4-3AA7-4099-B1FF-55AD6D3AE0F6}" name="Hot Water vorige maand" dataDxfId="119">
      <calculatedColumnFormula>Tabel242[[#This Row],[Stand Hot Water einde maand]]</calculatedColumnFormula>
    </tableColumn>
    <tableColumn id="34" xr3:uid="{D71C26D3-8AC4-4347-8C2A-31AB27198CD2}" name="Verbruik Hot Water deze maand" dataDxfId="118">
      <calculatedColumnFormula>Tabel24256789101112131415171618192120222326141518192021[[#This Row],[Stand Hot Water einde maand]]-Tabel24256789101112131415171618192120222326141518192021[[#This Row],[Hot Water vorige maand]]</calculatedColumnFormula>
    </tableColumn>
    <tableColumn id="10" xr3:uid="{DB46218C-7F93-4C2A-949F-6EC33445EBB8}" name="Stand Cappucino einde maand" dataDxfId="117"/>
    <tableColumn id="36" xr3:uid="{D6FB6702-A449-4106-9971-B27AB4DE6A35}" name="Stand Cappucino vorige maand" dataDxfId="116">
      <calculatedColumnFormula>Tabel242[[#This Row],[Stand Cappucino einde maand]]</calculatedColumnFormula>
    </tableColumn>
    <tableColumn id="37" xr3:uid="{D5DEC71E-07E4-4402-8E96-D936DC0F6849}" name="Verbruik Cappucino deze maand" dataDxfId="115">
      <calculatedColumnFormula>Tabel24256789101112131415171618192120222326141518192021[[#This Row],[Stand Cappucino einde maand]]-Tabel24256789101112131415171618192120222326141518192021[[#This Row],[Stand Cappucino vorige maand]]</calculatedColumnFormula>
    </tableColumn>
    <tableColumn id="11" xr3:uid="{1AE9AAAC-9BAC-45A5-939F-3A0A06E5CF79}" name="Stand Cappucino Plantaardig einde maand" dataDxfId="114"/>
    <tableColumn id="39" xr3:uid="{F4CC711C-698C-4186-A561-3B21ED9D6D71}" name="Stand Cappucino Plantaardig vorige maand" dataDxfId="113">
      <calculatedColumnFormula>Tabel242[[#This Row],[Stand Cappucino Plantaardig einde maand]]</calculatedColumnFormula>
    </tableColumn>
    <tableColumn id="38" xr3:uid="{93DC668C-0A24-459B-A25F-4A3A5B8E0CD4}" name="Verbruik  Cappucino Plantaardig deze maand" dataDxfId="112">
      <calculatedColumnFormula>Tabel24256789101112131415171618192120222326141518192021[[#This Row],[Stand Cappucino Plantaardig einde maand]]-Tabel24256789101112131415171618192120222326141518192021[[#This Row],[Stand Cappucino Plantaardig vorige maand]]</calculatedColumnFormula>
    </tableColumn>
    <tableColumn id="12" xr3:uid="{85A1A498-01AB-4B90-8BF6-61237E09A741}" name="Stand Latte Macchiato Plantaardig einde maand" dataDxfId="111"/>
    <tableColumn id="41" xr3:uid="{7D673794-C25A-404A-8415-4A96D93729D3}" name="Stand Latte Macchiato Plantaardig vorige maand" dataDxfId="110">
      <calculatedColumnFormula>Tabel242[[#This Row],[Stand Latte Macchiato Plantaardig einde maand]]</calculatedColumnFormula>
    </tableColumn>
    <tableColumn id="40" xr3:uid="{13F5048F-F9F3-40A9-B917-98E8F16BF49A}" name="Verbruik Stand Latte Macchiato Plantaardig deze maand" dataDxfId="109">
      <calculatedColumnFormula>Tabel24256789101112131415171618192120222326141518192021[[#This Row],[Stand Latte Macchiato Plantaardig einde maand]]-Tabel24256789101112131415171618192120222326141518192021[[#This Row],[Stand Latte Macchiato Plantaardig vorige maand]]</calculatedColumnFormula>
    </tableColumn>
    <tableColumn id="13" xr3:uid="{8DD411D9-F87C-434E-B9C6-1725836027AB}" name="Subtotaal koffieautomaten" dataDxfId="108"/>
    <tableColumn id="14" xr3:uid="{FA48E353-08DD-44A6-9937-AB73E7CC1216}" name="Stand Kamertemp liter einde maand" dataDxfId="107"/>
    <tableColumn id="42" xr3:uid="{A6FDB0CE-670F-459A-A273-95100935883B}" name="Stand Kamertemp liter vorige maand" dataDxfId="106"/>
    <tableColumn id="43" xr3:uid="{673BB7FC-5E7F-46E9-9927-81BA5597FA41}" name="Verbruik Kamertemp liter deze maand" dataDxfId="105"/>
    <tableColumn id="15" xr3:uid="{8CA6E535-92B6-40A0-B0B3-18D49D71756F}" name="Aantal consumpties Kamertemp deze maand"/>
    <tableColumn id="16" xr3:uid="{4FD39B73-1CE9-4122-ACFD-E6A586F65977}" name="Stand Gekoeld liter einde maand" dataDxfId="104"/>
    <tableColumn id="45" xr3:uid="{11273314-52A6-4E6D-9BB2-A47265046D50}" name="Stand Gekoeld liter vorige maand" dataDxfId="103"/>
    <tableColumn id="44" xr3:uid="{7038BD71-FBDB-4221-BF69-0494528C6041}" name="Verbruik Gekoeld liter deze maand" dataDxfId="102"/>
    <tableColumn id="17" xr3:uid="{6983D03F-A8BB-49A2-AD67-5FF1D896F6FE}" name="Aantal consumpties gekoeld water deze maand"/>
    <tableColumn id="18" xr3:uid="{B246BBD9-065E-4096-B017-B09929C78FFE}" name="Stand Bruisend liter einde maand" dataDxfId="101"/>
    <tableColumn id="46" xr3:uid="{5EB0433C-D811-45D3-BE3F-BBB87A917DEC}" name="Stand Bruisend liter vorige maand" dataDxfId="100"/>
    <tableColumn id="47" xr3:uid="{A0685FB7-E5F9-4994-A4E6-CAE83A77CF39}" name="Verbruik Bruisend liter deze maand" dataDxfId="99"/>
    <tableColumn id="19" xr3:uid="{04365EE1-15C3-4037-91FB-2879B9BC4D1A}" name="aantal consumpties Bruisend water deze maand"/>
    <tableColumn id="20" xr3:uid="{19ACAE39-575A-428C-A77B-B1D15FDB90E0}" name="Stand licht bruisend liter einde maand" dataDxfId="98"/>
    <tableColumn id="49" xr3:uid="{313FD8D5-4CCA-40EF-BE9C-43E2EB4C506E}" name="Stand licht bruisend liter vorige maand" dataDxfId="97"/>
    <tableColumn id="48" xr3:uid="{FE057D36-0631-405D-99A1-BD042CDF9878}" name="Verbruik licht bruisend liter deze maand" dataDxfId="96"/>
    <tableColumn id="21" xr3:uid="{CDADBB5E-5C0D-4AE1-B841-C1A7460938DC}" name="Aantal consumpties licht bruisend water deze maand"/>
    <tableColumn id="22" xr3:uid="{88C2C2EF-890D-44C3-9D5B-0AC48B675622}" name="Stand heet water liter einde maand" dataDxfId="95"/>
    <tableColumn id="51" xr3:uid="{BBC2C76F-AB42-4AA9-A988-C89CDB751733}" name="Stand heet water liter vorige maand" dataDxfId="94"/>
    <tableColumn id="50" xr3:uid="{501C5236-AFA4-4616-96D4-5017D807D266}" name="Verbruik heet Water liter deze maand " dataDxfId="93"/>
    <tableColumn id="23" xr3:uid="{7F6BAC80-C434-4C66-BC4A-E8A4867ED212}" name="Aantal consumpties heet water deze maand" dataDxfId="92"/>
    <tableColumn id="24" xr3:uid="{C3AADCC1-5CF0-45C1-845C-B4D841DA2998}" name="Subtotaal waterbar in consumpties" dataDxfId="91"/>
    <tableColumn id="25" xr3:uid="{0C9F7853-9276-4C22-98AA-15B2FE3805E4}" name="Grand totaal" dataDxfId="90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E4785446-A21A-4E2D-8B04-74F27954409B}" name="Tabel2425678910111213141517161819212022232614151819202122" displayName="Tabel2425678910111213141517161819212022232614151819202122" ref="A2:AY66" totalsRowShown="0" headerRowDxfId="89">
  <autoFilter ref="A2:AY66" xr:uid="{A70EF718-F10B-4779-A138-DEDC58180FB0}"/>
  <sortState xmlns:xlrd2="http://schemas.microsoft.com/office/spreadsheetml/2017/richdata2" ref="A3:AY66">
    <sortCondition ref="B2:B66"/>
  </sortState>
  <tableColumns count="51">
    <tableColumn id="1" xr3:uid="{F299BF08-561F-45A7-9CD8-ADA0A496763C}" name="Verdieping" dataDxfId="88"/>
    <tableColumn id="2" xr3:uid="{0C89904F-ABD0-417A-824E-BFC2E7ABAE59}" name="Automatennaam"/>
    <tableColumn id="3" xr3:uid="{10D97B75-EB0C-46D6-BCC0-765058C9FD3B}" name="Type concept"/>
    <tableColumn id="4" xr3:uid="{BECE7AB3-A56A-422E-970A-1B3446987417}" name="Serienummer"/>
    <tableColumn id="5" xr3:uid="{37D5E282-9BC7-459D-9E4C-3D33D09E5DD3}" name="Stand Coffee einde maand" dataDxfId="87"/>
    <tableColumn id="27" xr3:uid="{3BF25355-6C67-49AB-B9BE-B1F3A5B3DF14}" name="Coffee vorige maand" dataDxfId="86">
      <calculatedColumnFormula>Tabel2[[#This Row],[Coffee]]</calculatedColumnFormula>
    </tableColumn>
    <tableColumn id="26" xr3:uid="{8317CDDE-71DE-4213-A972-A7CD974D556B}" name="Verbruik Coffee deze maand" dataDxfId="85">
      <calculatedColumnFormula>Tabel2425678910111213141517161819212022232614151819202122[[#This Row],[Stand Coffee einde maand]]-Tabel2425678910111213141517161819212022232614151819202122[[#This Row],[Coffee vorige maand]]</calculatedColumnFormula>
    </tableColumn>
    <tableColumn id="6" xr3:uid="{982D31BD-E306-4DD6-87B2-B5E5B0852808}" name="Stand Espresso Einde maand" dataDxfId="84"/>
    <tableColumn id="29" xr3:uid="{21D11A63-1E97-49C7-B114-5533E7689FF4}" name="Espresso vorige maand" dataDxfId="83">
      <calculatedColumnFormula>Tabel2[[#This Row],[Espresso]]</calculatedColumnFormula>
    </tableColumn>
    <tableColumn id="28" xr3:uid="{D2E0C4FA-8B6C-4AD3-8CCA-4B8ACE1FFC94}" name="Verbruik Espresso deze maand" dataDxfId="82">
      <calculatedColumnFormula>Tabel2425678910111213141517161819212022232614151819202122[[#This Row],[Stand Espresso Einde maand]]-Tabel2425678910111213141517161819212022232614151819202122[[#This Row],[Espresso vorige maand]]</calculatedColumnFormula>
    </tableColumn>
    <tableColumn id="7" xr3:uid="{8C983CD7-1658-423F-9659-994BDE4CCA3C}" name="Stand Latte Macchiato einde maand" dataDxfId="81"/>
    <tableColumn id="31" xr3:uid="{E7BF7DDB-BC6D-4A3E-ABEB-6D796DE459AE}" name="Latte Macchiato vorige maand" dataDxfId="80">
      <calculatedColumnFormula>Tabel242[[#This Row],[Stand Latte Macchiato einde maand]]</calculatedColumnFormula>
    </tableColumn>
    <tableColumn id="30" xr3:uid="{8DBC3000-FECE-4805-B5FB-61520496919B}" name="Verbruik Latte Macchiato deze maand" dataDxfId="79">
      <calculatedColumnFormula>Tabel2425678910111213141517161819212022232614151819202122[[#This Row],[Stand Latte Macchiato einde maand]]-Tabel2425678910111213141517161819212022232614151819202122[[#This Row],[Latte Macchiato vorige maand]]</calculatedColumnFormula>
    </tableColumn>
    <tableColumn id="8" xr3:uid="{CBAEFAA1-26CD-416B-B50A-0D4632E0CB37}" name="Stand Coffee Latte einde maand" dataDxfId="78"/>
    <tableColumn id="33" xr3:uid="{9DE005D0-244B-4283-B6D3-0CDE4C693674}" name="Coffee Latte vorige maand" dataDxfId="77">
      <calculatedColumnFormula>Tabel242[[#This Row],[Stand Coffee Latte einde maand]]</calculatedColumnFormula>
    </tableColumn>
    <tableColumn id="32" xr3:uid="{E046D9D4-A204-4954-B0EC-E9DC3EC8C30D}" name="Verbruik Coffee Latte deze maand" dataDxfId="76">
      <calculatedColumnFormula>Tabel2425678910111213141517161819212022232614151819202122[[#This Row],[Stand Coffee Latte einde maand]]-Tabel2425678910111213141517161819212022232614151819202122[[#This Row],[Coffee Latte vorige maand]]</calculatedColumnFormula>
    </tableColumn>
    <tableColumn id="9" xr3:uid="{A4E165B1-31BE-44A8-AFA8-89CAE3CFD51D}" name="Stand Hot Water einde maand" dataDxfId="75"/>
    <tableColumn id="35" xr3:uid="{87AA8E09-A3C4-4BED-A978-6E79A6FD0159}" name="Hot Water vorige maand" dataDxfId="74">
      <calculatedColumnFormula>Tabel242[[#This Row],[Stand Hot Water einde maand]]</calculatedColumnFormula>
    </tableColumn>
    <tableColumn id="34" xr3:uid="{8E621EE1-D2D5-4EB7-AE0F-5A79A3BCF4BA}" name="Verbruik Hot Water deze maand" dataDxfId="73">
      <calculatedColumnFormula>Tabel2425678910111213141517161819212022232614151819202122[[#This Row],[Stand Hot Water einde maand]]-Tabel2425678910111213141517161819212022232614151819202122[[#This Row],[Hot Water vorige maand]]</calculatedColumnFormula>
    </tableColumn>
    <tableColumn id="10" xr3:uid="{BCF3EB7E-2EDA-47FF-A17F-EA0B89C0733C}" name="Stand Cappucino einde maand" dataDxfId="72"/>
    <tableColumn id="36" xr3:uid="{AF3AD027-D187-4537-882D-60230B096394}" name="Stand Cappucino vorige maand" dataDxfId="71">
      <calculatedColumnFormula>Tabel242[[#This Row],[Stand Cappucino einde maand]]</calculatedColumnFormula>
    </tableColumn>
    <tableColumn id="37" xr3:uid="{74BF693C-3CF8-4429-ADD3-6DF834E390FA}" name="Verbruik Cappucino deze maand" dataDxfId="70">
      <calculatedColumnFormula>Tabel2425678910111213141517161819212022232614151819202122[[#This Row],[Stand Cappucino einde maand]]-Tabel2425678910111213141517161819212022232614151819202122[[#This Row],[Stand Cappucino vorige maand]]</calculatedColumnFormula>
    </tableColumn>
    <tableColumn id="11" xr3:uid="{A034C934-0CA8-4EA8-A2E3-0BBE01BFF37B}" name="Stand Cappucino Plantaardig einde maand" dataDxfId="69"/>
    <tableColumn id="39" xr3:uid="{EE8F8323-2A43-429A-9BA2-5855335AD5D3}" name="Stand Cappucino Plantaardig vorige maand" dataDxfId="68">
      <calculatedColumnFormula>Tabel242[[#This Row],[Stand Cappucino Plantaardig einde maand]]</calculatedColumnFormula>
    </tableColumn>
    <tableColumn id="38" xr3:uid="{B14544A5-6B09-4FD8-80BE-82753E2B9577}" name="Verbruik  Cappucino Plantaardig deze maand" dataDxfId="67">
      <calculatedColumnFormula>Tabel2425678910111213141517161819212022232614151819202122[[#This Row],[Stand Cappucino Plantaardig einde maand]]-Tabel2425678910111213141517161819212022232614151819202122[[#This Row],[Stand Cappucino Plantaardig vorige maand]]</calculatedColumnFormula>
    </tableColumn>
    <tableColumn id="12" xr3:uid="{573E8E04-FF72-4AFB-A0EF-6079F73DB5C5}" name="Stand Latte Macchiato Plantaardig einde maand" dataDxfId="66"/>
    <tableColumn id="41" xr3:uid="{83FF465E-D5FA-4A21-9840-4E6D688FFBE5}" name="Stand Latte Macchiato Plantaardig vorige maand" dataDxfId="65">
      <calculatedColumnFormula>Tabel242[[#This Row],[Stand Latte Macchiato Plantaardig einde maand]]</calculatedColumnFormula>
    </tableColumn>
    <tableColumn id="40" xr3:uid="{B7E34CD7-37D6-434A-A1CB-024431C4830C}" name="Verbruik Stand Latte Macchiato Plantaardig deze maand" dataDxfId="64">
      <calculatedColumnFormula>Tabel2425678910111213141517161819212022232614151819202122[[#This Row],[Stand Latte Macchiato Plantaardig einde maand]]-Tabel2425678910111213141517161819212022232614151819202122[[#This Row],[Stand Latte Macchiato Plantaardig vorige maand]]</calculatedColumnFormula>
    </tableColumn>
    <tableColumn id="13" xr3:uid="{62C78A1D-5AE3-4A7B-BE5C-B35D250A19DD}" name="Subtotaal koffieautomaten" dataDxfId="63"/>
    <tableColumn id="14" xr3:uid="{270DC9BD-012B-4D9D-AE85-39E258E6EB37}" name="Stand Kamertemp liter einde maand" dataDxfId="62"/>
    <tableColumn id="42" xr3:uid="{A5E1233A-1399-42E7-BDF2-020F476F7102}" name="Stand Kamertemp liter vorige maand" dataDxfId="61"/>
    <tableColumn id="43" xr3:uid="{238BA608-F354-425D-A993-CC5D5115878B}" name="Verbruik Kamertemp liter deze maand" dataDxfId="60"/>
    <tableColumn id="15" xr3:uid="{2DDA2C09-638B-4C77-8096-6CCEB03A3D28}" name="Aantal consumpties Kamertemp deze maand"/>
    <tableColumn id="16" xr3:uid="{A0D50613-3797-450C-B4E1-78053A90C059}" name="Stand Gekoeld liter einde maand" dataDxfId="59"/>
    <tableColumn id="45" xr3:uid="{FB96EF09-CE37-4C57-B2DD-905E73C0902B}" name="Stand Gekoeld liter vorige maand" dataDxfId="58"/>
    <tableColumn id="44" xr3:uid="{5A1E30C4-85EE-411F-8A16-5D28F5D00E93}" name="Verbruik Gekoeld liter deze maand" dataDxfId="57"/>
    <tableColumn id="17" xr3:uid="{561791AB-FBA3-4F9A-A2B7-017E61559A43}" name="Aantal consumpties gekoeld water deze maand"/>
    <tableColumn id="18" xr3:uid="{BECEA5A4-12CF-4235-90CB-62E688B8CDED}" name="Stand Bruisend liter einde maand" dataDxfId="56"/>
    <tableColumn id="46" xr3:uid="{2679CB73-1634-4F99-8904-6E886514F4D3}" name="Stand Bruisend liter vorige maand" dataDxfId="55"/>
    <tableColumn id="47" xr3:uid="{57B88120-B410-4FC6-AC33-C792179CF915}" name="Verbruik Bruisend liter deze maand" dataDxfId="54"/>
    <tableColumn id="19" xr3:uid="{6A08F34D-15CD-4BB2-8F0F-05890B00767B}" name="aantal consumpties Bruisend water deze maand"/>
    <tableColumn id="20" xr3:uid="{2B005514-DD87-46F9-A387-0F3DC9F1C88D}" name="Stand licht bruisend liter einde maand" dataDxfId="53"/>
    <tableColumn id="49" xr3:uid="{6617C2BF-F76B-460E-A469-E6F71CCA42D8}" name="Stand licht bruisend liter vorige maand" dataDxfId="52"/>
    <tableColumn id="48" xr3:uid="{2E656628-B34A-4DFE-BD1F-9E0B650C1E01}" name="Verbruik licht bruisend liter deze maand" dataDxfId="51"/>
    <tableColumn id="21" xr3:uid="{ACE47D03-C83F-4B61-8D87-02019911F9B3}" name="Aantal consumpties licht bruisend water deze maand"/>
    <tableColumn id="22" xr3:uid="{B11BC815-A60B-4815-A7DB-AE3C580F4A48}" name="Stand heet water liter einde maand" dataDxfId="50"/>
    <tableColumn id="51" xr3:uid="{C3C45675-C1FB-440A-BF15-4CF60E3F9A05}" name="Stand heet water liter vorige maand" dataDxfId="49"/>
    <tableColumn id="50" xr3:uid="{58BF5983-ACCE-46A9-B780-DE49207FE787}" name="Verbruik heet Water liter deze maand " dataDxfId="48"/>
    <tableColumn id="23" xr3:uid="{7E1DA7F5-34A6-4E6B-ADC3-67F09E98F0D9}" name="Aantal consumpties heet water deze maand" dataDxfId="47"/>
    <tableColumn id="24" xr3:uid="{C38A56FA-D489-4FEB-B6DB-19253A10B85E}" name="Subtotaal waterbar in consumpties" dataDxfId="46"/>
    <tableColumn id="25" xr3:uid="{C7B0C269-29D7-4CD2-AB0A-18FB8B8FCDCE}" name="Grand totaal" dataDxfId="45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6C34B0B-4E80-4FEC-9769-7B1F199D81D3}" name="Tabel242567891011121314151716181921202223261415181920212224" displayName="Tabel242567891011121314151716181921202223261415181920212224" ref="A2:AY66" totalsRowShown="0" headerRowDxfId="44">
  <autoFilter ref="A2:AY66" xr:uid="{A70EF718-F10B-4779-A138-DEDC58180FB0}"/>
  <sortState xmlns:xlrd2="http://schemas.microsoft.com/office/spreadsheetml/2017/richdata2" ref="A3:AY66">
    <sortCondition ref="B2:B66"/>
  </sortState>
  <tableColumns count="51">
    <tableColumn id="1" xr3:uid="{26C45CD2-1E1F-4B81-8BA7-EC9548AF61D1}" name="Verdieping" dataDxfId="43"/>
    <tableColumn id="2" xr3:uid="{ABC83924-E637-4C4E-8FA0-0CD055DC37CA}" name="Automatennaam"/>
    <tableColumn id="3" xr3:uid="{BE907C84-DA59-4906-8107-7C574341DDB1}" name="Type concept"/>
    <tableColumn id="4" xr3:uid="{CC657683-9B45-4991-8744-CA7463098A43}" name="Serienummer"/>
    <tableColumn id="5" xr3:uid="{B2FA480D-9B94-4B9C-A8F3-6B114A403B46}" name="Stand Coffee einde maand" dataDxfId="42"/>
    <tableColumn id="27" xr3:uid="{26BFF055-00F6-4953-B4BB-945D50A548EE}" name="Coffee vorige maand" dataDxfId="41">
      <calculatedColumnFormula>Tabel2[[#This Row],[Coffee]]</calculatedColumnFormula>
    </tableColumn>
    <tableColumn id="26" xr3:uid="{19EC8F0E-84D0-4301-8081-40D533E7AEE4}" name="Verbruik Coffee deze maand" dataDxfId="40">
      <calculatedColumnFormula>Tabel242567891011121314151716181921202223261415181920212224[[#This Row],[Stand Coffee einde maand]]-Tabel242567891011121314151716181921202223261415181920212224[[#This Row],[Coffee vorige maand]]</calculatedColumnFormula>
    </tableColumn>
    <tableColumn id="6" xr3:uid="{EE2252E2-3C9B-492C-A346-E0A8D387AEB5}" name="Stand Espresso Einde maand" dataDxfId="39"/>
    <tableColumn id="29" xr3:uid="{C0F0B625-76D2-4D50-88FB-BD5C726BC7F0}" name="Espresso vorige maand" dataDxfId="38">
      <calculatedColumnFormula>Tabel2[[#This Row],[Espresso]]</calculatedColumnFormula>
    </tableColumn>
    <tableColumn id="28" xr3:uid="{2B6F9E32-7223-4FEC-8078-124BEE82B392}" name="Verbruik Espresso deze maand" dataDxfId="37">
      <calculatedColumnFormula>Tabel242567891011121314151716181921202223261415181920212224[[#This Row],[Stand Espresso Einde maand]]-Tabel242567891011121314151716181921202223261415181920212224[[#This Row],[Espresso vorige maand]]</calculatedColumnFormula>
    </tableColumn>
    <tableColumn id="7" xr3:uid="{392D84D9-A288-42A2-80FA-F81D5050A230}" name="Stand Latte Macchiato einde maand" dataDxfId="36"/>
    <tableColumn id="31" xr3:uid="{3DE3A751-95D0-4DAE-974A-B1283E060388}" name="Latte Macchiato vorige maand" dataDxfId="35">
      <calculatedColumnFormula>Tabel242[[#This Row],[Stand Latte Macchiato einde maand]]</calculatedColumnFormula>
    </tableColumn>
    <tableColumn id="30" xr3:uid="{9F2CC28D-3FB9-4C04-9ED1-B1209B0A66FD}" name="Verbruik Latte Macchiato deze maand" dataDxfId="34">
      <calculatedColumnFormula>Tabel242567891011121314151716181921202223261415181920212224[[#This Row],[Stand Latte Macchiato einde maand]]-Tabel242567891011121314151716181921202223261415181920212224[[#This Row],[Latte Macchiato vorige maand]]</calculatedColumnFormula>
    </tableColumn>
    <tableColumn id="8" xr3:uid="{BFD31CD8-F3A3-4A23-9216-28AD15DEEB2A}" name="Stand Coffee Latte einde maand" dataDxfId="33"/>
    <tableColumn id="33" xr3:uid="{AE042C16-F67A-4841-B054-9D822882BC90}" name="Coffee Latte vorige maand" dataDxfId="32">
      <calculatedColumnFormula>Tabel242[[#This Row],[Stand Coffee Latte einde maand]]</calculatedColumnFormula>
    </tableColumn>
    <tableColumn id="32" xr3:uid="{5A8CEC97-C2CE-4852-80A6-D9F59EE99526}" name="Verbruik Coffee Latte deze maand" dataDxfId="31">
      <calculatedColumnFormula>Tabel242567891011121314151716181921202223261415181920212224[[#This Row],[Stand Coffee Latte einde maand]]-Tabel242567891011121314151716181921202223261415181920212224[[#This Row],[Coffee Latte vorige maand]]</calculatedColumnFormula>
    </tableColumn>
    <tableColumn id="9" xr3:uid="{CF9943CC-9B24-4481-BDA3-2BDB942A8105}" name="Stand Hot Water einde maand" dataDxfId="30"/>
    <tableColumn id="35" xr3:uid="{E7A25490-BD33-4FF2-94C4-779E710CECFB}" name="Hot Water vorige maand" dataDxfId="29">
      <calculatedColumnFormula>Tabel242[[#This Row],[Stand Hot Water einde maand]]</calculatedColumnFormula>
    </tableColumn>
    <tableColumn id="34" xr3:uid="{8F050E0E-B313-4715-A60B-A8B167E8595A}" name="Verbruik Hot Water deze maand" dataDxfId="28">
      <calculatedColumnFormula>Tabel242567891011121314151716181921202223261415181920212224[[#This Row],[Stand Hot Water einde maand]]-Tabel242567891011121314151716181921202223261415181920212224[[#This Row],[Hot Water vorige maand]]</calculatedColumnFormula>
    </tableColumn>
    <tableColumn id="10" xr3:uid="{5D6EBC17-DDE3-4E50-8B6C-0EE857201075}" name="Stand Cappucino einde maand" dataDxfId="27"/>
    <tableColumn id="36" xr3:uid="{E1C32398-BAEB-4A4C-899E-68F36B35F422}" name="Stand Cappucino vorige maand" dataDxfId="26">
      <calculatedColumnFormula>Tabel242[[#This Row],[Stand Cappucino einde maand]]</calculatedColumnFormula>
    </tableColumn>
    <tableColumn id="37" xr3:uid="{EA9E52F0-BC32-4092-99DC-427280ED0108}" name="Verbruik Cappucino deze maand" dataDxfId="25">
      <calculatedColumnFormula>Tabel242567891011121314151716181921202223261415181920212224[[#This Row],[Stand Cappucino einde maand]]-Tabel242567891011121314151716181921202223261415181920212224[[#This Row],[Stand Cappucino vorige maand]]</calculatedColumnFormula>
    </tableColumn>
    <tableColumn id="11" xr3:uid="{836165F8-82E0-48D0-BB93-9132D28F1A14}" name="Stand Cappucino Plantaardig einde maand" dataDxfId="24"/>
    <tableColumn id="39" xr3:uid="{472B5C5A-4A27-466E-8254-C8C8B60CF8F9}" name="Stand Cappucino Plantaardig vorige maand" dataDxfId="23">
      <calculatedColumnFormula>Tabel242[[#This Row],[Stand Cappucino Plantaardig einde maand]]</calculatedColumnFormula>
    </tableColumn>
    <tableColumn id="38" xr3:uid="{54A3D353-EA58-4779-A8D4-9F1D2AE66355}" name="Verbruik  Cappucino Plantaardig deze maand" dataDxfId="22">
      <calculatedColumnFormula>Tabel242567891011121314151716181921202223261415181920212224[[#This Row],[Stand Cappucino Plantaardig einde maand]]-Tabel242567891011121314151716181921202223261415181920212224[[#This Row],[Stand Cappucino Plantaardig vorige maand]]</calculatedColumnFormula>
    </tableColumn>
    <tableColumn id="12" xr3:uid="{B2DA2A0B-E786-4730-A80B-E5F23C1D5C13}" name="Stand Latte Macchiato Plantaardig einde maand" dataDxfId="21"/>
    <tableColumn id="41" xr3:uid="{08BBF7FF-C516-457C-9E6D-7227B0478258}" name="Stand Latte Macchiato Plantaardig vorige maand" dataDxfId="20">
      <calculatedColumnFormula>Tabel242[[#This Row],[Stand Latte Macchiato Plantaardig einde maand]]</calculatedColumnFormula>
    </tableColumn>
    <tableColumn id="40" xr3:uid="{8BBE3535-6215-4B2D-ADE5-D93DB05B2918}" name="Verbruik Stand Latte Macchiato Plantaardig deze maand" dataDxfId="19">
      <calculatedColumnFormula>Tabel242567891011121314151716181921202223261415181920212224[[#This Row],[Stand Latte Macchiato Plantaardig einde maand]]-Tabel242567891011121314151716181921202223261415181920212224[[#This Row],[Stand Latte Macchiato Plantaardig vorige maand]]</calculatedColumnFormula>
    </tableColumn>
    <tableColumn id="13" xr3:uid="{37C92D31-825C-4C1B-9FEE-2361B7F9C90F}" name="Subtotaal koffieautomaten" dataDxfId="18"/>
    <tableColumn id="14" xr3:uid="{976E6620-2D7D-41D6-BD63-1EBDD9AA3FCD}" name="Stand Kamertemp liter einde maand" dataDxfId="17"/>
    <tableColumn id="42" xr3:uid="{4C363B3D-6994-41BB-BD6D-FA02B4B11E4F}" name="Stand Kamertemp liter vorige maand" dataDxfId="16"/>
    <tableColumn id="43" xr3:uid="{B0812213-24A8-45CB-ABEE-BA19C713C432}" name="Verbruik Kamertemp liter deze maand" dataDxfId="15"/>
    <tableColumn id="15" xr3:uid="{99D55AD9-2412-4AAE-9CD4-DB689F7EA673}" name="Aantal consumpties Kamertemp deze maand"/>
    <tableColumn id="16" xr3:uid="{D6089F3A-6C13-4D87-BD9C-6E6621A15BE1}" name="Stand Gekoeld liter einde maand" dataDxfId="14"/>
    <tableColumn id="45" xr3:uid="{532A7C36-B74A-4579-A591-EEC06E79DF12}" name="Stand Gekoeld liter vorige maand" dataDxfId="13"/>
    <tableColumn id="44" xr3:uid="{1DE4A0DC-E7B6-406C-BF10-F562E7B25AC9}" name="Verbruik Gekoeld liter deze maand" dataDxfId="12"/>
    <tableColumn id="17" xr3:uid="{088C68F1-E1BC-4F69-8DE9-D9C0EA0880BB}" name="Aantal consumpties gekoeld water deze maand"/>
    <tableColumn id="18" xr3:uid="{7F206A44-0A02-486C-A247-FD501954D4AC}" name="Stand Bruisend liter einde maand" dataDxfId="11"/>
    <tableColumn id="46" xr3:uid="{4B9EA26F-232E-4213-AD7A-12DA43576B31}" name="Stand Bruisend liter vorige maand" dataDxfId="10"/>
    <tableColumn id="47" xr3:uid="{74F57C27-6A44-4D99-A37F-6BB820CD83C2}" name="Verbruik Bruisend liter deze maand" dataDxfId="9"/>
    <tableColumn id="19" xr3:uid="{33EC3534-EBA5-441F-8024-325771A7DDA4}" name="aantal consumpties Bruisend water deze maand"/>
    <tableColumn id="20" xr3:uid="{0525CD99-F615-4959-B82E-357F4E9A97D2}" name="Stand licht bruisend liter einde maand" dataDxfId="8"/>
    <tableColumn id="49" xr3:uid="{F0B5EC4C-5D84-4CCE-A954-857A036FB1C9}" name="Stand licht bruisend liter vorige maand" dataDxfId="7"/>
    <tableColumn id="48" xr3:uid="{7841A317-0944-4D11-85E9-9C8DE1A97908}" name="Verbruik licht bruisend liter deze maand" dataDxfId="6"/>
    <tableColumn id="21" xr3:uid="{104095F1-DCFD-4D61-AB54-E9E852A51C19}" name="Aantal consumpties licht bruisend water deze maand"/>
    <tableColumn id="22" xr3:uid="{A2EBAD82-56CD-48E2-A88A-064B0C8E157C}" name="Stand heet water liter einde maand" dataDxfId="5"/>
    <tableColumn id="51" xr3:uid="{CFE36461-8C66-4E22-9D38-133137585089}" name="Stand heet water liter vorige maand" dataDxfId="4"/>
    <tableColumn id="50" xr3:uid="{E115772F-BEC4-49A7-A904-4D3ED5A6CE8C}" name="Verbruik heet Water liter deze maand " dataDxfId="3"/>
    <tableColumn id="23" xr3:uid="{C48A39CC-1366-4369-8FB0-8CC135D9A913}" name="Aantal consumpties heet water deze maand" dataDxfId="2"/>
    <tableColumn id="24" xr3:uid="{FED273B9-2C3F-4313-9EA3-8836FBBBA7C4}" name="Subtotaal waterbar in consumpties" dataDxfId="1"/>
    <tableColumn id="25" xr3:uid="{0B444431-F428-4899-8EAD-8B28D18E7086}" name="Grand totaal" dataDxfId="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D3AA867-5691-46C8-8B47-74694E21894F}" name="Tabel242" displayName="Tabel242" ref="A2:AY65" totalsRowShown="0" headerRowDxfId="1010">
  <autoFilter ref="A2:AY65" xr:uid="{DD3AA867-5691-46C8-8B47-74694E21894F}"/>
  <sortState xmlns:xlrd2="http://schemas.microsoft.com/office/spreadsheetml/2017/richdata2" ref="A3:AY65">
    <sortCondition ref="B2:B65"/>
  </sortState>
  <tableColumns count="51">
    <tableColumn id="1" xr3:uid="{26734FC9-0696-42E5-8550-49ACD8F2A0A5}" name="Verdieping"/>
    <tableColumn id="2" xr3:uid="{8A6746EB-623A-4044-8571-270E4228007A}" name="Automatennaam"/>
    <tableColumn id="3" xr3:uid="{5D159BCA-4497-4FF4-9DA8-01E134F9DD43}" name="Type concept"/>
    <tableColumn id="4" xr3:uid="{1F8B7FD5-EB13-403D-8790-0EDB6B90552A}" name="Serienummer"/>
    <tableColumn id="5" xr3:uid="{9898636D-7B44-4558-B15D-4349C33BB4EC}" name="Stand Coffee einde maand" dataDxfId="1009"/>
    <tableColumn id="27" xr3:uid="{ED9A6D42-3F14-4AD4-98C0-6380A1A9413E}" name="Coffee vorige maand" dataDxfId="1008">
      <calculatedColumnFormula>Tabel2[[#This Row],[Coffee]]</calculatedColumnFormula>
    </tableColumn>
    <tableColumn id="26" xr3:uid="{D027AA18-21C1-4404-B785-AEBB18C4094B}" name="Verbruik Coffee deze maand" dataDxfId="1007">
      <calculatedColumnFormula>Tabel242[[#This Row],[Stand Coffee einde maand]]-Tabel242[[#This Row],[Coffee vorige maand]]</calculatedColumnFormula>
    </tableColumn>
    <tableColumn id="6" xr3:uid="{7E07F128-0683-4189-8065-5D94A9831A47}" name="Stand Espresso Einde maand" dataDxfId="1006"/>
    <tableColumn id="29" xr3:uid="{99025291-DF48-4199-837F-35D11190FA8B}" name="Espresso vorige maand" dataDxfId="1005">
      <calculatedColumnFormula>Tabel2[[#This Row],[Espresso]]</calculatedColumnFormula>
    </tableColumn>
    <tableColumn id="28" xr3:uid="{BD0A40CA-44A4-4BBA-9D56-26A452D546FE}" name="Verbruik Espresso deze maand" dataDxfId="1004">
      <calculatedColumnFormula>Tabel242[[#This Row],[Stand Espresso Einde maand]]-Tabel242[[#This Row],[Espresso vorige maand]]</calculatedColumnFormula>
    </tableColumn>
    <tableColumn id="7" xr3:uid="{702EC2F6-1C26-434D-87C7-8984B47654CE}" name="Stand Latte Macchiato einde maand" dataDxfId="1003"/>
    <tableColumn id="31" xr3:uid="{B5BE7544-90EB-4BB6-8FE0-A2CAC6F1AA28}" name="Latte Macchiato vorige maand" dataDxfId="1002">
      <calculatedColumnFormula>Tabel2[[#This Row],[Latte Macchiato]]</calculatedColumnFormula>
    </tableColumn>
    <tableColumn id="30" xr3:uid="{5479B383-9D72-49E7-9CEB-BB7BA3388A97}" name="Verbruik Latte Macchiato deze maand" dataDxfId="1001">
      <calculatedColumnFormula>Tabel242[[#This Row],[Stand Latte Macchiato einde maand]]-Tabel242[[#This Row],[Latte Macchiato vorige maand]]</calculatedColumnFormula>
    </tableColumn>
    <tableColumn id="8" xr3:uid="{A2F3A3E3-B0C3-4578-AF43-5C9385734A14}" name="Stand Coffee Latte einde maand" dataDxfId="1000"/>
    <tableColumn id="33" xr3:uid="{B1667329-1F12-4213-B227-511ADC8B6FA2}" name="Coffee Latte vorige maand" dataDxfId="999">
      <calculatedColumnFormula>Tabel2[[#This Row],[Coffee Latte]]</calculatedColumnFormula>
    </tableColumn>
    <tableColumn id="32" xr3:uid="{DEF6B3EB-CB2B-4BBA-BD0E-4E2C9C471F95}" name="Verbruik Coffee Latte deze maand" dataDxfId="998">
      <calculatedColumnFormula>Tabel242[[#This Row],[Stand Coffee Latte einde maand]]-Tabel242[[#This Row],[Coffee Latte vorige maand]]</calculatedColumnFormula>
    </tableColumn>
    <tableColumn id="9" xr3:uid="{1DEEB92F-7177-4B80-822C-5F5085E0B8D0}" name="Stand Hot Water einde maand" dataDxfId="997"/>
    <tableColumn id="35" xr3:uid="{F5583ACF-6C70-457D-BE34-9B1D7D27476A}" name="Hot Water vorige maand" dataDxfId="996">
      <calculatedColumnFormula>Tabel2[[#This Row],[Hot Water]]</calculatedColumnFormula>
    </tableColumn>
    <tableColumn id="34" xr3:uid="{8326CF95-2F36-4F1B-8DEE-1080B56CD472}" name="Verbruik Hot Water deze maand" dataDxfId="995">
      <calculatedColumnFormula>Tabel242[[#This Row],[Stand Hot Water einde maand]]-Tabel242[[#This Row],[Hot Water vorige maand]]</calculatedColumnFormula>
    </tableColumn>
    <tableColumn id="10" xr3:uid="{771CE791-6DB2-4FFC-82B8-1F97411E0579}" name="Stand Cappucino einde maand" dataDxfId="994"/>
    <tableColumn id="36" xr3:uid="{E9103564-8575-4743-8FAF-0C0E1764FF7A}" name="Stand Cappucino vorige maand" dataDxfId="993">
      <calculatedColumnFormula>Tabel2[[#This Row],[Cappucino]]</calculatedColumnFormula>
    </tableColumn>
    <tableColumn id="37" xr3:uid="{2487F545-A95F-4321-A4C5-02528985888C}" name="Verbruik Cappucino deze maand" dataDxfId="992">
      <calculatedColumnFormula>Tabel242[[#This Row],[Stand Cappucino einde maand]]-Tabel242[[#This Row],[Stand Cappucino vorige maand]]</calculatedColumnFormula>
    </tableColumn>
    <tableColumn id="11" xr3:uid="{4E00E60E-AA47-4306-884E-FCEBAB3D1857}" name="Stand Cappucino Plantaardig einde maand" dataDxfId="991"/>
    <tableColumn id="39" xr3:uid="{0E263F9F-7641-457B-8231-B24CE8270544}" name="Stand Cappucino Plantaardig vorige maand" dataDxfId="990">
      <calculatedColumnFormula>Tabel2[[#This Row],[Cappucino Plantaardig]]</calculatedColumnFormula>
    </tableColumn>
    <tableColumn id="38" xr3:uid="{A7243934-EADA-4D52-8DAB-A8A7979F41BE}" name="Verbruik  Cappucino Plantaardig deze maand" dataDxfId="989">
      <calculatedColumnFormula>Tabel242[[#This Row],[Stand Cappucino Plantaardig einde maand]]-Tabel242[[#This Row],[Stand Cappucino Plantaardig vorige maand]]</calculatedColumnFormula>
    </tableColumn>
    <tableColumn id="12" xr3:uid="{D23BEE4F-7BBA-4589-91B5-2D12C1353471}" name="Stand Latte Macchiato Plantaardig einde maand" dataDxfId="988"/>
    <tableColumn id="41" xr3:uid="{1F69C08D-BBB7-42D7-9B7F-55DFA7A93173}" name="Stand Latte Macchiato Plantaardig vorige maand" dataDxfId="987">
      <calculatedColumnFormula>Tabel2[[#This Row],[Latte Macchiato Plantaardig]]</calculatedColumnFormula>
    </tableColumn>
    <tableColumn id="40" xr3:uid="{171D6AA7-0478-435B-A91B-94D98CF1E02A}" name="Verbruik Stand Latte Macchiato Plantaardig deze maand" dataDxfId="986">
      <calculatedColumnFormula>Tabel242[[#This Row],[Stand Latte Macchiato Plantaardig einde maand]]-Tabel242[[#This Row],[Stand Latte Macchiato Plantaardig vorige maand]]</calculatedColumnFormula>
    </tableColumn>
    <tableColumn id="13" xr3:uid="{AE4C9E38-DEA7-4718-8C7A-20E41B8F4217}" name="Subtotaal koffieautomaten"/>
    <tableColumn id="14" xr3:uid="{E3702FD8-0FA5-4DA4-952A-470908D70B18}" name="Stand Kamertemp liter einde maand" dataDxfId="985"/>
    <tableColumn id="42" xr3:uid="{9B424F6A-911F-48A0-A278-0B6B4F1D3293}" name="Stand Kamertemp liter vorige maand" dataDxfId="984">
      <calculatedColumnFormula>Tabel2[[#This Row],[kamertemp liter]]</calculatedColumnFormula>
    </tableColumn>
    <tableColumn id="43" xr3:uid="{F432D1CA-305B-463D-B7A7-44C9D0CCA80A}" name="Verbruik Kamertemp liter deze maand" dataDxfId="983">
      <calculatedColumnFormula>Tabel242[[#This Row],[Stand Kamertemp liter einde maand]]-Tabel242[[#This Row],[Stand Kamertemp liter vorige maand]]</calculatedColumnFormula>
    </tableColumn>
    <tableColumn id="15" xr3:uid="{F273BA4A-B9F0-44B2-BA10-4354D0024B8F}" name="Aantal consumpties Kamertemp deze maand" dataDxfId="982"/>
    <tableColumn id="16" xr3:uid="{917B4AF6-A099-4A4B-970A-5287C97C116B}" name="Stand Gekoeld liter einde maand" dataDxfId="981"/>
    <tableColumn id="45" xr3:uid="{39B4FDE7-97CE-4463-AC73-A9AB77DCCF89}" name="Stand Gekoeld liter vorige maand" dataDxfId="980">
      <calculatedColumnFormula>Tabel2[[#This Row],[gekoeld liter]]</calculatedColumnFormula>
    </tableColumn>
    <tableColumn id="44" xr3:uid="{FF16A626-9AA9-4CF6-B0E2-9EFF6C5DFC27}" name="Verbruik Gekoeld liter deze maand" dataDxfId="979">
      <calculatedColumnFormula>Tabel242[[#This Row],[Stand Gekoeld liter einde maand]]-Tabel242[[#This Row],[Stand Gekoeld liter vorige maand]]</calculatedColumnFormula>
    </tableColumn>
    <tableColumn id="17" xr3:uid="{CC9AD3E1-27E5-4D7E-8D1A-805413FC28E0}" name="Aantal consumpties gekoeld water deze maand" dataDxfId="978"/>
    <tableColumn id="18" xr3:uid="{B3411519-9B87-4654-B42D-C10AD3E9C27E}" name="Stand Bruisend liter einde maand" dataDxfId="977"/>
    <tableColumn id="46" xr3:uid="{2C8D8A4F-9EEA-4E47-B398-FBC2A8C68B59}" name="Stand Bruisend liter vorige maand" dataDxfId="976">
      <calculatedColumnFormula>Tabel2[[#This Row],[bruisend liter]]</calculatedColumnFormula>
    </tableColumn>
    <tableColumn id="47" xr3:uid="{1ED76090-C31D-4DFC-9048-B9DE2EBED1C9}" name="Verbruik Bruisend liter deze maand" dataDxfId="975">
      <calculatedColumnFormula>Tabel242[[#This Row],[Stand Bruisend liter einde maand]]-Tabel242[[#This Row],[Stand Bruisend liter vorige maand]]</calculatedColumnFormula>
    </tableColumn>
    <tableColumn id="19" xr3:uid="{4B360595-3110-431F-94F7-5EC5E345989C}" name="aantal consumpties Bruisend water deze maand" dataDxfId="974"/>
    <tableColumn id="20" xr3:uid="{A678D81A-249A-4250-B9A7-0DE192805A0B}" name="Stand licht bruisend liter einde maand" dataDxfId="973"/>
    <tableColumn id="49" xr3:uid="{971E3CBE-4727-4561-A146-A77373330FBE}" name="Stand licht bruisend liter vorige maand" dataDxfId="972">
      <calculatedColumnFormula>Tabel2[[#This Row],[licht bruisend liter]]</calculatedColumnFormula>
    </tableColumn>
    <tableColumn id="48" xr3:uid="{ED5A917D-C43C-4386-9BB6-8CBF8AE4FC2A}" name="Verbruik licht bruisend liter deze maand" dataDxfId="971">
      <calculatedColumnFormula>Tabel242[[#This Row],[Stand licht bruisend liter einde maand]]-Tabel242[[#This Row],[Stand licht bruisend liter vorige maand]]</calculatedColumnFormula>
    </tableColumn>
    <tableColumn id="21" xr3:uid="{D4A664FB-8463-4CA9-AB76-401C1A45BC2A}" name="Aantal consumpties licht bruisend water deze maand" dataDxfId="970"/>
    <tableColumn id="22" xr3:uid="{BCFD1346-98DA-4926-B209-35AF0A4F2B32}" name="Stand heet water liter einde maand" dataDxfId="969"/>
    <tableColumn id="51" xr3:uid="{7244D99E-4FBE-4281-93C4-741CC80E7661}" name="Stand heet water liter vorige maand" dataDxfId="968">
      <calculatedColumnFormula>Tabel2[[#This Row],[heet water liter]]</calculatedColumnFormula>
    </tableColumn>
    <tableColumn id="50" xr3:uid="{AE5CDB34-066B-47EC-BE9D-745EE45B335F}" name="Verbruik heet Water liter deze maand " dataDxfId="967">
      <calculatedColumnFormula>Tabel242[[#This Row],[Stand heet water liter einde maand]]-Tabel242[[#This Row],[Stand heet water liter vorige maand]]</calculatedColumnFormula>
    </tableColumn>
    <tableColumn id="23" xr3:uid="{91A641B4-32FE-48D6-8DF1-4B29CAD5180E}" name="Aantal consumpties heet water deze maand" dataDxfId="966"/>
    <tableColumn id="24" xr3:uid="{F1B5A9B4-7725-4FF4-8F8A-20A166579FC4}" name="Subtotaal waterbar in consumpties" dataDxfId="965"/>
    <tableColumn id="25" xr3:uid="{CDEB1DDB-911E-4CF9-A66F-5B58C0358E4D}" name="Grand totaal" dataDxfId="964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7978A1A-816C-4F72-AAA9-7A32CE9453B6}" name="Tabel2425" displayName="Tabel2425" ref="A2:AY65" totalsRowShown="0" headerRowDxfId="963">
  <autoFilter ref="A2:AY65" xr:uid="{DD3AA867-5691-46C8-8B47-74694E21894F}"/>
  <sortState xmlns:xlrd2="http://schemas.microsoft.com/office/spreadsheetml/2017/richdata2" ref="A3:AY65">
    <sortCondition ref="B2:B65"/>
  </sortState>
  <tableColumns count="51">
    <tableColumn id="1" xr3:uid="{1C559714-5DE8-4B9D-957F-2EEC37BD79B2}" name="Verdieping"/>
    <tableColumn id="2" xr3:uid="{F8029E23-C9B0-4C53-9F42-374264A28491}" name="Automatennaam"/>
    <tableColumn id="3" xr3:uid="{64312E00-C866-4703-BDC3-B0D215D04E1D}" name="Type concept"/>
    <tableColumn id="4" xr3:uid="{1D772EDE-EAC8-4AA9-A96B-E5BF35E15A4C}" name="Serienummer"/>
    <tableColumn id="5" xr3:uid="{93AF650F-E673-45BF-9B93-93E2C52F3C5D}" name="Stand Coffee einde maand" dataDxfId="962"/>
    <tableColumn id="27" xr3:uid="{564BF047-3463-4445-BE6A-C877F998E686}" name="Coffee vorige maand" dataDxfId="961">
      <calculatedColumnFormula>Tabel2[[#This Row],[Coffee]]</calculatedColumnFormula>
    </tableColumn>
    <tableColumn id="26" xr3:uid="{E247B602-0E31-4710-8DB4-C1F607A6D558}" name="Verbruik Coffee deze maand" dataDxfId="960">
      <calculatedColumnFormula>Tabel2425[[#This Row],[Stand Coffee einde maand]]-Tabel2425[[#This Row],[Coffee vorige maand]]</calculatedColumnFormula>
    </tableColumn>
    <tableColumn id="6" xr3:uid="{735E923C-C825-4E46-9588-B2B39B05FBD5}" name="Stand Espresso Einde maand" dataDxfId="959"/>
    <tableColumn id="29" xr3:uid="{98F1C26E-C7FA-4A68-ADC3-798F6DF9B914}" name="Espresso vorige maand" dataDxfId="958">
      <calculatedColumnFormula>Tabel2[[#This Row],[Espresso]]</calculatedColumnFormula>
    </tableColumn>
    <tableColumn id="28" xr3:uid="{0176CB12-179A-40AF-B34A-7428963594BF}" name="Verbruik Espresso deze maand" dataDxfId="957">
      <calculatedColumnFormula>Tabel2425[[#This Row],[Stand Espresso Einde maand]]-Tabel2425[[#This Row],[Espresso vorige maand]]</calculatedColumnFormula>
    </tableColumn>
    <tableColumn id="7" xr3:uid="{2FB58843-F0A9-480B-BADC-057E59DC3A2C}" name="Stand Latte Macchiato einde maand" dataDxfId="956"/>
    <tableColumn id="31" xr3:uid="{9A8B6BDD-4609-45DE-8613-2C99055D9C65}" name="Latte Macchiato vorige maand" dataDxfId="955">
      <calculatedColumnFormula>Tabel242[[#This Row],[Stand Latte Macchiato einde maand]]</calculatedColumnFormula>
    </tableColumn>
    <tableColumn id="30" xr3:uid="{8AC5D877-7FF3-4397-9016-C3C16C1BB312}" name="Verbruik Latte Macchiato deze maand" dataDxfId="954">
      <calculatedColumnFormula>Tabel2425[[#This Row],[Stand Latte Macchiato einde maand]]-Tabel2425[[#This Row],[Latte Macchiato vorige maand]]</calculatedColumnFormula>
    </tableColumn>
    <tableColumn id="8" xr3:uid="{BE525741-1E1E-4C75-BFC5-3C41A09D1C69}" name="Stand Coffee Latte einde maand" dataDxfId="953"/>
    <tableColumn id="33" xr3:uid="{24947666-0DD7-490D-9EAD-2A5EABE12440}" name="Coffee Latte vorige maand" dataDxfId="952">
      <calculatedColumnFormula>Tabel242[[#This Row],[Stand Coffee Latte einde maand]]</calculatedColumnFormula>
    </tableColumn>
    <tableColumn id="32" xr3:uid="{41B1462E-F9EE-4E4A-8165-AAE3567D29DA}" name="Verbruik Coffee Latte deze maand" dataDxfId="951">
      <calculatedColumnFormula>Tabel2425[[#This Row],[Stand Coffee Latte einde maand]]-Tabel2425[[#This Row],[Coffee Latte vorige maand]]</calculatedColumnFormula>
    </tableColumn>
    <tableColumn id="9" xr3:uid="{AA9FB6D5-2468-49CA-BE51-B99D5751BA2B}" name="Stand Hot Water einde maand" dataDxfId="950"/>
    <tableColumn id="35" xr3:uid="{4AA983CB-9252-4171-BA66-5FCB2385CE6F}" name="Hot Water vorige maand" dataDxfId="949">
      <calculatedColumnFormula>Tabel242[[#This Row],[Stand Hot Water einde maand]]</calculatedColumnFormula>
    </tableColumn>
    <tableColumn id="34" xr3:uid="{CEBDF3E5-5ADD-486D-AF83-5DBF6EE67972}" name="Verbruik Hot Water deze maand" dataDxfId="948">
      <calculatedColumnFormula>Tabel2425[[#This Row],[Stand Hot Water einde maand]]-Tabel2425[[#This Row],[Hot Water vorige maand]]</calculatedColumnFormula>
    </tableColumn>
    <tableColumn id="10" xr3:uid="{35A2AF0A-8A5D-4306-B88B-8F0198E69A70}" name="Stand Cappucino einde maand" dataDxfId="947"/>
    <tableColumn id="36" xr3:uid="{FF9362CC-BC80-405E-A51E-F1CDCF34887D}" name="Stand Cappucino vorige maand" dataDxfId="946">
      <calculatedColumnFormula>Tabel242[[#This Row],[Stand Cappucino einde maand]]</calculatedColumnFormula>
    </tableColumn>
    <tableColumn id="37" xr3:uid="{EC81E986-062D-4EF1-B817-C785614CF731}" name="Verbruik Cappucino deze maand" dataDxfId="945">
      <calculatedColumnFormula>Tabel2425[[#This Row],[Stand Cappucino einde maand]]-Tabel2425[[#This Row],[Stand Cappucino vorige maand]]</calculatedColumnFormula>
    </tableColumn>
    <tableColumn id="11" xr3:uid="{97D31CF7-743A-4C7D-BB04-BE2D9FAAC66A}" name="Stand Cappucino Plantaardig einde maand" dataDxfId="944"/>
    <tableColumn id="39" xr3:uid="{28397381-8864-4C4C-A49B-A8DBD2D773DB}" name="Stand Cappucino Plantaardig vorige maand" dataDxfId="943">
      <calculatedColumnFormula>Tabel242[[#This Row],[Stand Cappucino Plantaardig einde maand]]</calculatedColumnFormula>
    </tableColumn>
    <tableColumn id="38" xr3:uid="{1C39BE6E-A63C-4841-9896-CD6069D707AF}" name="Verbruik  Cappucino Plantaardig deze maand" dataDxfId="942">
      <calculatedColumnFormula>Tabel2425[[#This Row],[Stand Cappucino Plantaardig einde maand]]-Tabel2425[[#This Row],[Stand Cappucino Plantaardig vorige maand]]</calculatedColumnFormula>
    </tableColumn>
    <tableColumn id="12" xr3:uid="{AC0AD92F-6DF8-41F2-A8A3-B35BA20FAB96}" name="Stand Latte Macchiato Plantaardig einde maand" dataDxfId="941"/>
    <tableColumn id="41" xr3:uid="{BB0610C0-DACF-41A6-82DB-9772B3B042EC}" name="Stand Latte Macchiato Plantaardig vorige maand" dataDxfId="940">
      <calculatedColumnFormula>Tabel242[[#This Row],[Stand Latte Macchiato Plantaardig einde maand]]</calculatedColumnFormula>
    </tableColumn>
    <tableColumn id="40" xr3:uid="{FD88EE2B-3D57-4C2A-A597-5F09AAA4F202}" name="Verbruik Stand Latte Macchiato Plantaardig deze maand" dataDxfId="939">
      <calculatedColumnFormula>Tabel2425[[#This Row],[Stand Latte Macchiato Plantaardig einde maand]]-Tabel2425[[#This Row],[Stand Latte Macchiato Plantaardig vorige maand]]</calculatedColumnFormula>
    </tableColumn>
    <tableColumn id="13" xr3:uid="{241706D1-29FB-4FD6-93AB-A5E04FC14363}" name="Subtotaal koffieautomaten"/>
    <tableColumn id="14" xr3:uid="{194C31AB-28A0-4152-8DB6-6A040C5D3B66}" name="Stand Kamertemp liter einde maand" dataDxfId="938"/>
    <tableColumn id="42" xr3:uid="{8488F5A4-A011-48AC-B488-7EF6FEA81736}" name="Stand Kamertemp liter vorige maand" dataDxfId="937">
      <calculatedColumnFormula>Tabel242[[#This Row],[Stand Kamertemp liter einde maand]]</calculatedColumnFormula>
    </tableColumn>
    <tableColumn id="43" xr3:uid="{1EBA7494-61E3-4F75-962F-1E38F497D5C6}" name="Verbruik Kamertemp liter deze maand" dataDxfId="936">
      <calculatedColumnFormula>Tabel2425[[#This Row],[Stand Kamertemp liter einde maand]]-Tabel2425[[#This Row],[Stand Kamertemp liter vorige maand]]</calculatedColumnFormula>
    </tableColumn>
    <tableColumn id="15" xr3:uid="{A1D970E9-327D-4B82-B870-9CC9F93FEB14}" name="Aantal consumpties Kamertemp deze maand" dataDxfId="935"/>
    <tableColumn id="16" xr3:uid="{5573BCC2-8CD6-4EE3-BF32-3056DF25BE19}" name="Stand Gekoeld liter einde maand" dataDxfId="934"/>
    <tableColumn id="45" xr3:uid="{F336A16C-C6BF-4FB2-9CEF-AD3460E61EEB}" name="Stand Gekoeld liter vorige maand" dataDxfId="933">
      <calculatedColumnFormula>Tabel242[[#This Row],[Stand Gekoeld liter einde maand]]</calculatedColumnFormula>
    </tableColumn>
    <tableColumn id="44" xr3:uid="{366C8119-78B8-498C-876B-C2F4B5C2836D}" name="Verbruik Gekoeld liter deze maand" dataDxfId="932">
      <calculatedColumnFormula>Tabel2425[[#This Row],[Stand Gekoeld liter einde maand]]-Tabel2425[[#This Row],[Stand Gekoeld liter vorige maand]]</calculatedColumnFormula>
    </tableColumn>
    <tableColumn id="17" xr3:uid="{DC3D6812-73A2-412A-969C-F30C2246EA54}" name="Aantal consumpties gekoeld water deze maand" dataDxfId="931"/>
    <tableColumn id="18" xr3:uid="{990A0837-57EC-4165-8E32-043D1AE268DB}" name="Stand Bruisend liter einde maand" dataDxfId="930"/>
    <tableColumn id="46" xr3:uid="{89CA10D9-7DBF-49FF-A430-A579680D5328}" name="Stand Bruisend liter vorige maand" dataDxfId="929">
      <calculatedColumnFormula>Tabel242[[#This Row],[Stand Bruisend liter einde maand]]</calculatedColumnFormula>
    </tableColumn>
    <tableColumn id="47" xr3:uid="{675EC59C-3334-4239-A78A-D586943948B8}" name="Verbruik Bruisend liter deze maand" dataDxfId="928">
      <calculatedColumnFormula>Tabel2425[[#This Row],[Stand Bruisend liter einde maand]]-Tabel2425[[#This Row],[Stand Bruisend liter vorige maand]]</calculatedColumnFormula>
    </tableColumn>
    <tableColumn id="19" xr3:uid="{0C059148-0474-41F1-B850-7BAFFB1C7461}" name="aantal consumpties Bruisend water deze maand" dataDxfId="927"/>
    <tableColumn id="20" xr3:uid="{29649A6C-11C0-4763-8796-14D5E271C0FA}" name="Stand licht bruisend liter einde maand" dataDxfId="926"/>
    <tableColumn id="49" xr3:uid="{939D48C8-8684-49D7-921E-EB3FC3F17C6C}" name="Stand licht bruisend liter vorige maand" dataDxfId="925">
      <calculatedColumnFormula>Tabel242[[#This Row],[Stand licht bruisend liter einde maand]]</calculatedColumnFormula>
    </tableColumn>
    <tableColumn id="48" xr3:uid="{33752C1D-7A02-4DFF-8D57-713D227E8D6D}" name="Verbruik licht bruisend liter deze maand" dataDxfId="924">
      <calculatedColumnFormula>Tabel2425[[#This Row],[Stand licht bruisend liter einde maand]]-Tabel2425[[#This Row],[Stand licht bruisend liter vorige maand]]</calculatedColumnFormula>
    </tableColumn>
    <tableColumn id="21" xr3:uid="{E6CB8553-0EE4-410B-9E8E-79AF25A7D2DF}" name="Aantal consumpties licht bruisend water deze maand" dataDxfId="923"/>
    <tableColumn id="22" xr3:uid="{B2B29727-3658-440A-96E7-6874AD5319A3}" name="Stand heet water liter einde maand" dataDxfId="922"/>
    <tableColumn id="51" xr3:uid="{156C2C8A-1433-49F3-865C-8C54B36F64DD}" name="Stand heet water liter vorige maand" dataDxfId="921">
      <calculatedColumnFormula>Tabel242[[#This Row],[Stand heet water liter einde maand]]</calculatedColumnFormula>
    </tableColumn>
    <tableColumn id="50" xr3:uid="{54322C0D-C200-4E6A-AE0D-169271D43646}" name="Verbruik heet Water liter deze maand " dataDxfId="920">
      <calculatedColumnFormula>Tabel2425[[#This Row],[Stand heet water liter einde maand]]-Tabel2425[[#This Row],[Stand heet water liter vorige maand]]</calculatedColumnFormula>
    </tableColumn>
    <tableColumn id="23" xr3:uid="{444E12D8-95F0-403F-A066-E52F151CF0F6}" name="Aantal consumpties heet water deze maand" dataDxfId="919"/>
    <tableColumn id="24" xr3:uid="{DA4D62D2-2CF0-457A-8E10-30A08EE73A30}" name="Subtotaal waterbar in consumpties" dataDxfId="918"/>
    <tableColumn id="25" xr3:uid="{F2245590-F444-4A03-B38B-407D75FDD5BE}" name="Grand totaal" dataDxfId="91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4F302AC-3C69-430C-8AAB-88654DF3A9A0}" name="Tabel24256" displayName="Tabel24256" ref="A2:AY65" totalsRowShown="0" headerRowDxfId="916">
  <autoFilter ref="A2:AY65" xr:uid="{54F302AC-3C69-430C-8AAB-88654DF3A9A0}"/>
  <sortState xmlns:xlrd2="http://schemas.microsoft.com/office/spreadsheetml/2017/richdata2" ref="A3:AY65">
    <sortCondition ref="B2:B65"/>
  </sortState>
  <tableColumns count="51">
    <tableColumn id="1" xr3:uid="{07066D17-D477-4501-8C67-8A7E6058A172}" name="Verdieping"/>
    <tableColumn id="2" xr3:uid="{40D0B8D8-703A-4E7D-867E-67AB87723C40}" name="Automatennaam"/>
    <tableColumn id="3" xr3:uid="{64E22264-DEC1-41DF-916F-53C6AB73E591}" name="Type concept"/>
    <tableColumn id="4" xr3:uid="{417B70B3-F5E7-4A07-9D01-2840EB6FAAAB}" name="Serienummer"/>
    <tableColumn id="5" xr3:uid="{CCB1A953-281E-4C6F-BE4B-C6715ADF63E9}" name="Stand Coffee einde maand" dataDxfId="915"/>
    <tableColumn id="27" xr3:uid="{372AC998-74D4-428F-A420-D43B61380746}" name="Coffee vorige maand" dataDxfId="914">
      <calculatedColumnFormula>Tabel2[[#This Row],[Coffee]]</calculatedColumnFormula>
    </tableColumn>
    <tableColumn id="26" xr3:uid="{D3D1AA72-99F7-4769-A883-E961140CD418}" name="Verbruik Coffee deze maand" dataDxfId="913">
      <calculatedColumnFormula>Tabel24256[[#This Row],[Stand Coffee einde maand]]-Tabel24256[[#This Row],[Coffee vorige maand]]</calculatedColumnFormula>
    </tableColumn>
    <tableColumn id="6" xr3:uid="{12A8C35C-1790-4410-A020-7D5DDCC4E6F6}" name="Stand Espresso Einde maand" dataDxfId="912"/>
    <tableColumn id="29" xr3:uid="{B2CDA9D8-9934-4EB7-8A37-A5D15670C23E}" name="Espresso vorige maand" dataDxfId="911">
      <calculatedColumnFormula>Tabel2[[#This Row],[Espresso]]</calculatedColumnFormula>
    </tableColumn>
    <tableColumn id="28" xr3:uid="{7F57C0B7-D317-4132-9698-6A7A44EC520C}" name="Verbruik Espresso deze maand" dataDxfId="910">
      <calculatedColumnFormula>Tabel24256[[#This Row],[Stand Espresso Einde maand]]-Tabel24256[[#This Row],[Espresso vorige maand]]</calculatedColumnFormula>
    </tableColumn>
    <tableColumn id="7" xr3:uid="{70659720-3BC4-4F83-9885-EBF80D0FE777}" name="Stand Latte Macchiato einde maand" dataDxfId="909"/>
    <tableColumn id="31" xr3:uid="{DD774054-C3FB-4783-B4DD-AF1AE18D030A}" name="Latte Macchiato vorige maand" dataDxfId="908">
      <calculatedColumnFormula>Tabel242[[#This Row],[Stand Latte Macchiato einde maand]]</calculatedColumnFormula>
    </tableColumn>
    <tableColumn id="30" xr3:uid="{CA6D7129-865B-47A6-975D-7C172C9D28DF}" name="Verbruik Latte Macchiato deze maand" dataDxfId="907">
      <calculatedColumnFormula>Tabel24256[[#This Row],[Stand Latte Macchiato einde maand]]-Tabel24256[[#This Row],[Latte Macchiato vorige maand]]</calculatedColumnFormula>
    </tableColumn>
    <tableColumn id="8" xr3:uid="{80DB99ED-F476-41BD-AC61-E61F212EB3DE}" name="Stand Coffee Latte einde maand" dataDxfId="906"/>
    <tableColumn id="33" xr3:uid="{82223F87-D4DA-4744-9FE2-F5A678628FEA}" name="Coffee Latte vorige maand" dataDxfId="905">
      <calculatedColumnFormula>Tabel242[[#This Row],[Stand Coffee Latte einde maand]]</calculatedColumnFormula>
    </tableColumn>
    <tableColumn id="32" xr3:uid="{CDA4F8A6-2E24-4315-B56C-0C1E3D89FC76}" name="Verbruik Coffee Latte deze maand" dataDxfId="904">
      <calculatedColumnFormula>Tabel24256[[#This Row],[Stand Coffee Latte einde maand]]-Tabel24256[[#This Row],[Coffee Latte vorige maand]]</calculatedColumnFormula>
    </tableColumn>
    <tableColumn id="9" xr3:uid="{EC776628-72C3-4841-8DA6-589B8587EE47}" name="Stand Hot Water einde maand" dataDxfId="903"/>
    <tableColumn id="35" xr3:uid="{D56295F1-A0A1-484A-A621-2729E93C26F4}" name="Hot Water vorige maand" dataDxfId="902">
      <calculatedColumnFormula>Tabel242[[#This Row],[Stand Hot Water einde maand]]</calculatedColumnFormula>
    </tableColumn>
    <tableColumn id="34" xr3:uid="{4FDF68F3-9649-4E21-AF21-FF3C41DABDC1}" name="Verbruik Hot Water deze maand" dataDxfId="901">
      <calculatedColumnFormula>Tabel24256[[#This Row],[Stand Hot Water einde maand]]-Tabel24256[[#This Row],[Hot Water vorige maand]]</calculatedColumnFormula>
    </tableColumn>
    <tableColumn id="10" xr3:uid="{5145B195-76F9-486F-A852-665BA379FE0B}" name="Stand Cappucino einde maand" dataDxfId="900"/>
    <tableColumn id="36" xr3:uid="{B3C22B85-4D07-4CD1-8D72-E270CD2040EA}" name="Stand Cappucino vorige maand" dataDxfId="899">
      <calculatedColumnFormula>Tabel242[[#This Row],[Stand Cappucino einde maand]]</calculatedColumnFormula>
    </tableColumn>
    <tableColumn id="37" xr3:uid="{57B05278-CD3D-491A-8E89-23BB841CCEFC}" name="Verbruik Cappucino deze maand" dataDxfId="898">
      <calculatedColumnFormula>Tabel24256[[#This Row],[Stand Cappucino einde maand]]-Tabel24256[[#This Row],[Stand Cappucino vorige maand]]</calculatedColumnFormula>
    </tableColumn>
    <tableColumn id="11" xr3:uid="{6A3C2E7D-7103-4F61-9ABE-3056476D8886}" name="Stand Cappucino Plantaardig einde maand" dataDxfId="897"/>
    <tableColumn id="39" xr3:uid="{07012C40-EC0C-436A-8D87-9FE0624BDFEB}" name="Stand Cappucino Plantaardig vorige maand" dataDxfId="896">
      <calculatedColumnFormula>Tabel242[[#This Row],[Stand Cappucino Plantaardig einde maand]]</calculatedColumnFormula>
    </tableColumn>
    <tableColumn id="38" xr3:uid="{B79189C2-A67C-4F79-BC09-BDAC954E3F88}" name="Verbruik  Cappucino Plantaardig deze maand" dataDxfId="895">
      <calculatedColumnFormula>Tabel24256[[#This Row],[Stand Cappucino Plantaardig einde maand]]-Tabel24256[[#This Row],[Stand Cappucino Plantaardig vorige maand]]</calculatedColumnFormula>
    </tableColumn>
    <tableColumn id="12" xr3:uid="{FB441660-289C-414A-9394-94D241E12A02}" name="Stand Latte Macchiato Plantaardig einde maand" dataDxfId="894"/>
    <tableColumn id="41" xr3:uid="{E5ABC912-FBBD-4CF7-AB61-F77B1E3461C7}" name="Stand Latte Macchiato Plantaardig vorige maand" dataDxfId="893">
      <calculatedColumnFormula>Tabel242[[#This Row],[Stand Latte Macchiato Plantaardig einde maand]]</calculatedColumnFormula>
    </tableColumn>
    <tableColumn id="40" xr3:uid="{706A9548-13DE-4014-AFC3-352DEB94E8D3}" name="Verbruik Stand Latte Macchiato Plantaardig deze maand" dataDxfId="892">
      <calculatedColumnFormula>Tabel24256[[#This Row],[Stand Latte Macchiato Plantaardig einde maand]]-Tabel24256[[#This Row],[Stand Latte Macchiato Plantaardig vorige maand]]</calculatedColumnFormula>
    </tableColumn>
    <tableColumn id="13" xr3:uid="{3AD2A72E-9F73-4974-A3BE-CB5C04986DFA}" name="Subtotaal koffieautomaten"/>
    <tableColumn id="14" xr3:uid="{076D4CA9-7D6A-475A-8AF8-44DDA3405452}" name="Stand Kamertemp liter einde maand" dataDxfId="891"/>
    <tableColumn id="42" xr3:uid="{29D425CA-A39C-495D-B5B9-8F74ED2FB058}" name="Stand Kamertemp liter vorige maand" dataDxfId="890">
      <calculatedColumnFormula>Tabel242[[#This Row],[Stand Kamertemp liter einde maand]]</calculatedColumnFormula>
    </tableColumn>
    <tableColumn id="43" xr3:uid="{3FFDFFFF-FA03-4159-9825-80E232BE1A75}" name="Verbruik Kamertemp liter deze maand" dataDxfId="889">
      <calculatedColumnFormula>Tabel24256[[#This Row],[Stand Kamertemp liter einde maand]]-Tabel24256[[#This Row],[Stand Kamertemp liter vorige maand]]</calculatedColumnFormula>
    </tableColumn>
    <tableColumn id="15" xr3:uid="{9CB90EF3-B469-4B58-8A7D-885CBBFCA9C0}" name="Aantal consumpties Kamertemp deze maand" dataDxfId="888"/>
    <tableColumn id="16" xr3:uid="{EC6A21CB-8054-4445-BFBC-5FAE090B2466}" name="Stand Gekoeld liter einde maand" dataDxfId="887"/>
    <tableColumn id="45" xr3:uid="{59D9F38C-96C2-4189-B88D-70CB2C1C366C}" name="Stand Gekoeld liter vorige maand" dataDxfId="886">
      <calculatedColumnFormula>Tabel242[[#This Row],[Stand Gekoeld liter einde maand]]</calculatedColumnFormula>
    </tableColumn>
    <tableColumn id="44" xr3:uid="{B389B95C-BCAB-4DC2-86A4-0BD6D3141511}" name="Verbruik Gekoeld liter deze maand" dataDxfId="885">
      <calculatedColumnFormula>Tabel24256[[#This Row],[Stand Gekoeld liter einde maand]]-Tabel24256[[#This Row],[Stand Gekoeld liter vorige maand]]</calculatedColumnFormula>
    </tableColumn>
    <tableColumn id="17" xr3:uid="{07B25145-246D-4A5C-B0D8-75193D1EC3F9}" name="Aantal consumpties gekoeld water deze maand" dataDxfId="884"/>
    <tableColumn id="18" xr3:uid="{05DA4AE9-B9DD-4358-A7AA-238CAA6F0235}" name="Stand Bruisend liter einde maand" dataDxfId="883"/>
    <tableColumn id="46" xr3:uid="{C7DF43EE-9883-46C1-A609-409F3F7DD428}" name="Stand Bruisend liter vorige maand" dataDxfId="882">
      <calculatedColumnFormula>Tabel242[[#This Row],[Stand Bruisend liter einde maand]]</calculatedColumnFormula>
    </tableColumn>
    <tableColumn id="47" xr3:uid="{26B6C617-996E-4F21-84CF-70FFA7AC3F88}" name="Verbruik Bruisend liter deze maand" dataDxfId="881">
      <calculatedColumnFormula>Tabel24256[[#This Row],[Stand Bruisend liter einde maand]]-Tabel24256[[#This Row],[Stand Bruisend liter vorige maand]]</calculatedColumnFormula>
    </tableColumn>
    <tableColumn id="19" xr3:uid="{293F6BC7-95EF-463E-AEF5-A88DD9EA9DF5}" name="aantal consumpties Bruisend water deze maand" dataDxfId="880"/>
    <tableColumn id="20" xr3:uid="{0E1C48DB-692D-40B4-BF0C-954015466418}" name="Stand licht bruisend liter einde maand" dataDxfId="879"/>
    <tableColumn id="49" xr3:uid="{708DB2B3-1413-4A21-97FF-C4B5D7E6FC54}" name="Stand licht bruisend liter vorige maand" dataDxfId="878">
      <calculatedColumnFormula>Tabel242[[#This Row],[Stand licht bruisend liter einde maand]]</calculatedColumnFormula>
    </tableColumn>
    <tableColumn id="48" xr3:uid="{11008EF4-772A-45E1-83E4-CC20FB869A9D}" name="Verbruik licht bruisend liter deze maand" dataDxfId="877">
      <calculatedColumnFormula>Tabel24256[[#This Row],[Stand licht bruisend liter einde maand]]-Tabel24256[[#This Row],[Stand licht bruisend liter vorige maand]]</calculatedColumnFormula>
    </tableColumn>
    <tableColumn id="21" xr3:uid="{EE4D9B96-64C5-41F9-B1AE-0FE8A5E31DDD}" name="Aantal consumpties licht bruisend water deze maand" dataDxfId="876"/>
    <tableColumn id="22" xr3:uid="{0B142198-A278-4139-8AC8-D6FBAE3E2E46}" name="Stand heet water liter einde maand" dataDxfId="875"/>
    <tableColumn id="51" xr3:uid="{E9DDC8F2-1B22-4890-8862-D80A371DF40F}" name="Stand heet water liter vorige maand" dataDxfId="874">
      <calculatedColumnFormula>Tabel242[[#This Row],[Stand heet water liter einde maand]]</calculatedColumnFormula>
    </tableColumn>
    <tableColumn id="50" xr3:uid="{84D39BF2-599E-4B7D-B0C4-E7AFDFB0D33A}" name="Verbruik heet Water liter deze maand " dataDxfId="873">
      <calculatedColumnFormula>Tabel24256[[#This Row],[Stand heet water liter einde maand]]-Tabel24256[[#This Row],[Stand heet water liter vorige maand]]</calculatedColumnFormula>
    </tableColumn>
    <tableColumn id="23" xr3:uid="{92B6D1B9-3C29-48FB-B39A-111458639C0B}" name="Aantal consumpties heet water deze maand" dataDxfId="872"/>
    <tableColumn id="24" xr3:uid="{4EE99436-3628-468B-8DE9-CF2AA32FE969}" name="Subtotaal waterbar in consumpties" dataDxfId="871"/>
    <tableColumn id="25" xr3:uid="{A91567C0-7F08-497B-94DE-1B145778395D}" name="Grand totaal" dataDxfId="870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1F0C1C3-B875-476C-9BE2-CD08729030D4}" name="Tabel242567" displayName="Tabel242567" ref="A2:AY65" totalsRowShown="0" headerRowDxfId="869">
  <autoFilter ref="A2:AY65" xr:uid="{54F302AC-3C69-430C-8AAB-88654DF3A9A0}"/>
  <sortState xmlns:xlrd2="http://schemas.microsoft.com/office/spreadsheetml/2017/richdata2" ref="A3:AY65">
    <sortCondition ref="B2:B65"/>
  </sortState>
  <tableColumns count="51">
    <tableColumn id="1" xr3:uid="{EF35AA0E-2414-410D-98FF-36F814F87EA3}" name="Verdieping"/>
    <tableColumn id="2" xr3:uid="{0562D36F-2DB0-4F48-99C6-4E9846E05CFE}" name="Automatennaam"/>
    <tableColumn id="3" xr3:uid="{BFA53469-08D8-4070-A903-8B5E126576F2}" name="Type concept"/>
    <tableColumn id="4" xr3:uid="{D304EEEF-7EBE-4F9F-913D-5C1FF1A6DBF1}" name="Serienummer"/>
    <tableColumn id="5" xr3:uid="{CB8B057C-8E87-41A1-8645-9BDA620B94BB}" name="Stand Coffee einde maand" dataDxfId="868"/>
    <tableColumn id="27" xr3:uid="{185FEB61-202C-4C08-BF8C-8962377BFCFA}" name="Coffee vorige maand" dataDxfId="867">
      <calculatedColumnFormula>Tabel2[[#This Row],[Coffee]]</calculatedColumnFormula>
    </tableColumn>
    <tableColumn id="26" xr3:uid="{1BE30D90-254F-45EB-8BE6-5802B2B93E65}" name="Verbruik Coffee deze maand" dataDxfId="866">
      <calculatedColumnFormula>Tabel242567[[#This Row],[Stand Coffee einde maand]]-Tabel242567[[#This Row],[Coffee vorige maand]]</calculatedColumnFormula>
    </tableColumn>
    <tableColumn id="6" xr3:uid="{D70322B6-4F76-488C-99C4-A4CC65DD94A0}" name="Stand Espresso Einde maand" dataDxfId="865"/>
    <tableColumn id="29" xr3:uid="{2ED8B67D-8ADA-446F-93BD-0F3DFDD312DC}" name="Espresso vorige maand" dataDxfId="864">
      <calculatedColumnFormula>Tabel2[[#This Row],[Espresso]]</calculatedColumnFormula>
    </tableColumn>
    <tableColumn id="28" xr3:uid="{0C7D0346-E373-4919-A13E-39B5E08F4601}" name="Verbruik Espresso deze maand" dataDxfId="863">
      <calculatedColumnFormula>Tabel242567[[#This Row],[Stand Espresso Einde maand]]-Tabel242567[[#This Row],[Espresso vorige maand]]</calculatedColumnFormula>
    </tableColumn>
    <tableColumn id="7" xr3:uid="{609A43A0-3F0F-4A10-8ECB-5D654C396ADC}" name="Stand Latte Macchiato einde maand" dataDxfId="862"/>
    <tableColumn id="31" xr3:uid="{D7418F39-6CA9-477E-8BD6-05772287B789}" name="Latte Macchiato vorige maand" dataDxfId="861">
      <calculatedColumnFormula>Tabel242[[#This Row],[Stand Latte Macchiato einde maand]]</calculatedColumnFormula>
    </tableColumn>
    <tableColumn id="30" xr3:uid="{6131DDD5-3DEE-40FC-87AB-7FDD23D45635}" name="Verbruik Latte Macchiato deze maand" dataDxfId="860">
      <calculatedColumnFormula>Tabel242567[[#This Row],[Stand Latte Macchiato einde maand]]-Tabel242567[[#This Row],[Latte Macchiato vorige maand]]</calculatedColumnFormula>
    </tableColumn>
    <tableColumn id="8" xr3:uid="{99D2553D-1442-4E92-B581-834519EF6265}" name="Stand Coffee Latte einde maand" dataDxfId="859"/>
    <tableColumn id="33" xr3:uid="{B34568D1-2275-4F51-A765-5A4B5707095E}" name="Coffee Latte vorige maand" dataDxfId="858">
      <calculatedColumnFormula>Tabel242[[#This Row],[Stand Coffee Latte einde maand]]</calculatedColumnFormula>
    </tableColumn>
    <tableColumn id="32" xr3:uid="{A82E551E-4EB7-48B0-81A8-30227F404E9D}" name="Verbruik Coffee Latte deze maand" dataDxfId="857">
      <calculatedColumnFormula>Tabel242567[[#This Row],[Stand Coffee Latte einde maand]]-Tabel242567[[#This Row],[Coffee Latte vorige maand]]</calculatedColumnFormula>
    </tableColumn>
    <tableColumn id="9" xr3:uid="{50F45179-79A0-4EF3-A819-4C49F75F07C0}" name="Stand Hot Water einde maand" dataDxfId="856"/>
    <tableColumn id="35" xr3:uid="{83E0D9A4-86E6-4806-9E5F-F4A1FEE6D4A9}" name="Hot Water vorige maand" dataDxfId="855">
      <calculatedColumnFormula>Tabel242[[#This Row],[Stand Hot Water einde maand]]</calculatedColumnFormula>
    </tableColumn>
    <tableColumn id="34" xr3:uid="{DA2C298B-D097-4594-9D23-F1E21A5C4EB6}" name="Verbruik Hot Water deze maand" dataDxfId="854">
      <calculatedColumnFormula>Tabel242567[[#This Row],[Stand Hot Water einde maand]]-Tabel242567[[#This Row],[Hot Water vorige maand]]</calculatedColumnFormula>
    </tableColumn>
    <tableColumn id="10" xr3:uid="{13B86997-BADF-4687-9285-A75FA2D37B02}" name="Stand Cappucino einde maand" dataDxfId="853"/>
    <tableColumn id="36" xr3:uid="{31A8CE39-2B1E-46F7-A136-79DC0396584E}" name="Stand Cappucino vorige maand" dataDxfId="852">
      <calculatedColumnFormula>Tabel242[[#This Row],[Stand Cappucino einde maand]]</calculatedColumnFormula>
    </tableColumn>
    <tableColumn id="37" xr3:uid="{65B632F8-A15B-4A78-802F-C2B8F6A1A9A4}" name="Verbruik Cappucino deze maand" dataDxfId="851">
      <calculatedColumnFormula>Tabel242567[[#This Row],[Stand Cappucino einde maand]]-Tabel242567[[#This Row],[Stand Cappucino vorige maand]]</calculatedColumnFormula>
    </tableColumn>
    <tableColumn id="11" xr3:uid="{9BD40F0C-5DC5-4805-9DD8-149941D8E616}" name="Stand Cappucino Plantaardig einde maand" dataDxfId="850"/>
    <tableColumn id="39" xr3:uid="{4FB2BA89-634D-4E26-AE20-C9421CF7515D}" name="Stand Cappucino Plantaardig vorige maand" dataDxfId="849">
      <calculatedColumnFormula>Tabel242[[#This Row],[Stand Cappucino Plantaardig einde maand]]</calculatedColumnFormula>
    </tableColumn>
    <tableColumn id="38" xr3:uid="{C3667AD7-AAD2-4331-9F79-D64B290358B5}" name="Verbruik  Cappucino Plantaardig deze maand" dataDxfId="848">
      <calculatedColumnFormula>Tabel242567[[#This Row],[Stand Cappucino Plantaardig einde maand]]-Tabel242567[[#This Row],[Stand Cappucino Plantaardig vorige maand]]</calculatedColumnFormula>
    </tableColumn>
    <tableColumn id="12" xr3:uid="{49DE3685-06F4-4047-A05F-289CB00E74F7}" name="Stand Latte Macchiato Plantaardig einde maand" dataDxfId="847"/>
    <tableColumn id="41" xr3:uid="{40DF7C2B-638F-41C4-B8CF-3063AD999BC7}" name="Stand Latte Macchiato Plantaardig vorige maand" dataDxfId="846">
      <calculatedColumnFormula>Tabel242[[#This Row],[Stand Latte Macchiato Plantaardig einde maand]]</calculatedColumnFormula>
    </tableColumn>
    <tableColumn id="40" xr3:uid="{9770FD55-DBA7-4749-A057-BD338AB43D74}" name="Verbruik Stand Latte Macchiato Plantaardig deze maand" dataDxfId="845">
      <calculatedColumnFormula>Tabel242567[[#This Row],[Stand Latte Macchiato Plantaardig einde maand]]-Tabel242567[[#This Row],[Stand Latte Macchiato Plantaardig vorige maand]]</calculatedColumnFormula>
    </tableColumn>
    <tableColumn id="13" xr3:uid="{DA4C721B-079E-41AE-B6FA-7E1CE9A106FE}" name="Subtotaal koffieautomaten"/>
    <tableColumn id="14" xr3:uid="{DDB51443-AFDE-4704-B225-FC299288D79C}" name="Stand Kamertemp liter einde maand" dataDxfId="844"/>
    <tableColumn id="42" xr3:uid="{23DB9DAA-44EC-48BF-AA8C-8070AD499D87}" name="Stand Kamertemp liter vorige maand" dataDxfId="843">
      <calculatedColumnFormula>Tabel242[[#This Row],[Stand Kamertemp liter einde maand]]</calculatedColumnFormula>
    </tableColumn>
    <tableColumn id="43" xr3:uid="{BF73D8AB-9937-411A-AB4F-3052D3363B68}" name="Verbruik Kamertemp liter deze maand" dataDxfId="842">
      <calculatedColumnFormula>Tabel242567[[#This Row],[Stand Kamertemp liter einde maand]]-Tabel242567[[#This Row],[Stand Kamertemp liter vorige maand]]</calculatedColumnFormula>
    </tableColumn>
    <tableColumn id="15" xr3:uid="{090AAC7A-24CB-4118-8A2D-BA55F7851AD3}" name="Aantal consumpties Kamertemp deze maand" dataDxfId="841"/>
    <tableColumn id="16" xr3:uid="{A311C3BA-A952-4AE5-B2D6-76928AB1191C}" name="Stand Gekoeld liter einde maand" dataDxfId="840"/>
    <tableColumn id="45" xr3:uid="{8EB118DA-E8AA-46B4-A7B4-A35658918F32}" name="Stand Gekoeld liter vorige maand" dataDxfId="839">
      <calculatedColumnFormula>Tabel242[[#This Row],[Stand Gekoeld liter einde maand]]</calculatedColumnFormula>
    </tableColumn>
    <tableColumn id="44" xr3:uid="{43C5047E-64FE-4268-9AFB-B2E5953E31D5}" name="Verbruik Gekoeld liter deze maand" dataDxfId="838">
      <calculatedColumnFormula>Tabel242567[[#This Row],[Stand Gekoeld liter einde maand]]-Tabel242567[[#This Row],[Stand Gekoeld liter vorige maand]]</calculatedColumnFormula>
    </tableColumn>
    <tableColumn id="17" xr3:uid="{0C244064-2661-4B68-9ACA-B052CFEAF85D}" name="Aantal consumpties gekoeld water deze maand" dataDxfId="837"/>
    <tableColumn id="18" xr3:uid="{867677BA-470D-407B-AC4A-3716D7DA0D84}" name="Stand Bruisend liter einde maand" dataDxfId="836"/>
    <tableColumn id="46" xr3:uid="{A887F890-7D0C-4FCC-92A8-794B37F77105}" name="Stand Bruisend liter vorige maand" dataDxfId="835">
      <calculatedColumnFormula>Tabel242[[#This Row],[Stand Bruisend liter einde maand]]</calculatedColumnFormula>
    </tableColumn>
    <tableColumn id="47" xr3:uid="{3928FE38-D8BA-4BC0-8B3C-031FF6577860}" name="Verbruik Bruisend liter deze maand" dataDxfId="834">
      <calculatedColumnFormula>Tabel242567[[#This Row],[Stand Bruisend liter einde maand]]-Tabel242567[[#This Row],[Stand Bruisend liter vorige maand]]</calculatedColumnFormula>
    </tableColumn>
    <tableColumn id="19" xr3:uid="{CB1C5F43-572B-40FF-B5BF-FB7A2C5D35E8}" name="aantal consumpties Bruisend water deze maand" dataDxfId="833"/>
    <tableColumn id="20" xr3:uid="{4CE01987-05B9-47DA-80EE-1DCB525C9134}" name="Stand licht bruisend liter einde maand" dataDxfId="832"/>
    <tableColumn id="49" xr3:uid="{881D3417-12D3-44FE-994B-3B63B1BB6906}" name="Stand licht bruisend liter vorige maand" dataDxfId="831">
      <calculatedColumnFormula>Tabel242[[#This Row],[Stand licht bruisend liter einde maand]]</calculatedColumnFormula>
    </tableColumn>
    <tableColumn id="48" xr3:uid="{795C1974-2ECC-45D5-A09B-FBD1A501F0A5}" name="Verbruik licht bruisend liter deze maand" dataDxfId="830">
      <calculatedColumnFormula>Tabel242567[[#This Row],[Stand licht bruisend liter einde maand]]-Tabel242567[[#This Row],[Stand licht bruisend liter vorige maand]]</calculatedColumnFormula>
    </tableColumn>
    <tableColumn id="21" xr3:uid="{4DC5441D-8A2C-47DC-9E9C-893613E3AD05}" name="Aantal consumpties licht bruisend water deze maand" dataDxfId="829"/>
    <tableColumn id="22" xr3:uid="{4DF5BF49-47AA-4C30-A941-9BCE3576D4E9}" name="Stand heet water liter einde maand" dataDxfId="828"/>
    <tableColumn id="51" xr3:uid="{F5D71BFE-76A6-48C4-B436-A2F831BE7CEC}" name="Stand heet water liter vorige maand" dataDxfId="827">
      <calculatedColumnFormula>Tabel242[[#This Row],[Stand heet water liter einde maand]]</calculatedColumnFormula>
    </tableColumn>
    <tableColumn id="50" xr3:uid="{2E2020DB-4488-419E-B936-B129184A6866}" name="Verbruik heet Water liter deze maand " dataDxfId="826">
      <calculatedColumnFormula>Tabel242567[[#This Row],[Stand heet water liter einde maand]]-Tabel242567[[#This Row],[Stand heet water liter vorige maand]]</calculatedColumnFormula>
    </tableColumn>
    <tableColumn id="23" xr3:uid="{093EC390-7FB3-4834-85FA-6811CBE61534}" name="Aantal consumpties heet water deze maand" dataDxfId="825"/>
    <tableColumn id="24" xr3:uid="{AC92C786-AAFB-45E3-9DCC-6CA214EE1525}" name="Subtotaal waterbar in consumpties" dataDxfId="824"/>
    <tableColumn id="25" xr3:uid="{56C7163A-D755-40B2-8555-A905ACE81036}" name="Grand totaal" dataDxfId="823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191EA1B-C17A-4E23-A35B-C09D186117CE}" name="Tabel2425678" displayName="Tabel2425678" ref="A2:AY65" totalsRowShown="0" headerRowDxfId="822">
  <autoFilter ref="A2:AY65" xr:uid="{F191EA1B-C17A-4E23-A35B-C09D186117CE}"/>
  <sortState xmlns:xlrd2="http://schemas.microsoft.com/office/spreadsheetml/2017/richdata2" ref="A3:AY65">
    <sortCondition ref="B2:B65"/>
  </sortState>
  <tableColumns count="51">
    <tableColumn id="1" xr3:uid="{B389F38D-5AF9-4F19-8B78-137257FB8224}" name="Verdieping"/>
    <tableColumn id="2" xr3:uid="{6133AC42-F53E-4738-9008-7CD648FAD76F}" name="Automatennaam"/>
    <tableColumn id="3" xr3:uid="{0C6D13F2-8E8B-4ABA-8496-32478F0E2474}" name="Type concept"/>
    <tableColumn id="4" xr3:uid="{F3ACFE5D-7943-4F47-8D3B-AB6935263CC8}" name="Serienummer"/>
    <tableColumn id="5" xr3:uid="{EF208712-F3B9-4503-9A30-6BC7FB271222}" name="Stand Coffee einde maand" dataDxfId="821"/>
    <tableColumn id="27" xr3:uid="{910B3065-50B2-45F6-AD26-349602C3D35D}" name="Coffee vorige maand" dataDxfId="820">
      <calculatedColumnFormula>Tabel2[[#This Row],[Coffee]]</calculatedColumnFormula>
    </tableColumn>
    <tableColumn id="26" xr3:uid="{99B69C82-D149-4612-B114-C27F34799971}" name="Verbruik Coffee deze maand" dataDxfId="819">
      <calculatedColumnFormula>Tabel2425678[[#This Row],[Stand Coffee einde maand]]-Tabel2425678[[#This Row],[Coffee vorige maand]]</calculatedColumnFormula>
    </tableColumn>
    <tableColumn id="6" xr3:uid="{B7399894-446E-4605-9777-FB8A303184BE}" name="Stand Espresso Einde maand" dataDxfId="818"/>
    <tableColumn id="29" xr3:uid="{78E75957-90BC-4E41-BEC7-1375072A88E1}" name="Espresso vorige maand" dataDxfId="817">
      <calculatedColumnFormula>Tabel2[[#This Row],[Espresso]]</calculatedColumnFormula>
    </tableColumn>
    <tableColumn id="28" xr3:uid="{9C88074E-2C74-4D87-92B7-2C06937F30A4}" name="Verbruik Espresso deze maand" dataDxfId="816">
      <calculatedColumnFormula>Tabel2425678[[#This Row],[Stand Espresso Einde maand]]-Tabel2425678[[#This Row],[Espresso vorige maand]]</calculatedColumnFormula>
    </tableColumn>
    <tableColumn id="7" xr3:uid="{A8112F93-42F8-47AB-8DC2-FA7D9C4DAD03}" name="Stand Latte Macchiato einde maand" dataDxfId="815"/>
    <tableColumn id="31" xr3:uid="{F93CED02-069E-40EA-8A2F-6ACDEE2639C1}" name="Latte Macchiato vorige maand" dataDxfId="814">
      <calculatedColumnFormula>Tabel242[[#This Row],[Stand Latte Macchiato einde maand]]</calculatedColumnFormula>
    </tableColumn>
    <tableColumn id="30" xr3:uid="{ED66C4AC-BC0B-46AF-AE83-60977310B0DC}" name="Verbruik Latte Macchiato deze maand" dataDxfId="813">
      <calculatedColumnFormula>Tabel2425678[[#This Row],[Stand Latte Macchiato einde maand]]-Tabel2425678[[#This Row],[Latte Macchiato vorige maand]]</calculatedColumnFormula>
    </tableColumn>
    <tableColumn id="8" xr3:uid="{206ED9CC-8360-47F7-B9C2-0954CC3ACCE0}" name="Stand Coffee Latte einde maand" dataDxfId="812"/>
    <tableColumn id="33" xr3:uid="{06F942D6-7289-4866-8E45-36A31246AB05}" name="Coffee Latte vorige maand" dataDxfId="811">
      <calculatedColumnFormula>Tabel242[[#This Row],[Stand Coffee Latte einde maand]]</calculatedColumnFormula>
    </tableColumn>
    <tableColumn id="32" xr3:uid="{A069E59B-1E32-45F5-B35B-98C5EEE403C1}" name="Verbruik Coffee Latte deze maand" dataDxfId="810">
      <calculatedColumnFormula>Tabel2425678[[#This Row],[Stand Coffee Latte einde maand]]-Tabel2425678[[#This Row],[Coffee Latte vorige maand]]</calculatedColumnFormula>
    </tableColumn>
    <tableColumn id="9" xr3:uid="{65F18DCA-EE54-47E5-B5E9-B2E7BA4E0A94}" name="Stand Hot Water einde maand" dataDxfId="809"/>
    <tableColumn id="35" xr3:uid="{F04E4395-57F1-4F87-A1F4-7AC33AB3DBEC}" name="Hot Water vorige maand" dataDxfId="808">
      <calculatedColumnFormula>Tabel242[[#This Row],[Stand Hot Water einde maand]]</calculatedColumnFormula>
    </tableColumn>
    <tableColumn id="34" xr3:uid="{9693D816-0CE4-4A54-9EAC-BFA7DFA0B0A6}" name="Verbruik Hot Water deze maand" dataDxfId="807">
      <calculatedColumnFormula>Tabel2425678[[#This Row],[Stand Hot Water einde maand]]-Tabel2425678[[#This Row],[Hot Water vorige maand]]</calculatedColumnFormula>
    </tableColumn>
    <tableColumn id="10" xr3:uid="{622D569D-B6F9-4B7F-9C39-BE8DAC1BED7D}" name="Stand Cappucino einde maand" dataDxfId="806"/>
    <tableColumn id="36" xr3:uid="{0E197C2F-CD57-4D6E-8758-0053AB47F1A8}" name="Stand Cappucino vorige maand" dataDxfId="805">
      <calculatedColumnFormula>Tabel242[[#This Row],[Stand Cappucino einde maand]]</calculatedColumnFormula>
    </tableColumn>
    <tableColumn id="37" xr3:uid="{88741A43-C6E0-45A7-98AC-82EC849D7F58}" name="Verbruik Cappucino deze maand" dataDxfId="804">
      <calculatedColumnFormula>Tabel2425678[[#This Row],[Stand Cappucino einde maand]]-Tabel2425678[[#This Row],[Stand Cappucino vorige maand]]</calculatedColumnFormula>
    </tableColumn>
    <tableColumn id="11" xr3:uid="{CA0F40B3-5293-4B68-A46B-4030731EBF7B}" name="Stand Cappucino Plantaardig einde maand" dataDxfId="803"/>
    <tableColumn id="39" xr3:uid="{E0CA14FD-5261-4937-A8EE-C696DEAF8221}" name="Stand Cappucino Plantaardig vorige maand" dataDxfId="802">
      <calculatedColumnFormula>Tabel242[[#This Row],[Stand Cappucino Plantaardig einde maand]]</calculatedColumnFormula>
    </tableColumn>
    <tableColumn id="38" xr3:uid="{AC59B6BD-FE90-45A6-9E08-0C3B785FD163}" name="Verbruik  Cappucino Plantaardig deze maand" dataDxfId="801">
      <calculatedColumnFormula>Tabel2425678[[#This Row],[Stand Cappucino Plantaardig einde maand]]-Tabel2425678[[#This Row],[Stand Cappucino Plantaardig vorige maand]]</calculatedColumnFormula>
    </tableColumn>
    <tableColumn id="12" xr3:uid="{4A1DA829-05AC-40AE-B69F-B4B0E3B3F101}" name="Stand Latte Macchiato Plantaardig einde maand" dataDxfId="800"/>
    <tableColumn id="41" xr3:uid="{152504BE-6EB2-46B9-AD39-A0F8C61CA7BF}" name="Stand Latte Macchiato Plantaardig vorige maand" dataDxfId="799">
      <calculatedColumnFormula>Tabel242[[#This Row],[Stand Latte Macchiato Plantaardig einde maand]]</calculatedColumnFormula>
    </tableColumn>
    <tableColumn id="40" xr3:uid="{FFBC055B-4C5B-4883-86BC-C72327E617AD}" name="Verbruik Stand Latte Macchiato Plantaardig deze maand" dataDxfId="798">
      <calculatedColumnFormula>Tabel2425678[[#This Row],[Stand Latte Macchiato Plantaardig einde maand]]-Tabel2425678[[#This Row],[Stand Latte Macchiato Plantaardig vorige maand]]</calculatedColumnFormula>
    </tableColumn>
    <tableColumn id="13" xr3:uid="{664F35AE-5529-4893-91C7-9030846662C6}" name="Subtotaal koffieautomaten"/>
    <tableColumn id="14" xr3:uid="{F86E99A0-A6FF-4973-B54A-FEE21004D268}" name="Stand Kamertemp liter einde maand" dataDxfId="797"/>
    <tableColumn id="42" xr3:uid="{6E000579-24C3-47C1-9C7A-416C79ADC525}" name="Stand Kamertemp liter vorige maand" dataDxfId="796">
      <calculatedColumnFormula>Tabel242[[#This Row],[Stand Kamertemp liter einde maand]]</calculatedColumnFormula>
    </tableColumn>
    <tableColumn id="43" xr3:uid="{75436513-9E68-4A07-AA2C-E88916B9DC13}" name="Verbruik Kamertemp liter deze maand" dataDxfId="795">
      <calculatedColumnFormula>Tabel2425678[[#This Row],[Stand Kamertemp liter einde maand]]-Tabel2425678[[#This Row],[Stand Kamertemp liter vorige maand]]</calculatedColumnFormula>
    </tableColumn>
    <tableColumn id="15" xr3:uid="{E0750D2B-ABBD-41A6-864C-3B86C3819868}" name="Aantal consumpties Kamertemp deze maand" dataDxfId="794"/>
    <tableColumn id="16" xr3:uid="{EAD83C11-E8F0-4318-8FE0-0B34D3E3DFFB}" name="Stand Gekoeld liter einde maand" dataDxfId="793"/>
    <tableColumn id="45" xr3:uid="{E23750A5-E24A-4A06-8B39-2398E44560A9}" name="Stand Gekoeld liter vorige maand" dataDxfId="792">
      <calculatedColumnFormula>Tabel242[[#This Row],[Stand Gekoeld liter einde maand]]</calculatedColumnFormula>
    </tableColumn>
    <tableColumn id="44" xr3:uid="{751CD64F-F9A2-4980-A112-16F859EBEFCA}" name="Verbruik Gekoeld liter deze maand" dataDxfId="791">
      <calculatedColumnFormula>Tabel2425678[[#This Row],[Stand Gekoeld liter einde maand]]-Tabel2425678[[#This Row],[Stand Gekoeld liter vorige maand]]</calculatedColumnFormula>
    </tableColumn>
    <tableColumn id="17" xr3:uid="{42453550-6FD5-402E-84CA-9C81A4BA15FD}" name="Aantal consumpties gekoeld water deze maand" dataDxfId="790"/>
    <tableColumn id="18" xr3:uid="{48B001B7-E960-43B2-B509-8ADCB23ED643}" name="Stand Bruisend liter einde maand" dataDxfId="789"/>
    <tableColumn id="46" xr3:uid="{B1852C1D-5295-433A-823C-15D60D59A2DC}" name="Stand Bruisend liter vorige maand" dataDxfId="788">
      <calculatedColumnFormula>Tabel242[[#This Row],[Stand Bruisend liter einde maand]]</calculatedColumnFormula>
    </tableColumn>
    <tableColumn id="47" xr3:uid="{7CF6F1DD-4E68-4269-8707-AF3D96980D05}" name="Verbruik Bruisend liter deze maand" dataDxfId="787">
      <calculatedColumnFormula>Tabel2425678[[#This Row],[Stand Bruisend liter einde maand]]-Tabel2425678[[#This Row],[Stand Bruisend liter vorige maand]]</calculatedColumnFormula>
    </tableColumn>
    <tableColumn id="19" xr3:uid="{0378975F-F05A-4414-9758-6AA9C0DB6F06}" name="aantal consumpties Bruisend water deze maand" dataDxfId="786"/>
    <tableColumn id="20" xr3:uid="{36E23AC8-56C1-4C22-8736-A9183E55E3C2}" name="Stand licht bruisend liter einde maand" dataDxfId="785"/>
    <tableColumn id="49" xr3:uid="{8022FDB2-052B-4976-9AF2-16473458E390}" name="Stand licht bruisend liter vorige maand" dataDxfId="784">
      <calculatedColumnFormula>Tabel242[[#This Row],[Stand licht bruisend liter einde maand]]</calculatedColumnFormula>
    </tableColumn>
    <tableColumn id="48" xr3:uid="{D05D5405-8A08-4D9A-AD25-4938107D441F}" name="Verbruik licht bruisend liter deze maand" dataDxfId="783">
      <calculatedColumnFormula>Tabel2425678[[#This Row],[Stand licht bruisend liter einde maand]]-Tabel2425678[[#This Row],[Stand licht bruisend liter vorige maand]]</calculatedColumnFormula>
    </tableColumn>
    <tableColumn id="21" xr3:uid="{C10E71A7-095D-4F3E-B32E-62F8068A20BB}" name="Aantal consumpties licht bruisend water deze maand" dataDxfId="782"/>
    <tableColumn id="22" xr3:uid="{10C02EC5-7B62-48A0-9C3E-750A975C2335}" name="Stand heet water liter einde maand" dataDxfId="781"/>
    <tableColumn id="51" xr3:uid="{681240B9-9F08-4A64-8EA1-4888AF601438}" name="Stand heet water liter vorige maand" dataDxfId="780">
      <calculatedColumnFormula>Tabel242[[#This Row],[Stand heet water liter einde maand]]</calculatedColumnFormula>
    </tableColumn>
    <tableColumn id="50" xr3:uid="{D497A62B-BBED-46DA-B388-56FED334C89F}" name="Verbruik heet Water liter deze maand " dataDxfId="779">
      <calculatedColumnFormula>Tabel2425678[[#This Row],[Stand heet water liter einde maand]]-Tabel2425678[[#This Row],[Stand heet water liter vorige maand]]</calculatedColumnFormula>
    </tableColumn>
    <tableColumn id="23" xr3:uid="{BB687B59-E69C-4701-9CFF-C31770BECD2F}" name="Aantal consumpties heet water deze maand" dataDxfId="778"/>
    <tableColumn id="24" xr3:uid="{1CC52A85-320A-4199-98EE-994EB278C511}" name="Subtotaal waterbar in consumpties" dataDxfId="777"/>
    <tableColumn id="25" xr3:uid="{50CCC1F9-A13A-4D69-A25B-24EAEDB25BA5}" name="Grand totaal" dataDxfId="776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FF95657-AE3B-4729-8468-C243AFF7D0A2}" name="Tabel24256789" displayName="Tabel24256789" ref="A2:AY65" totalsRowShown="0" headerRowDxfId="775">
  <autoFilter ref="A2:AY65" xr:uid="{DFF95657-AE3B-4729-8468-C243AFF7D0A2}"/>
  <sortState xmlns:xlrd2="http://schemas.microsoft.com/office/spreadsheetml/2017/richdata2" ref="A3:AY65">
    <sortCondition ref="B2:B65"/>
  </sortState>
  <tableColumns count="51">
    <tableColumn id="1" xr3:uid="{2AA7B5FA-F6B8-43DE-99DE-BC6181CC2DC4}" name="Verdieping"/>
    <tableColumn id="2" xr3:uid="{BD7D489C-0157-42C8-9BE0-C9C0495CC552}" name="Automatennaam"/>
    <tableColumn id="3" xr3:uid="{218FD60A-2055-4AF4-9EA0-DEF10D843172}" name="Type concept"/>
    <tableColumn id="4" xr3:uid="{F6EA93BE-DE78-43DE-86DE-4A85CCDF8345}" name="Serienummer"/>
    <tableColumn id="5" xr3:uid="{9C15BE62-F484-450C-81C9-156223ECC243}" name="Stand Coffee einde maand" dataDxfId="774"/>
    <tableColumn id="27" xr3:uid="{ADF9220D-84EE-439B-AFEA-E52F57054AEB}" name="Coffee vorige maand" dataDxfId="773">
      <calculatedColumnFormula>Tabel2[[#This Row],[Coffee]]</calculatedColumnFormula>
    </tableColumn>
    <tableColumn id="26" xr3:uid="{015D0356-5B3B-4E6F-9F0E-EBAA330ABF55}" name="Verbruik Coffee deze maand" dataDxfId="772">
      <calculatedColumnFormula>Tabel24256789[[#This Row],[Stand Coffee einde maand]]-Tabel24256789[[#This Row],[Coffee vorige maand]]</calculatedColumnFormula>
    </tableColumn>
    <tableColumn id="6" xr3:uid="{B2C4B08C-9217-435F-A4D8-49E2A421F016}" name="Stand Espresso Einde maand" dataDxfId="771"/>
    <tableColumn id="29" xr3:uid="{9361541A-8B1F-4E9C-9958-8B4FB89040E2}" name="Espresso vorige maand" dataDxfId="770">
      <calculatedColumnFormula>Tabel2[[#This Row],[Espresso]]</calculatedColumnFormula>
    </tableColumn>
    <tableColumn id="28" xr3:uid="{0D5F56DA-D462-4FE5-AF36-C1E0BADAF9CD}" name="Verbruik Espresso deze maand" dataDxfId="769">
      <calculatedColumnFormula>Tabel24256789[[#This Row],[Stand Espresso Einde maand]]-Tabel24256789[[#This Row],[Espresso vorige maand]]</calculatedColumnFormula>
    </tableColumn>
    <tableColumn id="7" xr3:uid="{36941991-9046-4FCF-B5AC-9731FE6B4655}" name="Stand Latte Macchiato einde maand" dataDxfId="768"/>
    <tableColumn id="31" xr3:uid="{581D7D8B-2F60-4EC6-A14C-EB3CEE12E197}" name="Latte Macchiato vorige maand" dataDxfId="767">
      <calculatedColumnFormula>Tabel242[[#This Row],[Stand Latte Macchiato einde maand]]</calculatedColumnFormula>
    </tableColumn>
    <tableColumn id="30" xr3:uid="{DE297B53-3E30-47A6-8BE1-1D8F74C870C3}" name="Verbruik Latte Macchiato deze maand" dataDxfId="766">
      <calculatedColumnFormula>Tabel24256789[[#This Row],[Stand Latte Macchiato einde maand]]-Tabel24256789[[#This Row],[Latte Macchiato vorige maand]]</calculatedColumnFormula>
    </tableColumn>
    <tableColumn id="8" xr3:uid="{26B6D52A-180D-4A3D-902E-167653246098}" name="Stand Coffee Latte einde maand" dataDxfId="765"/>
    <tableColumn id="33" xr3:uid="{1CE6E9DD-6C26-479B-B421-DE015B547F37}" name="Coffee Latte vorige maand" dataDxfId="764">
      <calculatedColumnFormula>Tabel242[[#This Row],[Stand Coffee Latte einde maand]]</calculatedColumnFormula>
    </tableColumn>
    <tableColumn id="32" xr3:uid="{A443121E-0C76-4914-8BA1-FA74235FDB5A}" name="Verbruik Coffee Latte deze maand" dataDxfId="763">
      <calculatedColumnFormula>Tabel24256789[[#This Row],[Stand Coffee Latte einde maand]]-Tabel24256789[[#This Row],[Coffee Latte vorige maand]]</calculatedColumnFormula>
    </tableColumn>
    <tableColumn id="9" xr3:uid="{EB9D2678-2185-471A-AF86-24AF2CB8E0A9}" name="Stand Hot Water einde maand" dataDxfId="762"/>
    <tableColumn id="35" xr3:uid="{5DB26784-CD1E-40BD-B7D4-F33039B65477}" name="Hot Water vorige maand" dataDxfId="761">
      <calculatedColumnFormula>Tabel242[[#This Row],[Stand Hot Water einde maand]]</calculatedColumnFormula>
    </tableColumn>
    <tableColumn id="34" xr3:uid="{078728AD-D92D-4A93-A072-17CCEE089A87}" name="Verbruik Hot Water deze maand" dataDxfId="760">
      <calculatedColumnFormula>Tabel24256789[[#This Row],[Stand Hot Water einde maand]]-Tabel24256789[[#This Row],[Hot Water vorige maand]]</calculatedColumnFormula>
    </tableColumn>
    <tableColumn id="10" xr3:uid="{AA2A6493-1DFF-459E-99D2-C67F8565C84B}" name="Stand Cappucino einde maand" dataDxfId="759"/>
    <tableColumn id="36" xr3:uid="{EC0CDE34-3A9C-485E-AD99-7CCBDEA65BA9}" name="Stand Cappucino vorige maand" dataDxfId="758">
      <calculatedColumnFormula>Tabel242[[#This Row],[Stand Cappucino einde maand]]</calculatedColumnFormula>
    </tableColumn>
    <tableColumn id="37" xr3:uid="{68ECDFEE-DF0D-4332-AE7A-8E13732C8E30}" name="Verbruik Cappucino deze maand" dataDxfId="757">
      <calculatedColumnFormula>Tabel24256789[[#This Row],[Stand Cappucino einde maand]]-Tabel24256789[[#This Row],[Stand Cappucino vorige maand]]</calculatedColumnFormula>
    </tableColumn>
    <tableColumn id="11" xr3:uid="{BD6793EE-C683-4028-98E4-06ADF35A1DC3}" name="Stand Cappucino Plantaardig einde maand" dataDxfId="756"/>
    <tableColumn id="39" xr3:uid="{ED02CC0D-A369-4AE0-8710-30285C915C12}" name="Stand Cappucino Plantaardig vorige maand" dataDxfId="755">
      <calculatedColumnFormula>Tabel242[[#This Row],[Stand Cappucino Plantaardig einde maand]]</calculatedColumnFormula>
    </tableColumn>
    <tableColumn id="38" xr3:uid="{0F42090D-275A-4E9C-98CA-6A1CC6B8FDF3}" name="Verbruik  Cappucino Plantaardig deze maand" dataDxfId="754">
      <calculatedColumnFormula>Tabel24256789[[#This Row],[Stand Cappucino Plantaardig einde maand]]-Tabel24256789[[#This Row],[Stand Cappucino Plantaardig vorige maand]]</calculatedColumnFormula>
    </tableColumn>
    <tableColumn id="12" xr3:uid="{03CDD70D-5C7A-4776-B1EE-677BCC0E3CB1}" name="Stand Latte Macchiato Plantaardig einde maand" dataDxfId="753"/>
    <tableColumn id="41" xr3:uid="{B5AFEE92-D95A-4095-9B0C-645E1BA2F845}" name="Stand Latte Macchiato Plantaardig vorige maand" dataDxfId="752">
      <calculatedColumnFormula>Tabel242[[#This Row],[Stand Latte Macchiato Plantaardig einde maand]]</calculatedColumnFormula>
    </tableColumn>
    <tableColumn id="40" xr3:uid="{2F746D98-C0D2-4107-ADE5-EEC6907402A6}" name="Verbruik Stand Latte Macchiato Plantaardig deze maand" dataDxfId="751">
      <calculatedColumnFormula>Tabel24256789[[#This Row],[Stand Latte Macchiato Plantaardig einde maand]]-Tabel24256789[[#This Row],[Stand Latte Macchiato Plantaardig vorige maand]]</calculatedColumnFormula>
    </tableColumn>
    <tableColumn id="13" xr3:uid="{CDF1066B-DCA0-4171-9C60-25BA20A1E41D}" name="Subtotaal koffieautomaten"/>
    <tableColumn id="14" xr3:uid="{16191F0D-19E3-4951-ABA5-5829822E3D49}" name="Stand Kamertemp liter einde maand" dataDxfId="750"/>
    <tableColumn id="42" xr3:uid="{46A42ADA-8EA1-43BB-A31F-B24686756940}" name="Stand Kamertemp liter vorige maand" dataDxfId="749">
      <calculatedColumnFormula>Tabel242[[#This Row],[Stand Kamertemp liter einde maand]]</calculatedColumnFormula>
    </tableColumn>
    <tableColumn id="43" xr3:uid="{8128890B-C6B1-4897-B636-18F3B5428653}" name="Verbruik Kamertemp liter deze maand" dataDxfId="748">
      <calculatedColumnFormula>Tabel24256789[[#This Row],[Stand Kamertemp liter einde maand]]-Tabel24256789[[#This Row],[Stand Kamertemp liter vorige maand]]</calculatedColumnFormula>
    </tableColumn>
    <tableColumn id="15" xr3:uid="{181B4872-58BB-496A-9174-580CC1A5D339}" name="Aantal consumpties Kamertemp deze maand" dataDxfId="747"/>
    <tableColumn id="16" xr3:uid="{77380AAF-8DBA-4F1A-AFF9-44F5FC169350}" name="Stand Gekoeld liter einde maand" dataDxfId="746"/>
    <tableColumn id="45" xr3:uid="{7F601DC8-C135-4B4E-8F61-DD449374D319}" name="Stand Gekoeld liter vorige maand" dataDxfId="745">
      <calculatedColumnFormula>Tabel242[[#This Row],[Stand Gekoeld liter einde maand]]</calculatedColumnFormula>
    </tableColumn>
    <tableColumn id="44" xr3:uid="{69CEB9E9-FE8A-42B1-B08D-B68F392B3895}" name="Verbruik Gekoeld liter deze maand" dataDxfId="744">
      <calculatedColumnFormula>Tabel24256789[[#This Row],[Stand Gekoeld liter einde maand]]-Tabel24256789[[#This Row],[Stand Gekoeld liter vorige maand]]</calculatedColumnFormula>
    </tableColumn>
    <tableColumn id="17" xr3:uid="{1B9E9A23-0CC0-4050-8867-F121BB1A362A}" name="Aantal consumpties gekoeld water deze maand" dataDxfId="743"/>
    <tableColumn id="18" xr3:uid="{7A1C14BE-AE36-465B-92BA-5D35B7F5FDDF}" name="Stand Bruisend liter einde maand" dataDxfId="742"/>
    <tableColumn id="46" xr3:uid="{549EC765-F5B6-43C7-A2CE-EE9E4CFE2C5D}" name="Stand Bruisend liter vorige maand" dataDxfId="741">
      <calculatedColumnFormula>Tabel242[[#This Row],[Stand Bruisend liter einde maand]]</calculatedColumnFormula>
    </tableColumn>
    <tableColumn id="47" xr3:uid="{AAE7B991-4085-4100-B293-9F4062387B3A}" name="Verbruik Bruisend liter deze maand" dataDxfId="740">
      <calculatedColumnFormula>Tabel24256789[[#This Row],[Stand Bruisend liter einde maand]]-Tabel24256789[[#This Row],[Stand Bruisend liter vorige maand]]</calculatedColumnFormula>
    </tableColumn>
    <tableColumn id="19" xr3:uid="{6B942EB0-A634-490B-ADBB-4AF49BFEC08E}" name="aantal consumpties Bruisend water deze maand" dataDxfId="739"/>
    <tableColumn id="20" xr3:uid="{1C862C8B-981B-423F-B361-82A3430F5B56}" name="Stand licht bruisend liter einde maand" dataDxfId="738"/>
    <tableColumn id="49" xr3:uid="{6877F93A-255B-4E93-8987-34840C0883BF}" name="Stand licht bruisend liter vorige maand" dataDxfId="737">
      <calculatedColumnFormula>Tabel242[[#This Row],[Stand licht bruisend liter einde maand]]</calculatedColumnFormula>
    </tableColumn>
    <tableColumn id="48" xr3:uid="{6B69E018-53CF-4CC6-9083-9D3912229A78}" name="Verbruik licht bruisend liter deze maand" dataDxfId="736">
      <calculatedColumnFormula>Tabel24256789[[#This Row],[Stand licht bruisend liter einde maand]]-Tabel24256789[[#This Row],[Stand licht bruisend liter vorige maand]]</calculatedColumnFormula>
    </tableColumn>
    <tableColumn id="21" xr3:uid="{124EC8D0-52CE-479F-BAE9-6EB72636D743}" name="Aantal consumpties licht bruisend water deze maand" dataDxfId="735"/>
    <tableColumn id="22" xr3:uid="{85202B6B-FDD2-44D7-ADE2-5F5415031F8E}" name="Stand heet water liter einde maand" dataDxfId="734"/>
    <tableColumn id="51" xr3:uid="{576D5B7E-DE5E-4E00-9A82-7783E708D18B}" name="Stand heet water liter vorige maand" dataDxfId="733">
      <calculatedColumnFormula>Tabel242[[#This Row],[Stand heet water liter einde maand]]</calculatedColumnFormula>
    </tableColumn>
    <tableColumn id="50" xr3:uid="{5DBF7AF0-538D-423C-A2CA-1CB33C601395}" name="Verbruik heet Water liter deze maand " dataDxfId="732">
      <calculatedColumnFormula>Tabel24256789[[#This Row],[Stand heet water liter einde maand]]-Tabel24256789[[#This Row],[Stand heet water liter vorige maand]]</calculatedColumnFormula>
    </tableColumn>
    <tableColumn id="23" xr3:uid="{F688A2C1-55AB-46AA-AA8C-C5016AFA937F}" name="Aantal consumpties heet water deze maand" dataDxfId="731"/>
    <tableColumn id="24" xr3:uid="{A1CE3ED6-33E6-4042-9411-327567B5E8E0}" name="Subtotaal waterbar in consumpties" dataDxfId="730"/>
    <tableColumn id="25" xr3:uid="{25D46067-EF87-4619-A966-23FA1BAD2CBB}" name="Grand totaal" dataDxfId="729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57A37277-FD57-4743-BD41-EF3576536BA8}" name="Tabel2425678910" displayName="Tabel2425678910" ref="A2:AY65" totalsRowShown="0" headerRowDxfId="728">
  <autoFilter ref="A2:AY65" xr:uid="{57A37277-FD57-4743-BD41-EF3576536BA8}"/>
  <sortState xmlns:xlrd2="http://schemas.microsoft.com/office/spreadsheetml/2017/richdata2" ref="A3:AY65">
    <sortCondition ref="B2:B65"/>
  </sortState>
  <tableColumns count="51">
    <tableColumn id="1" xr3:uid="{DBD6292A-26CC-4841-84E9-64E71082B22E}" name="Verdieping"/>
    <tableColumn id="2" xr3:uid="{5AC4D43E-3637-4ED5-A359-58EAE670246E}" name="Automatennaam"/>
    <tableColumn id="3" xr3:uid="{C8791894-995E-48E3-ADDC-2C2912079969}" name="Type concept"/>
    <tableColumn id="4" xr3:uid="{B4DF74B8-522A-4D2B-9F93-984364A0D391}" name="Serienummer"/>
    <tableColumn id="5" xr3:uid="{108C6652-72D4-42A0-845F-1BB6F1CD9868}" name="Stand Coffee einde maand" dataDxfId="727"/>
    <tableColumn id="27" xr3:uid="{CF34060E-190C-491E-861C-FCD9CA0B5E0D}" name="Coffee vorige maand" dataDxfId="726">
      <calculatedColumnFormula>Tabel2[[#This Row],[Coffee]]</calculatedColumnFormula>
    </tableColumn>
    <tableColumn id="26" xr3:uid="{1A446E5E-EC76-4286-B8A9-663E002AB52A}" name="Verbruik Coffee deze maand" dataDxfId="725">
      <calculatedColumnFormula>Tabel2425678910[[#This Row],[Stand Coffee einde maand]]-Tabel2425678910[[#This Row],[Coffee vorige maand]]</calculatedColumnFormula>
    </tableColumn>
    <tableColumn id="6" xr3:uid="{B9CF34E8-06F7-433D-A839-745DF9FB2E5A}" name="Stand Espresso Einde maand" dataDxfId="724"/>
    <tableColumn id="29" xr3:uid="{BEE4DC1C-C9A0-442B-BD4D-0276AB8C9A4E}" name="Espresso vorige maand" dataDxfId="723">
      <calculatedColumnFormula>Tabel2[[#This Row],[Espresso]]</calculatedColumnFormula>
    </tableColumn>
    <tableColumn id="28" xr3:uid="{2E3E24D2-72CA-49FF-AF70-E153E021B3C0}" name="Verbruik Espresso deze maand" dataDxfId="722">
      <calculatedColumnFormula>Tabel2425678910[[#This Row],[Stand Espresso Einde maand]]-Tabel2425678910[[#This Row],[Espresso vorige maand]]</calculatedColumnFormula>
    </tableColumn>
    <tableColumn id="7" xr3:uid="{9ECCA579-2E00-49BB-A753-8C9334B2B760}" name="Stand Latte Macchiato einde maand" dataDxfId="721"/>
    <tableColumn id="31" xr3:uid="{9E43CD35-69A7-482E-8262-E0F09DCE464B}" name="Latte Macchiato vorige maand" dataDxfId="720">
      <calculatedColumnFormula>Tabel242[[#This Row],[Stand Latte Macchiato einde maand]]</calculatedColumnFormula>
    </tableColumn>
    <tableColumn id="30" xr3:uid="{E359B139-1B36-40F3-8EEB-3B00897E313E}" name="Verbruik Latte Macchiato deze maand" dataDxfId="719">
      <calculatedColumnFormula>Tabel2425678910[[#This Row],[Stand Latte Macchiato einde maand]]-Tabel2425678910[[#This Row],[Latte Macchiato vorige maand]]</calculatedColumnFormula>
    </tableColumn>
    <tableColumn id="8" xr3:uid="{39D6A066-B2D0-45CE-80CE-E2B2D94D06B9}" name="Stand Coffee Latte einde maand" dataDxfId="718"/>
    <tableColumn id="33" xr3:uid="{AA96737F-78B5-4F8D-B46D-BFF79AF44E9F}" name="Coffee Latte vorige maand" dataDxfId="717">
      <calculatedColumnFormula>Tabel242[[#This Row],[Stand Coffee Latte einde maand]]</calculatedColumnFormula>
    </tableColumn>
    <tableColumn id="32" xr3:uid="{FAB3D949-C94A-4852-9E13-508AE2C598ED}" name="Verbruik Coffee Latte deze maand" dataDxfId="716">
      <calculatedColumnFormula>Tabel2425678910[[#This Row],[Stand Coffee Latte einde maand]]-Tabel2425678910[[#This Row],[Coffee Latte vorige maand]]</calculatedColumnFormula>
    </tableColumn>
    <tableColumn id="9" xr3:uid="{890014B8-633F-44D3-B381-6C726422A2DA}" name="Stand Hot Water einde maand" dataDxfId="715"/>
    <tableColumn id="35" xr3:uid="{6A1C5866-2824-4AFD-9E0C-052B31AECA1E}" name="Hot Water vorige maand" dataDxfId="714">
      <calculatedColumnFormula>Tabel242[[#This Row],[Stand Hot Water einde maand]]</calculatedColumnFormula>
    </tableColumn>
    <tableColumn id="34" xr3:uid="{3AD48F64-45D6-405B-8C3E-1D10EF6CF437}" name="Verbruik Hot Water deze maand" dataDxfId="713">
      <calculatedColumnFormula>Tabel2425678910[[#This Row],[Stand Hot Water einde maand]]-Tabel2425678910[[#This Row],[Hot Water vorige maand]]</calculatedColumnFormula>
    </tableColumn>
    <tableColumn id="10" xr3:uid="{A2DA0E31-8DA5-43CB-9782-959D6398658F}" name="Stand Cappucino einde maand" dataDxfId="712"/>
    <tableColumn id="36" xr3:uid="{06EAC02A-4349-418B-A55B-6F715CC7C819}" name="Stand Cappucino vorige maand" dataDxfId="711">
      <calculatedColumnFormula>Tabel242[[#This Row],[Stand Cappucino einde maand]]</calculatedColumnFormula>
    </tableColumn>
    <tableColumn id="37" xr3:uid="{B1451C56-94D9-47F6-9FB7-5B59EC96DC64}" name="Verbruik Cappucino deze maand" dataDxfId="710">
      <calculatedColumnFormula>Tabel2425678910[[#This Row],[Stand Cappucino einde maand]]-Tabel2425678910[[#This Row],[Stand Cappucino vorige maand]]</calculatedColumnFormula>
    </tableColumn>
    <tableColumn id="11" xr3:uid="{AAEF0A7A-0283-4E1C-9A41-C4F56C0EA23D}" name="Stand Cappucino Plantaardig einde maand" dataDxfId="709"/>
    <tableColumn id="39" xr3:uid="{E7477FDC-C05C-454F-BB98-9AACC30DDF6C}" name="Stand Cappucino Plantaardig vorige maand" dataDxfId="708">
      <calculatedColumnFormula>Tabel242[[#This Row],[Stand Cappucino Plantaardig einde maand]]</calculatedColumnFormula>
    </tableColumn>
    <tableColumn id="38" xr3:uid="{92A5AFD5-9633-4823-BAD0-A6E821F34DAC}" name="Verbruik  Cappucino Plantaardig deze maand" dataDxfId="707">
      <calculatedColumnFormula>Tabel2425678910[[#This Row],[Stand Cappucino Plantaardig einde maand]]-Tabel2425678910[[#This Row],[Stand Cappucino Plantaardig vorige maand]]</calculatedColumnFormula>
    </tableColumn>
    <tableColumn id="12" xr3:uid="{C8C7FAE1-6C76-4744-ABB8-8C256F5B1D84}" name="Stand Latte Macchiato Plantaardig einde maand" dataDxfId="706"/>
    <tableColumn id="41" xr3:uid="{05305353-90AC-462A-BDFD-A4CFE7DDB733}" name="Stand Latte Macchiato Plantaardig vorige maand" dataDxfId="705">
      <calculatedColumnFormula>Tabel242[[#This Row],[Stand Latte Macchiato Plantaardig einde maand]]</calculatedColumnFormula>
    </tableColumn>
    <tableColumn id="40" xr3:uid="{DECBDC88-8FC7-43FD-BD18-ED19F9AD9D74}" name="Verbruik Stand Latte Macchiato Plantaardig deze maand" dataDxfId="704">
      <calculatedColumnFormula>Tabel2425678910[[#This Row],[Stand Latte Macchiato Plantaardig einde maand]]-Tabel2425678910[[#This Row],[Stand Latte Macchiato Plantaardig vorige maand]]</calculatedColumnFormula>
    </tableColumn>
    <tableColumn id="13" xr3:uid="{68CA7973-0BC3-46C0-BA4D-85A73E997C22}" name="Subtotaal koffieautomaten"/>
    <tableColumn id="14" xr3:uid="{8865C665-2281-473E-8973-1627F4EA4251}" name="Stand Kamertemp liter einde maand" dataDxfId="703"/>
    <tableColumn id="42" xr3:uid="{B9C8D31A-59C7-43F5-B3B2-75811D17D5CE}" name="Stand Kamertemp liter vorige maand" dataDxfId="702">
      <calculatedColumnFormula>Tabel242[[#This Row],[Stand Kamertemp liter einde maand]]</calculatedColumnFormula>
    </tableColumn>
    <tableColumn id="43" xr3:uid="{8EB764B2-43A1-4093-8099-9AC0A4FD337E}" name="Verbruik Kamertemp liter deze maand" dataDxfId="701">
      <calculatedColumnFormula>Tabel2425678910[[#This Row],[Stand Kamertemp liter einde maand]]-Tabel2425678910[[#This Row],[Stand Kamertemp liter vorige maand]]</calculatedColumnFormula>
    </tableColumn>
    <tableColumn id="15" xr3:uid="{E95C56EF-542C-4119-B130-D3CBCECA046A}" name="Aantal consumpties Kamertemp deze maand" dataDxfId="700"/>
    <tableColumn id="16" xr3:uid="{C64FD0E9-94F1-4984-946F-8502B7BCE5E1}" name="Stand Gekoeld liter einde maand" dataDxfId="699"/>
    <tableColumn id="45" xr3:uid="{643AA9ED-3998-49E1-AB57-DCDC22E368BC}" name="Stand Gekoeld liter vorige maand" dataDxfId="698">
      <calculatedColumnFormula>Tabel242[[#This Row],[Stand Gekoeld liter einde maand]]</calculatedColumnFormula>
    </tableColumn>
    <tableColumn id="44" xr3:uid="{AF2B8433-0425-43D1-B0B4-457511A26685}" name="Verbruik Gekoeld liter deze maand" dataDxfId="697">
      <calculatedColumnFormula>Tabel2425678910[[#This Row],[Stand Gekoeld liter einde maand]]-Tabel2425678910[[#This Row],[Stand Gekoeld liter vorige maand]]</calculatedColumnFormula>
    </tableColumn>
    <tableColumn id="17" xr3:uid="{DF20BD6D-A63F-428A-8E33-C5AFE2E10001}" name="Aantal consumpties gekoeld water deze maand" dataDxfId="696"/>
    <tableColumn id="18" xr3:uid="{89D41E1E-207D-4C0B-BC1E-C013D432E61F}" name="Stand Bruisend liter einde maand" dataDxfId="695"/>
    <tableColumn id="46" xr3:uid="{BA6BDE37-E83A-4E02-8B59-19842C472E3B}" name="Stand Bruisend liter vorige maand" dataDxfId="694">
      <calculatedColumnFormula>Tabel242[[#This Row],[Stand Bruisend liter einde maand]]</calculatedColumnFormula>
    </tableColumn>
    <tableColumn id="47" xr3:uid="{779B238D-43C7-449E-825C-BEE4DBF36D8D}" name="Verbruik Bruisend liter deze maand" dataDxfId="693">
      <calculatedColumnFormula>Tabel2425678910[[#This Row],[Stand Bruisend liter einde maand]]-Tabel2425678910[[#This Row],[Stand Bruisend liter vorige maand]]</calculatedColumnFormula>
    </tableColumn>
    <tableColumn id="19" xr3:uid="{6F93CFEB-79F4-4699-BCF3-82AF4DE1ED7F}" name="aantal consumpties Bruisend water deze maand" dataDxfId="692"/>
    <tableColumn id="20" xr3:uid="{24E763A3-C039-4D16-B96A-2B4B868656F6}" name="Stand licht bruisend liter einde maand" dataDxfId="691"/>
    <tableColumn id="49" xr3:uid="{A08574AA-C12E-4396-B119-989CB19D2040}" name="Stand licht bruisend liter vorige maand" dataDxfId="690">
      <calculatedColumnFormula>Tabel242[[#This Row],[Stand licht bruisend liter einde maand]]</calculatedColumnFormula>
    </tableColumn>
    <tableColumn id="48" xr3:uid="{E814A84F-6CB1-4B38-9470-CA0F271CA4A3}" name="Verbruik licht bruisend liter deze maand" dataDxfId="689">
      <calculatedColumnFormula>Tabel2425678910[[#This Row],[Stand licht bruisend liter einde maand]]-Tabel2425678910[[#This Row],[Stand licht bruisend liter vorige maand]]</calculatedColumnFormula>
    </tableColumn>
    <tableColumn id="21" xr3:uid="{BC97F424-5F26-42F6-AA2F-EAD0067ED166}" name="Aantal consumpties licht bruisend water deze maand" dataDxfId="688"/>
    <tableColumn id="22" xr3:uid="{293327E9-A5E6-44F5-BF64-5ACD86518238}" name="Stand heet water liter einde maand" dataDxfId="687"/>
    <tableColumn id="51" xr3:uid="{7E83AF73-9824-4C87-B25E-CBDBF87F73D7}" name="Stand heet water liter vorige maand" dataDxfId="686">
      <calculatedColumnFormula>Tabel242[[#This Row],[Stand heet water liter einde maand]]</calculatedColumnFormula>
    </tableColumn>
    <tableColumn id="50" xr3:uid="{D7932B04-020C-4A31-B1A3-A05AADD1B48A}" name="Verbruik heet Water liter deze maand " dataDxfId="685">
      <calculatedColumnFormula>Tabel2425678910[[#This Row],[Stand heet water liter einde maand]]-Tabel2425678910[[#This Row],[Stand heet water liter vorige maand]]</calculatedColumnFormula>
    </tableColumn>
    <tableColumn id="23" xr3:uid="{D200537C-77F1-4A3B-A64D-0DB68AECA55C}" name="Aantal consumpties heet water deze maand" dataDxfId="684"/>
    <tableColumn id="24" xr3:uid="{3AE3E46D-BBD2-451C-8CD5-1D9A3E1787B6}" name="Subtotaal waterbar in consumpties" dataDxfId="683"/>
    <tableColumn id="25" xr3:uid="{C31771D8-1DAC-433B-AE57-6A22194579BC}" name="Grand totaal" dataDxfId="68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T19" dT="2023-03-06T10:49:39.71" personId="{DFBC0FF1-CC09-47A1-8B00-6B83305FD1CC}" id="{4CE420A3-A8D4-41C6-BC7E-9A4CB5B6E241}">
    <text>Staat waterkoker</text>
  </threadedComment>
  <threadedComment ref="AT24" dT="2023-03-06T10:51:20.34" personId="{DFBC0FF1-CC09-47A1-8B00-6B83305FD1CC}" id="{FB64CDE5-9165-46E4-BEC3-178199584849}">
    <text>Geen koelkast dus geen gember/munt</text>
  </threadedComment>
  <threadedComment ref="AV26" dT="2023-03-06T10:33:36.16" personId="{DFBC0FF1-CC09-47A1-8B00-6B83305FD1CC}" id="{7BA165D9-9316-433A-9552-C37D3BE91F85}">
    <text xml:space="preserve">Waarschijnlijk afgelopen maand totaalstand ingevoerd ipv stand heet water. Correctie gaat nu 
vanzelf
</text>
  </threadedComment>
  <threadedComment ref="AV29" dT="2023-03-06T10:25:34.61" personId="{DFBC0FF1-CC09-47A1-8B00-6B83305FD1CC}" id="{4F72C901-5E1B-43D1-9F99-C57AC1512FC7}">
    <text xml:space="preserve">Waarschijnlijk afgelopen maand totaalstand ingevoerd ipv stand heet water. Correctie gaat nu 
vanzelf
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T19" dT="2023-03-06T10:49:39.71" personId="{DFBC0FF1-CC09-47A1-8B00-6B83305FD1CC}" id="{C973667B-1FB8-4372-961E-80704A55FAC1}">
    <text>Staat waterkoker</text>
  </threadedComment>
  <threadedComment ref="AT24" dT="2023-03-06T10:51:20.34" personId="{DFBC0FF1-CC09-47A1-8B00-6B83305FD1CC}" id="{054E6167-47B1-47C5-B2AE-C8CE7223017B}">
    <text>Geen koelkast dus geen gember/munt</text>
  </threadedComment>
  <threadedComment ref="AV26" dT="2023-03-06T10:33:36.16" personId="{DFBC0FF1-CC09-47A1-8B00-6B83305FD1CC}" id="{542A0476-F407-4D35-B7BC-BC0B17C6B201}">
    <text xml:space="preserve">Waarschijnlijk afgelopen maand totaalstand ingevoerd ipv stand heet water. Correctie gaat nu 
vanzelf
</text>
  </threadedComment>
  <threadedComment ref="AV29" dT="2023-03-06T10:25:34.61" personId="{DFBC0FF1-CC09-47A1-8B00-6B83305FD1CC}" id="{8C936228-C2A5-45A1-B5AE-714FA325D62F}">
    <text xml:space="preserve">Waarschijnlijk afgelopen maand totaalstand ingevoerd ipv stand heet water. Correctie gaat nu 
vanzelf
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AT19" dT="2023-03-06T10:49:39.71" personId="{DFBC0FF1-CC09-47A1-8B00-6B83305FD1CC}" id="{92A8111A-DC43-43E5-97F0-CFE9FE7D9976}">
    <text>Staat waterkoker</text>
  </threadedComment>
  <threadedComment ref="AX19" dT="2023-05-11T11:15:46.34" personId="{DFBC0FF1-CC09-47A1-8B00-6B83305FD1CC}" id="{133AA56F-B145-4D6B-AA11-0F31BE1D5B25}">
    <text>Dubbel gecheckt waarschijnlijk afgelopen maand een typfout gemaakt</text>
  </threadedComment>
  <threadedComment ref="AX28" dT="2023-05-11T11:15:51.42" personId="{DFBC0FF1-CC09-47A1-8B00-6B83305FD1CC}" id="{E28CCEBA-480F-4498-AE4F-7B1380C45831}">
    <text>Dubbel gecheckt waarschijnlijk afgelopen maand een typfout gemaakt</text>
  </threadedComment>
  <threadedComment ref="AV29" dT="2023-03-06T10:25:34.61" personId="{DFBC0FF1-CC09-47A1-8B00-6B83305FD1CC}" id="{E0C1E706-9F95-4839-B536-7D8D5DE73341}">
    <text xml:space="preserve">Waarschijnlijk afgelopen maand verkeerd ingevoerd Correctie gaat nu vanzelf
</text>
  </threadedComment>
  <threadedComment ref="E41" dT="2023-05-08T19:30:18.65" personId="{DFBC0FF1-CC09-47A1-8B00-6B83305FD1CC}" id="{980599A9-EC06-4A1B-86B7-C0FFF708FD37}">
    <text xml:space="preserve">In mrt geen data ingevuld daarom staan de standen op 0 en is er in april een flink verbruik geregistreerd 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AT19" dT="2023-03-06T10:49:39.71" personId="{DFBC0FF1-CC09-47A1-8B00-6B83305FD1CC}" id="{7FCDBCEB-ABCD-4A14-A8FD-19764CC4A31A}">
    <text>Staat waterkoker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table" Target="../tables/table13.xml"/><Relationship Id="rId1" Type="http://schemas.openxmlformats.org/officeDocument/2006/relationships/vmlDrawing" Target="../drawings/vmlDrawing5.v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table" Target="../tables/table14.xml"/><Relationship Id="rId1" Type="http://schemas.openxmlformats.org/officeDocument/2006/relationships/vmlDrawing" Target="../drawings/vmlDrawing6.v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table" Target="../tables/table15.xml"/><Relationship Id="rId1" Type="http://schemas.openxmlformats.org/officeDocument/2006/relationships/vmlDrawing" Target="../drawings/vmlDrawing7.v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table" Target="../tables/table16.xml"/><Relationship Id="rId1" Type="http://schemas.openxmlformats.org/officeDocument/2006/relationships/vmlDrawing" Target="../drawings/vmlDrawing8.v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table" Target="../tables/table17.xml"/><Relationship Id="rId1" Type="http://schemas.openxmlformats.org/officeDocument/2006/relationships/vmlDrawing" Target="../drawings/vmlDrawing9.v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table" Target="../tables/table18.xml"/><Relationship Id="rId1" Type="http://schemas.openxmlformats.org/officeDocument/2006/relationships/vmlDrawing" Target="../drawings/vmlDrawing10.v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table" Target="../tables/table19.xml"/><Relationship Id="rId1" Type="http://schemas.openxmlformats.org/officeDocument/2006/relationships/vmlDrawing" Target="../drawings/vmlDrawing1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table" Target="../tables/table20.xml"/><Relationship Id="rId1" Type="http://schemas.openxmlformats.org/officeDocument/2006/relationships/vmlDrawing" Target="../drawings/vmlDrawing12.v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table" Target="../tables/table21.xml"/><Relationship Id="rId1" Type="http://schemas.openxmlformats.org/officeDocument/2006/relationships/vmlDrawing" Target="../drawings/vmlDrawing13.v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table" Target="../tables/table22.xml"/><Relationship Id="rId1" Type="http://schemas.openxmlformats.org/officeDocument/2006/relationships/vmlDrawing" Target="../drawings/vmlDrawing14.v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table" Target="../tables/table23.xml"/><Relationship Id="rId1" Type="http://schemas.openxmlformats.org/officeDocument/2006/relationships/vmlDrawing" Target="../drawings/vmlDrawing15.v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4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table" Target="../tables/table3.xml"/><Relationship Id="rId1" Type="http://schemas.openxmlformats.org/officeDocument/2006/relationships/vmlDrawing" Target="../drawings/vmlDrawing2.vml"/><Relationship Id="rId4" Type="http://schemas.microsoft.com/office/2017/10/relationships/threadedComment" Target="../threadedComments/threadedComment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table" Target="../tables/table4.xml"/><Relationship Id="rId1" Type="http://schemas.openxmlformats.org/officeDocument/2006/relationships/vmlDrawing" Target="../drawings/vmlDrawing3.vml"/><Relationship Id="rId4" Type="http://schemas.microsoft.com/office/2017/10/relationships/threadedComment" Target="../threadedComments/threadedComment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table" Target="../tables/table5.xml"/><Relationship Id="rId1" Type="http://schemas.openxmlformats.org/officeDocument/2006/relationships/vmlDrawing" Target="../drawings/vmlDrawing4.vml"/><Relationship Id="rId4" Type="http://schemas.microsoft.com/office/2017/10/relationships/threadedComment" Target="../threadedComments/threadedComment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8D140-3926-4303-8E63-B68C47D37871}">
  <dimension ref="A1:AA66"/>
  <sheetViews>
    <sheetView zoomScale="70" zoomScaleNormal="70" workbookViewId="0">
      <pane xSplit="1" topLeftCell="Q1" activePane="topRight" state="frozen"/>
      <selection activeCell="G19" sqref="G19"/>
      <selection pane="topRight" activeCell="G19" sqref="G19"/>
    </sheetView>
  </sheetViews>
  <sheetFormatPr defaultRowHeight="15" x14ac:dyDescent="0.25"/>
  <cols>
    <col min="1" max="1" width="32.140625" bestFit="1" customWidth="1"/>
    <col min="2" max="2" width="21.42578125" bestFit="1" customWidth="1"/>
    <col min="3" max="3" width="25.42578125" bestFit="1" customWidth="1"/>
    <col min="4" max="4" width="18.5703125" customWidth="1"/>
    <col min="6" max="6" width="10.85546875" customWidth="1"/>
    <col min="7" max="7" width="17.140625" customWidth="1"/>
    <col min="8" max="8" width="14" customWidth="1"/>
    <col min="9" max="9" width="12.28515625" customWidth="1"/>
    <col min="10" max="10" width="12.42578125" customWidth="1"/>
    <col min="11" max="11" width="17" customWidth="1"/>
    <col min="12" max="12" width="20.7109375" customWidth="1"/>
    <col min="13" max="13" width="13.85546875" customWidth="1"/>
    <col min="14" max="14" width="17.5703125" customWidth="1"/>
    <col min="15" max="15" width="20.28515625" customWidth="1"/>
    <col min="16" max="16" width="14.42578125" customWidth="1"/>
    <col min="17" max="17" width="21.28515625" customWidth="1"/>
    <col min="18" max="18" width="15.140625" customWidth="1"/>
    <col min="19" max="19" width="21.28515625" customWidth="1"/>
    <col min="20" max="20" width="19.42578125" customWidth="1"/>
    <col min="21" max="21" width="21.28515625" customWidth="1"/>
    <col min="22" max="22" width="17" customWidth="1"/>
    <col min="23" max="23" width="21.28515625" customWidth="1"/>
    <col min="24" max="24" width="20" customWidth="1"/>
    <col min="25" max="25" width="14.140625" customWidth="1"/>
  </cols>
  <sheetData>
    <row r="1" spans="1:25" x14ac:dyDescent="0.25">
      <c r="A1" s="172" t="s">
        <v>0</v>
      </c>
      <c r="B1" s="172"/>
      <c r="C1" s="172"/>
      <c r="D1" s="172"/>
      <c r="E1" s="172" t="s">
        <v>1</v>
      </c>
      <c r="F1" s="172"/>
      <c r="G1" s="172"/>
      <c r="H1" s="172"/>
      <c r="I1" s="172"/>
      <c r="J1" s="172"/>
      <c r="K1" s="172"/>
      <c r="L1" s="172"/>
      <c r="M1" s="172"/>
      <c r="N1" s="172" t="s">
        <v>2</v>
      </c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</row>
    <row r="2" spans="1:25" ht="45" x14ac:dyDescent="0.25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s="1" t="s">
        <v>13</v>
      </c>
      <c r="L2" s="1" t="s">
        <v>14</v>
      </c>
      <c r="M2" s="1" t="s">
        <v>15</v>
      </c>
      <c r="N2" s="1" t="s">
        <v>16</v>
      </c>
      <c r="O2" s="1" t="s">
        <v>17</v>
      </c>
      <c r="P2" s="1" t="s">
        <v>18</v>
      </c>
      <c r="Q2" s="1" t="s">
        <v>19</v>
      </c>
      <c r="R2" s="1" t="s">
        <v>20</v>
      </c>
      <c r="S2" s="1" t="s">
        <v>21</v>
      </c>
      <c r="T2" s="1" t="s">
        <v>22</v>
      </c>
      <c r="U2" s="1" t="s">
        <v>23</v>
      </c>
      <c r="V2" s="1" t="s">
        <v>24</v>
      </c>
      <c r="W2" s="1" t="s">
        <v>25</v>
      </c>
      <c r="X2" s="1" t="s">
        <v>26</v>
      </c>
      <c r="Y2" t="s">
        <v>27</v>
      </c>
    </row>
    <row r="3" spans="1:25" x14ac:dyDescent="0.25">
      <c r="A3" s="3" t="s">
        <v>28</v>
      </c>
      <c r="M3" s="3"/>
      <c r="O3" s="2"/>
      <c r="Q3" s="2"/>
      <c r="S3" s="2"/>
      <c r="U3" s="2"/>
      <c r="W3" s="2"/>
      <c r="X3" s="4"/>
      <c r="Y3" s="4">
        <f>Tabel2[[#This Row],[Subtotaal waterbar]]+Tabel2[[#This Row],[Subtotaal koffieautomaten]]</f>
        <v>0</v>
      </c>
    </row>
    <row r="4" spans="1:25" x14ac:dyDescent="0.25">
      <c r="A4" t="s">
        <v>29</v>
      </c>
      <c r="B4" t="s">
        <v>30</v>
      </c>
      <c r="C4" t="s">
        <v>31</v>
      </c>
      <c r="E4">
        <v>108</v>
      </c>
      <c r="F4">
        <v>32</v>
      </c>
      <c r="G4">
        <v>54</v>
      </c>
      <c r="H4">
        <v>29</v>
      </c>
      <c r="I4">
        <v>180</v>
      </c>
      <c r="J4">
        <v>168</v>
      </c>
      <c r="K4">
        <v>14</v>
      </c>
      <c r="L4">
        <v>6</v>
      </c>
      <c r="M4" s="3">
        <f>SUM(Tabel2[[#This Row],[Coffee]:[Latte Macchiato Plantaardig]])</f>
        <v>591</v>
      </c>
      <c r="N4" s="5"/>
      <c r="O4" s="5"/>
      <c r="P4" s="5"/>
      <c r="Q4" s="5"/>
      <c r="R4" s="5"/>
      <c r="S4" s="5"/>
      <c r="T4" s="5"/>
      <c r="U4" s="5"/>
      <c r="V4" s="5"/>
      <c r="W4" s="7"/>
      <c r="X4" s="8"/>
      <c r="Y4" s="4">
        <f>Tabel2[[#This Row],[Subtotaal waterbar]]+Tabel2[[#This Row],[Subtotaal koffieautomaten]]</f>
        <v>591</v>
      </c>
    </row>
    <row r="5" spans="1:25" x14ac:dyDescent="0.25">
      <c r="A5" s="28" t="s">
        <v>32</v>
      </c>
      <c r="B5" t="s">
        <v>33</v>
      </c>
      <c r="C5" t="s">
        <v>31</v>
      </c>
      <c r="E5">
        <v>587</v>
      </c>
      <c r="F5">
        <v>136</v>
      </c>
      <c r="G5">
        <v>205</v>
      </c>
      <c r="H5">
        <v>175</v>
      </c>
      <c r="I5">
        <v>1496</v>
      </c>
      <c r="J5">
        <v>784</v>
      </c>
      <c r="K5">
        <v>140</v>
      </c>
      <c r="M5" s="3">
        <f>SUM(Tabel2[[#This Row],[Coffee]:[Latte Macchiato Plantaardig]])</f>
        <v>3523</v>
      </c>
      <c r="N5" s="5"/>
      <c r="O5" s="5"/>
      <c r="P5" s="5"/>
      <c r="Q5" s="5"/>
      <c r="R5" s="5"/>
      <c r="S5" s="5"/>
      <c r="T5" s="5"/>
      <c r="U5" s="5"/>
      <c r="V5" s="5"/>
      <c r="W5" s="7"/>
      <c r="X5" s="8"/>
      <c r="Y5" s="4">
        <f>Tabel2[[#This Row],[Subtotaal waterbar]]+Tabel2[[#This Row],[Subtotaal koffieautomaten]]</f>
        <v>3523</v>
      </c>
    </row>
    <row r="6" spans="1:25" x14ac:dyDescent="0.25">
      <c r="A6" s="28" t="s">
        <v>34</v>
      </c>
      <c r="B6" t="s">
        <v>35</v>
      </c>
      <c r="C6" t="s">
        <v>36</v>
      </c>
      <c r="E6" s="5"/>
      <c r="F6" s="5"/>
      <c r="G6" s="5"/>
      <c r="H6" s="5"/>
      <c r="I6" s="5"/>
      <c r="J6" s="5"/>
      <c r="K6" s="5"/>
      <c r="L6" s="5"/>
      <c r="M6" s="6">
        <f>SUM(Tabel2[[#This Row],[Coffee]:[Latte Macchiato Plantaardig]])</f>
        <v>0</v>
      </c>
      <c r="O6">
        <f>Tabel2[[#This Row],[kamertemp liter]]/0.15</f>
        <v>0</v>
      </c>
      <c r="Q6">
        <f>Tabel2[[#This Row],[gekoeld liter]]/0.15</f>
        <v>0</v>
      </c>
      <c r="S6">
        <f>Tabel2[[#This Row],[bruisend liter]]/0.15</f>
        <v>0</v>
      </c>
      <c r="U6">
        <f>Tabel2[[#This Row],[licht bruisend liter]]/0.15</f>
        <v>0</v>
      </c>
      <c r="W6" s="2">
        <f>Tabel2[[#This Row],[heet water liter]]/0.15</f>
        <v>0</v>
      </c>
      <c r="X6" s="4">
        <f>Tabel2[[#This Row],[aantal consumpties5]]+Tabel2[[#This Row],[aantal consumpties4]]+Tabel2[[#This Row],[aantal consumpties3]]+Tabel2[[#This Row],[aantal consumpties2]]+Tabel2[[#This Row],[aantal consumpties]]</f>
        <v>0</v>
      </c>
      <c r="Y6" s="4">
        <f>Tabel2[[#This Row],[Subtotaal waterbar]]+Tabel2[[#This Row],[Subtotaal koffieautomaten]]</f>
        <v>0</v>
      </c>
    </row>
    <row r="7" spans="1:25" x14ac:dyDescent="0.25">
      <c r="A7" s="28" t="s">
        <v>37</v>
      </c>
      <c r="B7" t="s">
        <v>38</v>
      </c>
      <c r="C7" t="s">
        <v>31</v>
      </c>
      <c r="E7">
        <v>890</v>
      </c>
      <c r="F7">
        <v>385</v>
      </c>
      <c r="G7">
        <v>164</v>
      </c>
      <c r="H7">
        <v>154</v>
      </c>
      <c r="I7">
        <v>1667</v>
      </c>
      <c r="J7">
        <v>753</v>
      </c>
      <c r="K7">
        <v>103</v>
      </c>
      <c r="L7">
        <v>44</v>
      </c>
      <c r="M7" s="3">
        <f>SUM(Tabel2[[#This Row],[Coffee]:[Latte Macchiato Plantaardig]])</f>
        <v>4160</v>
      </c>
      <c r="N7" s="5"/>
      <c r="O7" s="5"/>
      <c r="P7" s="5"/>
      <c r="Q7" s="5"/>
      <c r="R7" s="5"/>
      <c r="S7" s="5"/>
      <c r="T7" s="5"/>
      <c r="U7" s="5"/>
      <c r="V7" s="5"/>
      <c r="W7" s="7"/>
      <c r="X7" s="8"/>
      <c r="Y7" s="4">
        <f>Tabel2[[#This Row],[Subtotaal waterbar]]+Tabel2[[#This Row],[Subtotaal koffieautomaten]]</f>
        <v>4160</v>
      </c>
    </row>
    <row r="8" spans="1:25" x14ac:dyDescent="0.25">
      <c r="A8" s="28" t="s">
        <v>39</v>
      </c>
      <c r="B8" t="s">
        <v>40</v>
      </c>
      <c r="C8" t="s">
        <v>31</v>
      </c>
      <c r="E8">
        <v>490</v>
      </c>
      <c r="F8">
        <v>194</v>
      </c>
      <c r="G8">
        <v>82</v>
      </c>
      <c r="H8">
        <v>34</v>
      </c>
      <c r="I8">
        <v>637</v>
      </c>
      <c r="J8">
        <v>318</v>
      </c>
      <c r="K8">
        <v>105</v>
      </c>
      <c r="L8">
        <v>6</v>
      </c>
      <c r="M8" s="3">
        <f>SUM(Tabel2[[#This Row],[Coffee]:[Latte Macchiato Plantaardig]])</f>
        <v>1866</v>
      </c>
      <c r="N8" s="5"/>
      <c r="O8" s="5"/>
      <c r="P8" s="5"/>
      <c r="Q8" s="5"/>
      <c r="R8" s="5"/>
      <c r="S8" s="5"/>
      <c r="T8" s="5"/>
      <c r="U8" s="5"/>
      <c r="V8" s="5"/>
      <c r="W8" s="7"/>
      <c r="X8" s="8"/>
      <c r="Y8" s="4">
        <f>Tabel2[[#This Row],[Subtotaal waterbar]]+Tabel2[[#This Row],[Subtotaal koffieautomaten]]</f>
        <v>1866</v>
      </c>
    </row>
    <row r="9" spans="1:25" x14ac:dyDescent="0.25">
      <c r="A9" s="28" t="s">
        <v>41</v>
      </c>
      <c r="B9" t="s">
        <v>42</v>
      </c>
      <c r="C9" t="s">
        <v>31</v>
      </c>
      <c r="E9">
        <v>349</v>
      </c>
      <c r="F9">
        <v>101</v>
      </c>
      <c r="G9">
        <v>130</v>
      </c>
      <c r="H9">
        <v>76</v>
      </c>
      <c r="I9">
        <v>1647</v>
      </c>
      <c r="J9">
        <v>359</v>
      </c>
      <c r="K9">
        <v>108</v>
      </c>
      <c r="L9">
        <v>35</v>
      </c>
      <c r="M9" s="3">
        <f>SUM(Tabel2[[#This Row],[Coffee]:[Latte Macchiato Plantaardig]])</f>
        <v>2805</v>
      </c>
      <c r="N9" s="5"/>
      <c r="O9" s="5"/>
      <c r="P9" s="5"/>
      <c r="Q9" s="5"/>
      <c r="R9" s="5"/>
      <c r="S9" s="5"/>
      <c r="T9" s="5"/>
      <c r="U9" s="5"/>
      <c r="V9" s="5"/>
      <c r="W9" s="7"/>
      <c r="X9" s="8"/>
      <c r="Y9" s="4">
        <f>Tabel2[[#This Row],[Subtotaal waterbar]]+Tabel2[[#This Row],[Subtotaal koffieautomaten]]</f>
        <v>2805</v>
      </c>
    </row>
    <row r="10" spans="1:25" x14ac:dyDescent="0.25">
      <c r="A10" s="28" t="s">
        <v>43</v>
      </c>
      <c r="B10" t="s">
        <v>44</v>
      </c>
      <c r="C10" t="s">
        <v>31</v>
      </c>
      <c r="E10">
        <v>644</v>
      </c>
      <c r="F10">
        <v>150</v>
      </c>
      <c r="G10">
        <v>100</v>
      </c>
      <c r="H10">
        <v>14</v>
      </c>
      <c r="I10">
        <v>812</v>
      </c>
      <c r="J10">
        <v>314</v>
      </c>
      <c r="K10">
        <v>72</v>
      </c>
      <c r="L10">
        <v>53</v>
      </c>
      <c r="M10" s="3">
        <f>SUM(Tabel2[[#This Row],[Coffee]:[Latte Macchiato Plantaardig]])</f>
        <v>2159</v>
      </c>
      <c r="N10" s="5"/>
      <c r="O10" s="7"/>
      <c r="P10" s="5"/>
      <c r="Q10" s="5"/>
      <c r="R10" s="5"/>
      <c r="S10" s="5"/>
      <c r="T10" s="5"/>
      <c r="U10" s="5"/>
      <c r="V10" s="5"/>
      <c r="W10" s="7"/>
      <c r="X10" s="8"/>
      <c r="Y10" s="4">
        <f>Tabel2[[#This Row],[Subtotaal waterbar]]+Tabel2[[#This Row],[Subtotaal koffieautomaten]]</f>
        <v>2159</v>
      </c>
    </row>
    <row r="11" spans="1:25" x14ac:dyDescent="0.25">
      <c r="A11" s="28" t="s">
        <v>45</v>
      </c>
      <c r="B11" t="s">
        <v>46</v>
      </c>
      <c r="C11" t="s">
        <v>47</v>
      </c>
      <c r="E11">
        <v>989</v>
      </c>
      <c r="F11">
        <v>123</v>
      </c>
      <c r="G11">
        <v>112</v>
      </c>
      <c r="H11">
        <v>27</v>
      </c>
      <c r="J11">
        <v>293</v>
      </c>
      <c r="K11">
        <v>141</v>
      </c>
      <c r="L11">
        <v>76</v>
      </c>
      <c r="M11" s="3">
        <f>SUM(Tabel2[[#This Row],[Coffee]:[Latte Macchiato Plantaardig]])</f>
        <v>1761</v>
      </c>
      <c r="N11">
        <v>39.4</v>
      </c>
      <c r="O11" s="2">
        <f>Tabel2[[#This Row],[kamertemp liter]]/0.15</f>
        <v>262.66666666666669</v>
      </c>
      <c r="P11">
        <v>153.80000000000001</v>
      </c>
      <c r="Q11" s="2">
        <f>Tabel2[[#This Row],[gekoeld liter]]/0.15</f>
        <v>1025.3333333333335</v>
      </c>
      <c r="R11">
        <v>246</v>
      </c>
      <c r="S11">
        <f>Tabel2[[#This Row],[bruisend liter]]/0.15</f>
        <v>1640</v>
      </c>
      <c r="T11">
        <v>103.3</v>
      </c>
      <c r="U11" s="2">
        <f>Tabel2[[#This Row],[licht bruisend liter]]/0.15</f>
        <v>688.66666666666663</v>
      </c>
      <c r="V11">
        <v>600.79999999999995</v>
      </c>
      <c r="W11" s="2">
        <f>Tabel2[[#This Row],[heet water liter]]/0.15</f>
        <v>4005.333333333333</v>
      </c>
      <c r="X11" s="4">
        <f>Tabel2[[#This Row],[aantal consumpties5]]+Tabel2[[#This Row],[aantal consumpties4]]+Tabel2[[#This Row],[aantal consumpties3]]+Tabel2[[#This Row],[aantal consumpties2]]+Tabel2[[#This Row],[aantal consumpties]]</f>
        <v>7622.0000000000009</v>
      </c>
      <c r="Y11" s="4">
        <f>Tabel2[[#This Row],[Subtotaal waterbar]]+Tabel2[[#This Row],[Subtotaal koffieautomaten]]</f>
        <v>9383</v>
      </c>
    </row>
    <row r="12" spans="1:25" x14ac:dyDescent="0.25">
      <c r="A12" s="28" t="s">
        <v>48</v>
      </c>
      <c r="B12" t="s">
        <v>49</v>
      </c>
      <c r="C12" t="s">
        <v>31</v>
      </c>
      <c r="E12">
        <v>862</v>
      </c>
      <c r="F12">
        <v>324</v>
      </c>
      <c r="G12">
        <v>87</v>
      </c>
      <c r="H12">
        <v>16</v>
      </c>
      <c r="I12">
        <v>2037</v>
      </c>
      <c r="J12">
        <v>339</v>
      </c>
      <c r="K12">
        <v>136</v>
      </c>
      <c r="L12">
        <v>80</v>
      </c>
      <c r="M12" s="3">
        <f>SUM(Tabel2[[#This Row],[Coffee]:[Latte Macchiato Plantaardig]])</f>
        <v>3881</v>
      </c>
      <c r="N12" s="5"/>
      <c r="O12" s="7"/>
      <c r="P12" s="5"/>
      <c r="Q12" s="7"/>
      <c r="R12" s="5"/>
      <c r="S12" s="5"/>
      <c r="T12" s="5"/>
      <c r="U12" s="7"/>
      <c r="V12" s="5"/>
      <c r="W12" s="7"/>
      <c r="X12" s="8"/>
      <c r="Y12" s="4">
        <f>Tabel2[[#This Row],[Subtotaal waterbar]]+Tabel2[[#This Row],[Subtotaal koffieautomaten]]</f>
        <v>3881</v>
      </c>
    </row>
    <row r="13" spans="1:25" x14ac:dyDescent="0.25">
      <c r="A13" s="28" t="s">
        <v>50</v>
      </c>
      <c r="B13" t="s">
        <v>51</v>
      </c>
      <c r="C13" t="s">
        <v>47</v>
      </c>
      <c r="E13">
        <v>640</v>
      </c>
      <c r="F13">
        <v>223</v>
      </c>
      <c r="G13">
        <v>51</v>
      </c>
      <c r="H13">
        <v>47</v>
      </c>
      <c r="J13">
        <v>280</v>
      </c>
      <c r="K13">
        <v>154</v>
      </c>
      <c r="L13">
        <v>38</v>
      </c>
      <c r="M13" s="3">
        <f>SUM(Tabel2[[#This Row],[Coffee]:[Latte Macchiato Plantaardig]])</f>
        <v>1433</v>
      </c>
      <c r="N13">
        <v>30.8</v>
      </c>
      <c r="O13" s="2">
        <f>Tabel2[[#This Row],[kamertemp liter]]/0.15</f>
        <v>205.33333333333334</v>
      </c>
      <c r="P13">
        <v>142.1</v>
      </c>
      <c r="Q13" s="2">
        <f>Tabel2[[#This Row],[gekoeld liter]]/0.15</f>
        <v>947.33333333333337</v>
      </c>
      <c r="R13">
        <v>167.7</v>
      </c>
      <c r="S13" s="2">
        <f>Tabel2[[#This Row],[bruisend liter]]/0.15</f>
        <v>1118</v>
      </c>
      <c r="T13">
        <v>137</v>
      </c>
      <c r="U13" s="2">
        <f>Tabel2[[#This Row],[licht bruisend liter]]/0.15</f>
        <v>913.33333333333337</v>
      </c>
      <c r="V13">
        <v>666.4</v>
      </c>
      <c r="W13" s="2">
        <f>Tabel2[[#This Row],[heet water liter]]/0.15</f>
        <v>4442.666666666667</v>
      </c>
      <c r="X13" s="4">
        <f>Tabel2[[#This Row],[aantal consumpties5]]+Tabel2[[#This Row],[aantal consumpties4]]+Tabel2[[#This Row],[aantal consumpties3]]+Tabel2[[#This Row],[aantal consumpties2]]+Tabel2[[#This Row],[aantal consumpties]]</f>
        <v>7626.6666666666661</v>
      </c>
      <c r="Y13" s="4">
        <f>Tabel2[[#This Row],[Subtotaal waterbar]]+Tabel2[[#This Row],[Subtotaal koffieautomaten]]</f>
        <v>9059.6666666666661</v>
      </c>
    </row>
    <row r="14" spans="1:25" x14ac:dyDescent="0.25">
      <c r="A14" s="28" t="s">
        <v>52</v>
      </c>
      <c r="B14" t="s">
        <v>53</v>
      </c>
      <c r="C14" t="s">
        <v>31</v>
      </c>
      <c r="E14">
        <v>779</v>
      </c>
      <c r="F14">
        <v>207</v>
      </c>
      <c r="G14">
        <v>47</v>
      </c>
      <c r="H14">
        <v>32</v>
      </c>
      <c r="I14">
        <v>1162</v>
      </c>
      <c r="J14">
        <v>360</v>
      </c>
      <c r="K14">
        <v>162</v>
      </c>
      <c r="L14">
        <v>42</v>
      </c>
      <c r="M14" s="3">
        <f>SUM(Tabel2[[#This Row],[Coffee]:[Latte Macchiato Plantaardig]])</f>
        <v>2791</v>
      </c>
      <c r="N14" s="5"/>
      <c r="O14" s="7"/>
      <c r="P14" s="5"/>
      <c r="Q14" s="7"/>
      <c r="R14" s="5"/>
      <c r="S14" s="5"/>
      <c r="T14" s="5"/>
      <c r="U14" s="7"/>
      <c r="V14" s="5"/>
      <c r="W14" s="7"/>
      <c r="X14" s="8"/>
      <c r="Y14" s="4">
        <f>Tabel2[[#This Row],[Subtotaal waterbar]]+Tabel2[[#This Row],[Subtotaal koffieautomaten]]</f>
        <v>2791</v>
      </c>
    </row>
    <row r="15" spans="1:25" x14ac:dyDescent="0.25">
      <c r="A15" s="28" t="s">
        <v>54</v>
      </c>
      <c r="B15" t="s">
        <v>55</v>
      </c>
      <c r="C15" t="s">
        <v>36</v>
      </c>
      <c r="E15" s="5"/>
      <c r="F15" s="5"/>
      <c r="G15" s="5"/>
      <c r="H15" s="5"/>
      <c r="I15" s="5"/>
      <c r="J15" s="5"/>
      <c r="K15" s="5"/>
      <c r="L15" s="5"/>
      <c r="M15" s="6">
        <f>SUM(Tabel2[[#This Row],[Coffee]:[Latte Macchiato Plantaardig]])</f>
        <v>0</v>
      </c>
      <c r="N15">
        <v>17.8</v>
      </c>
      <c r="O15" s="2">
        <f>Tabel2[[#This Row],[kamertemp liter]]/0.15</f>
        <v>118.66666666666667</v>
      </c>
      <c r="P15">
        <v>84.1</v>
      </c>
      <c r="Q15" s="2">
        <f>Tabel2[[#This Row],[gekoeld liter]]/0.15</f>
        <v>560.66666666666663</v>
      </c>
      <c r="R15">
        <v>138.6</v>
      </c>
      <c r="S15" s="2">
        <f>Tabel2[[#This Row],[bruisend liter]]/0.15</f>
        <v>924</v>
      </c>
      <c r="T15">
        <v>47.1</v>
      </c>
      <c r="U15" s="2">
        <f>Tabel2[[#This Row],[licht bruisend liter]]/0.15</f>
        <v>314</v>
      </c>
      <c r="V15">
        <v>443.8</v>
      </c>
      <c r="W15" s="2">
        <f>Tabel2[[#This Row],[heet water liter]]/0.15</f>
        <v>2958.666666666667</v>
      </c>
      <c r="X15" s="4">
        <f>Tabel2[[#This Row],[aantal consumpties5]]+Tabel2[[#This Row],[aantal consumpties4]]+Tabel2[[#This Row],[aantal consumpties3]]+Tabel2[[#This Row],[aantal consumpties2]]+Tabel2[[#This Row],[aantal consumpties]]</f>
        <v>4876.0000000000009</v>
      </c>
      <c r="Y15" s="4">
        <f>Tabel2[[#This Row],[Subtotaal waterbar]]+Tabel2[[#This Row],[Subtotaal koffieautomaten]]</f>
        <v>4876.0000000000009</v>
      </c>
    </row>
    <row r="16" spans="1:25" x14ac:dyDescent="0.25">
      <c r="A16" s="28" t="s">
        <v>56</v>
      </c>
      <c r="B16" t="s">
        <v>57</v>
      </c>
      <c r="C16" t="s">
        <v>31</v>
      </c>
      <c r="E16">
        <v>1095</v>
      </c>
      <c r="F16">
        <v>302</v>
      </c>
      <c r="G16">
        <v>41</v>
      </c>
      <c r="H16">
        <v>44</v>
      </c>
      <c r="I16">
        <v>1607</v>
      </c>
      <c r="J16">
        <v>490</v>
      </c>
      <c r="K16">
        <v>215</v>
      </c>
      <c r="L16">
        <v>81</v>
      </c>
      <c r="M16" s="3">
        <f>SUM(Tabel2[[#This Row],[Coffee]:[Latte Macchiato Plantaardig]])</f>
        <v>3875</v>
      </c>
      <c r="N16" s="5"/>
      <c r="O16" s="7"/>
      <c r="P16" s="5"/>
      <c r="Q16" s="7"/>
      <c r="R16" s="5"/>
      <c r="S16" s="5"/>
      <c r="T16" s="5"/>
      <c r="U16" s="7"/>
      <c r="V16" s="5"/>
      <c r="W16" s="7"/>
      <c r="X16" s="8"/>
      <c r="Y16" s="4">
        <f>Tabel2[[#This Row],[Subtotaal waterbar]]+Tabel2[[#This Row],[Subtotaal koffieautomaten]]</f>
        <v>3875</v>
      </c>
    </row>
    <row r="17" spans="1:25" x14ac:dyDescent="0.25">
      <c r="A17" s="28" t="s">
        <v>58</v>
      </c>
      <c r="B17" t="s">
        <v>59</v>
      </c>
      <c r="C17" t="s">
        <v>47</v>
      </c>
      <c r="E17">
        <v>760</v>
      </c>
      <c r="F17">
        <v>164</v>
      </c>
      <c r="G17">
        <v>64</v>
      </c>
      <c r="H17">
        <v>17</v>
      </c>
      <c r="J17">
        <v>319</v>
      </c>
      <c r="K17">
        <v>235</v>
      </c>
      <c r="L17">
        <v>29</v>
      </c>
      <c r="M17" s="3">
        <f>SUM(Tabel2[[#This Row],[Coffee]:[Latte Macchiato Plantaardig]])</f>
        <v>1588</v>
      </c>
      <c r="N17">
        <v>47.9</v>
      </c>
      <c r="O17" s="2">
        <f>Tabel2[[#This Row],[kamertemp liter]]/0.15</f>
        <v>319.33333333333331</v>
      </c>
      <c r="P17">
        <v>138.69999999999999</v>
      </c>
      <c r="Q17" s="2">
        <f>Tabel2[[#This Row],[gekoeld liter]]/0.15</f>
        <v>924.66666666666663</v>
      </c>
      <c r="R17">
        <v>177.3</v>
      </c>
      <c r="S17" s="2">
        <f>Tabel2[[#This Row],[bruisend liter]]/0.15</f>
        <v>1182.0000000000002</v>
      </c>
      <c r="T17">
        <v>81.8</v>
      </c>
      <c r="U17" s="2">
        <f>Tabel2[[#This Row],[licht bruisend liter]]/0.15</f>
        <v>545.33333333333337</v>
      </c>
      <c r="V17">
        <v>537</v>
      </c>
      <c r="W17" s="2">
        <f>Tabel2[[#This Row],[heet water liter]]/0.15</f>
        <v>3580</v>
      </c>
      <c r="X17" s="4">
        <f>Tabel2[[#This Row],[aantal consumpties5]]+Tabel2[[#This Row],[aantal consumpties4]]+Tabel2[[#This Row],[aantal consumpties3]]+Tabel2[[#This Row],[aantal consumpties2]]+Tabel2[[#This Row],[aantal consumpties]]</f>
        <v>6551.333333333333</v>
      </c>
      <c r="Y17" s="4">
        <f>Tabel2[[#This Row],[Subtotaal waterbar]]+Tabel2[[#This Row],[Subtotaal koffieautomaten]]</f>
        <v>8139.333333333333</v>
      </c>
    </row>
    <row r="18" spans="1:25" x14ac:dyDescent="0.25">
      <c r="A18" s="28" t="s">
        <v>60</v>
      </c>
      <c r="B18" t="s">
        <v>61</v>
      </c>
      <c r="C18" t="s">
        <v>31</v>
      </c>
      <c r="E18">
        <v>755</v>
      </c>
      <c r="F18">
        <v>177</v>
      </c>
      <c r="G18">
        <v>64</v>
      </c>
      <c r="H18">
        <v>31</v>
      </c>
      <c r="I18">
        <v>1459</v>
      </c>
      <c r="J18">
        <v>371</v>
      </c>
      <c r="K18">
        <v>116</v>
      </c>
      <c r="L18">
        <v>31</v>
      </c>
      <c r="M18" s="3">
        <f>SUM(Tabel2[[#This Row],[Coffee]:[Latte Macchiato Plantaardig]])</f>
        <v>3004</v>
      </c>
      <c r="N18" s="5"/>
      <c r="O18" s="7"/>
      <c r="P18" s="5"/>
      <c r="Q18" s="7"/>
      <c r="R18" s="5"/>
      <c r="S18" s="5"/>
      <c r="T18" s="5"/>
      <c r="U18" s="7"/>
      <c r="V18" s="5"/>
      <c r="W18" s="7"/>
      <c r="X18" s="8"/>
      <c r="Y18" s="4">
        <f>Tabel2[[#This Row],[Subtotaal waterbar]]+Tabel2[[#This Row],[Subtotaal koffieautomaten]]</f>
        <v>3004</v>
      </c>
    </row>
    <row r="19" spans="1:25" x14ac:dyDescent="0.25">
      <c r="A19" s="28" t="s">
        <v>62</v>
      </c>
      <c r="B19" t="s">
        <v>63</v>
      </c>
      <c r="C19" t="s">
        <v>36</v>
      </c>
      <c r="E19" s="5"/>
      <c r="F19" s="5"/>
      <c r="G19" s="5"/>
      <c r="H19" s="5"/>
      <c r="I19" s="5"/>
      <c r="J19" s="5"/>
      <c r="K19" s="5"/>
      <c r="L19" s="5"/>
      <c r="M19" s="6">
        <f>SUM(Tabel2[[#This Row],[Coffee]:[Latte Macchiato Plantaardig]])</f>
        <v>0</v>
      </c>
      <c r="N19">
        <v>15.2</v>
      </c>
      <c r="O19" s="2">
        <f>Tabel2[[#This Row],[kamertemp liter]]/0.15</f>
        <v>101.33333333333333</v>
      </c>
      <c r="P19">
        <v>54.5</v>
      </c>
      <c r="Q19" s="2">
        <f>Tabel2[[#This Row],[gekoeld liter]]/0.15</f>
        <v>363.33333333333337</v>
      </c>
      <c r="R19">
        <v>60.3</v>
      </c>
      <c r="S19" s="2">
        <f>Tabel2[[#This Row],[bruisend liter]]/0.15</f>
        <v>402</v>
      </c>
      <c r="T19">
        <v>12</v>
      </c>
      <c r="U19" s="2">
        <f>Tabel2[[#This Row],[licht bruisend liter]]/0.15</f>
        <v>80</v>
      </c>
      <c r="V19">
        <v>32.9</v>
      </c>
      <c r="W19" s="2">
        <f>Tabel2[[#This Row],[heet water liter]]/0.15</f>
        <v>219.33333333333334</v>
      </c>
      <c r="X19" s="4">
        <f>Tabel2[[#This Row],[aantal consumpties5]]+Tabel2[[#This Row],[aantal consumpties4]]+Tabel2[[#This Row],[aantal consumpties3]]+Tabel2[[#This Row],[aantal consumpties2]]+Tabel2[[#This Row],[aantal consumpties]]</f>
        <v>1166</v>
      </c>
      <c r="Y19" s="4">
        <f>Tabel2[[#This Row],[Subtotaal waterbar]]+Tabel2[[#This Row],[Subtotaal koffieautomaten]]</f>
        <v>1166</v>
      </c>
    </row>
    <row r="20" spans="1:25" x14ac:dyDescent="0.25">
      <c r="A20" s="28" t="s">
        <v>64</v>
      </c>
      <c r="B20" t="s">
        <v>65</v>
      </c>
      <c r="C20" t="s">
        <v>31</v>
      </c>
      <c r="E20">
        <v>676</v>
      </c>
      <c r="F20">
        <v>283</v>
      </c>
      <c r="G20">
        <v>91</v>
      </c>
      <c r="H20">
        <v>52</v>
      </c>
      <c r="I20">
        <v>1575</v>
      </c>
      <c r="J20">
        <v>467</v>
      </c>
      <c r="K20">
        <v>95</v>
      </c>
      <c r="L20">
        <v>38</v>
      </c>
      <c r="M20" s="3">
        <f>SUM(Tabel2[[#This Row],[Coffee]:[Latte Macchiato Plantaardig]])</f>
        <v>3277</v>
      </c>
      <c r="N20" s="5"/>
      <c r="O20" s="7"/>
      <c r="P20" s="5"/>
      <c r="Q20" s="7"/>
      <c r="R20" s="5"/>
      <c r="S20" s="5"/>
      <c r="T20" s="5"/>
      <c r="U20" s="7"/>
      <c r="V20" s="5"/>
      <c r="W20" s="7"/>
      <c r="X20" s="8"/>
      <c r="Y20" s="4">
        <f>Tabel2[[#This Row],[Subtotaal waterbar]]+Tabel2[[#This Row],[Subtotaal koffieautomaten]]</f>
        <v>3277</v>
      </c>
    </row>
    <row r="21" spans="1:25" x14ac:dyDescent="0.25">
      <c r="A21" s="28" t="s">
        <v>66</v>
      </c>
      <c r="B21" t="s">
        <v>67</v>
      </c>
      <c r="C21" t="s">
        <v>31</v>
      </c>
      <c r="E21">
        <v>1136</v>
      </c>
      <c r="F21">
        <v>161</v>
      </c>
      <c r="G21">
        <v>137</v>
      </c>
      <c r="H21">
        <v>27</v>
      </c>
      <c r="I21">
        <v>1662</v>
      </c>
      <c r="J21">
        <v>480</v>
      </c>
      <c r="K21">
        <v>213</v>
      </c>
      <c r="L21">
        <v>83</v>
      </c>
      <c r="M21" s="3">
        <f>SUM(Tabel2[[#This Row],[Coffee]:[Latte Macchiato Plantaardig]])</f>
        <v>3899</v>
      </c>
      <c r="N21" s="5"/>
      <c r="O21" s="7"/>
      <c r="P21" s="5"/>
      <c r="Q21" s="7"/>
      <c r="R21" s="5"/>
      <c r="S21" s="5"/>
      <c r="T21" s="5"/>
      <c r="U21" s="7"/>
      <c r="V21" s="5"/>
      <c r="W21" s="7"/>
      <c r="X21" s="8"/>
      <c r="Y21" s="4">
        <f>Tabel2[[#This Row],[Subtotaal waterbar]]+Tabel2[[#This Row],[Subtotaal koffieautomaten]]</f>
        <v>3899</v>
      </c>
    </row>
    <row r="22" spans="1:25" x14ac:dyDescent="0.25">
      <c r="A22" s="28" t="s">
        <v>68</v>
      </c>
      <c r="B22" t="s">
        <v>69</v>
      </c>
      <c r="C22" t="s">
        <v>47</v>
      </c>
      <c r="E22">
        <v>421</v>
      </c>
      <c r="F22">
        <v>9</v>
      </c>
      <c r="G22">
        <v>180</v>
      </c>
      <c r="H22">
        <v>36</v>
      </c>
      <c r="J22">
        <v>583</v>
      </c>
      <c r="M22" s="3">
        <f>SUM(Tabel2[[#This Row],[Coffee]:[Latte Macchiato Plantaardig]])</f>
        <v>1229</v>
      </c>
      <c r="N22">
        <v>19</v>
      </c>
      <c r="O22" s="2">
        <f>Tabel2[[#This Row],[kamertemp liter]]/0.15</f>
        <v>126.66666666666667</v>
      </c>
      <c r="P22">
        <v>165</v>
      </c>
      <c r="Q22" s="2">
        <f>Tabel2[[#This Row],[gekoeld liter]]/0.15</f>
        <v>1100</v>
      </c>
      <c r="R22">
        <v>193.5</v>
      </c>
      <c r="S22" s="2">
        <f>Tabel2[[#This Row],[bruisend liter]]/0.15</f>
        <v>1290</v>
      </c>
      <c r="T22">
        <v>94.7</v>
      </c>
      <c r="U22" s="2">
        <f>Tabel2[[#This Row],[licht bruisend liter]]/0.15</f>
        <v>631.33333333333337</v>
      </c>
      <c r="V22">
        <v>702.3</v>
      </c>
      <c r="W22" s="2">
        <f>Tabel2[[#This Row],[heet water liter]]/0.15</f>
        <v>4682</v>
      </c>
      <c r="X22" s="4">
        <f>Tabel2[[#This Row],[aantal consumpties5]]+Tabel2[[#This Row],[aantal consumpties4]]+Tabel2[[#This Row],[aantal consumpties3]]+Tabel2[[#This Row],[aantal consumpties2]]+Tabel2[[#This Row],[aantal consumpties]]</f>
        <v>7830</v>
      </c>
      <c r="Y22" s="4">
        <f>Tabel2[[#This Row],[Subtotaal waterbar]]+Tabel2[[#This Row],[Subtotaal koffieautomaten]]</f>
        <v>9059</v>
      </c>
    </row>
    <row r="23" spans="1:25" x14ac:dyDescent="0.25">
      <c r="A23" s="28" t="s">
        <v>70</v>
      </c>
      <c r="B23" t="s">
        <v>71</v>
      </c>
      <c r="C23" t="s">
        <v>31</v>
      </c>
      <c r="E23">
        <v>736</v>
      </c>
      <c r="F23">
        <v>55</v>
      </c>
      <c r="G23">
        <v>81</v>
      </c>
      <c r="H23">
        <v>29</v>
      </c>
      <c r="I23">
        <v>1122</v>
      </c>
      <c r="J23">
        <v>343</v>
      </c>
      <c r="K23">
        <v>96</v>
      </c>
      <c r="L23">
        <v>37</v>
      </c>
      <c r="M23" s="3">
        <f>SUM(Tabel2[[#This Row],[Coffee]:[Latte Macchiato Plantaardig]])</f>
        <v>2499</v>
      </c>
      <c r="N23" s="5"/>
      <c r="O23" s="7"/>
      <c r="P23" s="5"/>
      <c r="Q23" s="7"/>
      <c r="R23" s="5"/>
      <c r="S23" s="5"/>
      <c r="T23" s="5"/>
      <c r="U23" s="7"/>
      <c r="V23" s="5"/>
      <c r="W23" s="7"/>
      <c r="X23" s="8"/>
      <c r="Y23" s="4">
        <f>Tabel2[[#This Row],[Subtotaal waterbar]]+Tabel2[[#This Row],[Subtotaal koffieautomaten]]</f>
        <v>2499</v>
      </c>
    </row>
    <row r="24" spans="1:25" x14ac:dyDescent="0.25">
      <c r="A24" s="28" t="s">
        <v>72</v>
      </c>
      <c r="B24" t="s">
        <v>73</v>
      </c>
      <c r="C24" t="s">
        <v>47</v>
      </c>
      <c r="E24">
        <v>601</v>
      </c>
      <c r="F24">
        <v>243</v>
      </c>
      <c r="G24">
        <v>127</v>
      </c>
      <c r="H24">
        <v>42</v>
      </c>
      <c r="J24">
        <v>415</v>
      </c>
      <c r="K24">
        <v>80</v>
      </c>
      <c r="L24">
        <v>25</v>
      </c>
      <c r="M24" s="3">
        <f>SUM(Tabel2[[#This Row],[Coffee]:[Latte Macchiato Plantaardig]])</f>
        <v>1533</v>
      </c>
      <c r="N24">
        <v>28.9</v>
      </c>
      <c r="O24" s="2">
        <f>Tabel2[[#This Row],[kamertemp liter]]/0.15</f>
        <v>192.66666666666666</v>
      </c>
      <c r="P24">
        <v>128.80000000000001</v>
      </c>
      <c r="Q24" s="2">
        <f>Tabel2[[#This Row],[gekoeld liter]]/0.15</f>
        <v>858.66666666666674</v>
      </c>
      <c r="R24">
        <v>119.3</v>
      </c>
      <c r="S24" s="2">
        <f>Tabel2[[#This Row],[bruisend liter]]/0.15</f>
        <v>795.33333333333337</v>
      </c>
      <c r="T24">
        <v>47.6</v>
      </c>
      <c r="U24" s="2">
        <f>Tabel2[[#This Row],[licht bruisend liter]]/0.15</f>
        <v>317.33333333333337</v>
      </c>
      <c r="V24">
        <v>287.8</v>
      </c>
      <c r="W24" s="2">
        <f>Tabel2[[#This Row],[heet water liter]]/0.15</f>
        <v>1918.6666666666667</v>
      </c>
      <c r="X24" s="4">
        <f>Tabel2[[#This Row],[aantal consumpties5]]+Tabel2[[#This Row],[aantal consumpties4]]+Tabel2[[#This Row],[aantal consumpties3]]+Tabel2[[#This Row],[aantal consumpties2]]+Tabel2[[#This Row],[aantal consumpties]]</f>
        <v>4082.6666666666665</v>
      </c>
      <c r="Y24" s="4">
        <f>Tabel2[[#This Row],[Subtotaal waterbar]]+Tabel2[[#This Row],[Subtotaal koffieautomaten]]</f>
        <v>5615.6666666666661</v>
      </c>
    </row>
    <row r="25" spans="1:25" x14ac:dyDescent="0.25">
      <c r="A25" s="3" t="s">
        <v>74</v>
      </c>
      <c r="M25" s="3"/>
      <c r="X25" s="3"/>
      <c r="Y25" s="4"/>
    </row>
    <row r="26" spans="1:25" x14ac:dyDescent="0.25">
      <c r="A26" s="28" t="s">
        <v>32</v>
      </c>
      <c r="B26" t="s">
        <v>75</v>
      </c>
      <c r="C26" t="s">
        <v>47</v>
      </c>
      <c r="E26">
        <v>305</v>
      </c>
      <c r="F26">
        <v>61</v>
      </c>
      <c r="G26">
        <v>102</v>
      </c>
      <c r="H26">
        <v>47</v>
      </c>
      <c r="J26">
        <v>229</v>
      </c>
      <c r="K26">
        <v>21</v>
      </c>
      <c r="L26">
        <v>54</v>
      </c>
      <c r="M26" s="3">
        <f>SUM(Tabel2[[#This Row],[Coffee]:[Latte Macchiato Plantaardig]])</f>
        <v>819</v>
      </c>
      <c r="N26">
        <v>15.2</v>
      </c>
      <c r="O26" s="2">
        <f>Tabel2[[#This Row],[kamertemp liter]]/0.15</f>
        <v>101.33333333333333</v>
      </c>
      <c r="P26">
        <v>55</v>
      </c>
      <c r="Q26" s="2">
        <f>Tabel2[[#This Row],[gekoeld liter]]/0.15</f>
        <v>366.66666666666669</v>
      </c>
      <c r="R26">
        <v>49.8</v>
      </c>
      <c r="S26" s="2">
        <f>Tabel2[[#This Row],[bruisend liter]]/0.15</f>
        <v>332</v>
      </c>
      <c r="T26">
        <v>32.799999999999997</v>
      </c>
      <c r="U26" s="2">
        <f>Tabel2[[#This Row],[licht bruisend liter]]/0.15</f>
        <v>218.66666666666666</v>
      </c>
      <c r="V26">
        <v>394.3</v>
      </c>
      <c r="W26" s="2">
        <f>Tabel2[[#This Row],[heet water liter]]/0.15</f>
        <v>2628.666666666667</v>
      </c>
      <c r="X26" s="4">
        <f>Tabel2[[#This Row],[aantal consumpties5]]+Tabel2[[#This Row],[aantal consumpties4]]+Tabel2[[#This Row],[aantal consumpties3]]+Tabel2[[#This Row],[aantal consumpties2]]+Tabel2[[#This Row],[aantal consumpties]]</f>
        <v>3647.3333333333335</v>
      </c>
      <c r="Y26" s="4">
        <f>Tabel2[[#This Row],[Subtotaal waterbar]]+Tabel2[[#This Row],[Subtotaal koffieautomaten]]</f>
        <v>4466.3333333333339</v>
      </c>
    </row>
    <row r="27" spans="1:25" x14ac:dyDescent="0.25">
      <c r="A27" s="28" t="s">
        <v>39</v>
      </c>
      <c r="B27" t="s">
        <v>76</v>
      </c>
      <c r="C27" t="s">
        <v>31</v>
      </c>
      <c r="E27">
        <v>1747</v>
      </c>
      <c r="F27">
        <v>469</v>
      </c>
      <c r="G27">
        <v>203</v>
      </c>
      <c r="H27">
        <v>99</v>
      </c>
      <c r="I27">
        <v>1454</v>
      </c>
      <c r="J27">
        <v>1097</v>
      </c>
      <c r="K27">
        <v>228</v>
      </c>
      <c r="L27">
        <v>50</v>
      </c>
      <c r="M27" s="3">
        <f>SUM(Tabel2[[#This Row],[Coffee]:[Latte Macchiato Plantaardig]])</f>
        <v>5347</v>
      </c>
      <c r="N27" s="5"/>
      <c r="O27" s="7"/>
      <c r="P27" s="5"/>
      <c r="Q27" s="7"/>
      <c r="R27" s="5"/>
      <c r="S27" s="7"/>
      <c r="T27" s="5"/>
      <c r="U27" s="7"/>
      <c r="V27" s="5"/>
      <c r="W27" s="7"/>
      <c r="X27" s="8"/>
      <c r="Y27" s="4">
        <f>Tabel2[[#This Row],[Subtotaal waterbar]]+Tabel2[[#This Row],[Subtotaal koffieautomaten]]</f>
        <v>5347</v>
      </c>
    </row>
    <row r="28" spans="1:25" x14ac:dyDescent="0.25">
      <c r="A28" s="28" t="s">
        <v>39</v>
      </c>
      <c r="B28" t="s">
        <v>77</v>
      </c>
      <c r="C28" t="s">
        <v>36</v>
      </c>
      <c r="E28" s="5"/>
      <c r="F28" s="5"/>
      <c r="G28" s="5"/>
      <c r="H28" s="5"/>
      <c r="I28" s="5"/>
      <c r="J28" s="5"/>
      <c r="K28" s="5"/>
      <c r="L28" s="5"/>
      <c r="M28" s="6">
        <f>SUM(Tabel2[[#This Row],[Coffee]:[Latte Macchiato Plantaardig]])</f>
        <v>0</v>
      </c>
      <c r="O28" s="2">
        <f>Tabel2[[#This Row],[kamertemp liter]]/0.15</f>
        <v>0</v>
      </c>
      <c r="Q28" s="2">
        <f>Tabel2[[#This Row],[gekoeld liter]]/0.15</f>
        <v>0</v>
      </c>
      <c r="S28" s="2">
        <f>Tabel2[[#This Row],[bruisend liter]]/0.15</f>
        <v>0</v>
      </c>
      <c r="U28" s="2">
        <f>Tabel2[[#This Row],[licht bruisend liter]]/0.15</f>
        <v>0</v>
      </c>
      <c r="W28" s="2">
        <f>Tabel2[[#This Row],[heet water liter]]/0.15</f>
        <v>0</v>
      </c>
      <c r="X28" s="4">
        <f>Tabel2[[#This Row],[aantal consumpties5]]+Tabel2[[#This Row],[aantal consumpties4]]+Tabel2[[#This Row],[aantal consumpties3]]+Tabel2[[#This Row],[aantal consumpties2]]+Tabel2[[#This Row],[aantal consumpties]]</f>
        <v>0</v>
      </c>
      <c r="Y28" s="4">
        <f>Tabel2[[#This Row],[Subtotaal waterbar]]+Tabel2[[#This Row],[Subtotaal koffieautomaten]]</f>
        <v>0</v>
      </c>
    </row>
    <row r="29" spans="1:25" x14ac:dyDescent="0.25">
      <c r="A29" s="28" t="s">
        <v>41</v>
      </c>
      <c r="B29" t="s">
        <v>78</v>
      </c>
      <c r="C29" t="s">
        <v>47</v>
      </c>
      <c r="E29">
        <v>298</v>
      </c>
      <c r="F29">
        <v>163</v>
      </c>
      <c r="G29">
        <v>14</v>
      </c>
      <c r="H29">
        <v>36</v>
      </c>
      <c r="J29">
        <v>242</v>
      </c>
      <c r="K29">
        <v>93</v>
      </c>
      <c r="L29">
        <v>63</v>
      </c>
      <c r="M29" s="3">
        <f>SUM(Tabel2[[#This Row],[Coffee]:[Latte Macchiato Plantaardig]])</f>
        <v>909</v>
      </c>
      <c r="N29">
        <v>13.1</v>
      </c>
      <c r="O29" s="2">
        <f>Tabel2[[#This Row],[kamertemp liter]]/0.15</f>
        <v>87.333333333333329</v>
      </c>
      <c r="P29">
        <v>70.3</v>
      </c>
      <c r="Q29" s="2">
        <f>Tabel2[[#This Row],[gekoeld liter]]/0.15</f>
        <v>468.66666666666669</v>
      </c>
      <c r="R29">
        <v>119.8</v>
      </c>
      <c r="S29" s="2">
        <f>Tabel2[[#This Row],[bruisend liter]]/0.15</f>
        <v>798.66666666666663</v>
      </c>
      <c r="T29">
        <v>92.3</v>
      </c>
      <c r="U29" s="2">
        <f>Tabel2[[#This Row],[licht bruisend liter]]/0.15</f>
        <v>615.33333333333337</v>
      </c>
      <c r="V29">
        <v>720.6</v>
      </c>
      <c r="W29" s="2">
        <f>Tabel2[[#This Row],[heet water liter]]/0.15</f>
        <v>4804</v>
      </c>
      <c r="X29" s="4">
        <f>Tabel2[[#This Row],[aantal consumpties5]]+Tabel2[[#This Row],[aantal consumpties4]]+Tabel2[[#This Row],[aantal consumpties3]]+Tabel2[[#This Row],[aantal consumpties2]]+Tabel2[[#This Row],[aantal consumpties]]</f>
        <v>6774</v>
      </c>
      <c r="Y29" s="4">
        <f>Tabel2[[#This Row],[Subtotaal waterbar]]+Tabel2[[#This Row],[Subtotaal koffieautomaten]]</f>
        <v>7683</v>
      </c>
    </row>
    <row r="30" spans="1:25" x14ac:dyDescent="0.25">
      <c r="A30" t="s">
        <v>43</v>
      </c>
      <c r="B30" t="s">
        <v>79</v>
      </c>
      <c r="C30" t="s">
        <v>31</v>
      </c>
      <c r="E30">
        <v>545</v>
      </c>
      <c r="F30">
        <v>210</v>
      </c>
      <c r="G30">
        <v>24</v>
      </c>
      <c r="H30">
        <v>12</v>
      </c>
      <c r="I30">
        <v>530</v>
      </c>
      <c r="J30">
        <v>266</v>
      </c>
      <c r="K30">
        <v>10</v>
      </c>
      <c r="L30">
        <v>4</v>
      </c>
      <c r="M30" s="3">
        <f>SUM(Tabel2[[#This Row],[Coffee]:[Latte Macchiato Plantaardig]])</f>
        <v>1601</v>
      </c>
      <c r="N30" s="5"/>
      <c r="O30" s="5"/>
      <c r="P30" s="5"/>
      <c r="Q30" s="7"/>
      <c r="R30" s="5"/>
      <c r="S30" s="7"/>
      <c r="T30" s="5"/>
      <c r="U30" s="7"/>
      <c r="V30" s="5"/>
      <c r="W30" s="7"/>
      <c r="X30" s="8"/>
      <c r="Y30" s="4">
        <f>Tabel2[[#This Row],[Subtotaal waterbar]]+Tabel2[[#This Row],[Subtotaal koffieautomaten]]</f>
        <v>1601</v>
      </c>
    </row>
    <row r="31" spans="1:25" x14ac:dyDescent="0.25">
      <c r="A31" t="s">
        <v>45</v>
      </c>
      <c r="B31" t="s">
        <v>80</v>
      </c>
      <c r="C31" t="s">
        <v>36</v>
      </c>
      <c r="E31" s="5"/>
      <c r="F31" s="5"/>
      <c r="G31" s="5"/>
      <c r="H31" s="5"/>
      <c r="I31" s="5"/>
      <c r="J31" s="5"/>
      <c r="K31" s="5"/>
      <c r="L31" s="5"/>
      <c r="M31" s="6">
        <f>SUM(Tabel2[[#This Row],[Coffee]:[Latte Macchiato Plantaardig]])</f>
        <v>0</v>
      </c>
      <c r="O31" s="2">
        <f>Tabel2[[#This Row],[kamertemp liter]]/0.15</f>
        <v>0</v>
      </c>
      <c r="Q31" s="2">
        <f>Tabel2[[#This Row],[gekoeld liter]]/0.15</f>
        <v>0</v>
      </c>
      <c r="S31" s="2">
        <f>Tabel2[[#This Row],[bruisend liter]]/0.15</f>
        <v>0</v>
      </c>
      <c r="U31" s="2">
        <f>Tabel2[[#This Row],[licht bruisend liter]]/0.15</f>
        <v>0</v>
      </c>
      <c r="W31" s="2">
        <f>Tabel2[[#This Row],[heet water liter]]/0.15</f>
        <v>0</v>
      </c>
      <c r="X31" s="4">
        <f>Tabel2[[#This Row],[aantal consumpties5]]+Tabel2[[#This Row],[aantal consumpties4]]+Tabel2[[#This Row],[aantal consumpties3]]+Tabel2[[#This Row],[aantal consumpties2]]+Tabel2[[#This Row],[aantal consumpties]]</f>
        <v>0</v>
      </c>
      <c r="Y31" s="4">
        <f>Tabel2[[#This Row],[Subtotaal waterbar]]+Tabel2[[#This Row],[Subtotaal koffieautomaten]]</f>
        <v>0</v>
      </c>
    </row>
    <row r="32" spans="1:25" x14ac:dyDescent="0.25">
      <c r="A32" t="s">
        <v>48</v>
      </c>
      <c r="B32" t="s">
        <v>81</v>
      </c>
      <c r="C32" t="s">
        <v>31</v>
      </c>
      <c r="E32">
        <v>447</v>
      </c>
      <c r="F32">
        <v>82</v>
      </c>
      <c r="G32">
        <v>19</v>
      </c>
      <c r="H32">
        <v>25</v>
      </c>
      <c r="I32">
        <v>722</v>
      </c>
      <c r="J32">
        <v>132</v>
      </c>
      <c r="K32">
        <v>20</v>
      </c>
      <c r="L32">
        <v>6</v>
      </c>
      <c r="M32" s="3">
        <f>SUM(Tabel2[[#This Row],[Coffee]:[Latte Macchiato Plantaardig]])</f>
        <v>1453</v>
      </c>
      <c r="N32" s="5"/>
      <c r="O32" s="5"/>
      <c r="P32" s="5"/>
      <c r="Q32" s="7"/>
      <c r="R32" s="5"/>
      <c r="S32" s="7"/>
      <c r="T32" s="5"/>
      <c r="U32" s="7"/>
      <c r="V32" s="5"/>
      <c r="W32" s="7"/>
      <c r="X32" s="8"/>
      <c r="Y32" s="4">
        <f>Tabel2[[#This Row],[Subtotaal waterbar]]+Tabel2[[#This Row],[Subtotaal koffieautomaten]]</f>
        <v>1453</v>
      </c>
    </row>
    <row r="33" spans="1:25" x14ac:dyDescent="0.25">
      <c r="A33" s="28" t="s">
        <v>50</v>
      </c>
      <c r="B33" t="s">
        <v>82</v>
      </c>
      <c r="C33" t="s">
        <v>47</v>
      </c>
      <c r="E33">
        <v>267</v>
      </c>
      <c r="F33">
        <v>12</v>
      </c>
      <c r="G33">
        <v>52</v>
      </c>
      <c r="H33">
        <v>33</v>
      </c>
      <c r="J33">
        <v>207</v>
      </c>
      <c r="K33">
        <v>33</v>
      </c>
      <c r="L33">
        <v>8</v>
      </c>
      <c r="M33" s="3">
        <f>SUM(Tabel2[[#This Row],[Coffee]:[Latte Macchiato Plantaardig]])</f>
        <v>612</v>
      </c>
      <c r="N33">
        <v>13.2</v>
      </c>
      <c r="O33" s="2">
        <f>Tabel2[[#This Row],[kamertemp liter]]/0.15</f>
        <v>88</v>
      </c>
      <c r="P33">
        <v>43.1</v>
      </c>
      <c r="Q33" s="2">
        <f>Tabel2[[#This Row],[gekoeld liter]]/0.15</f>
        <v>287.33333333333337</v>
      </c>
      <c r="R33">
        <v>55.1</v>
      </c>
      <c r="S33" s="2">
        <f>Tabel2[[#This Row],[bruisend liter]]/0.15</f>
        <v>367.33333333333337</v>
      </c>
      <c r="T33">
        <v>13.7</v>
      </c>
      <c r="U33" s="2">
        <f>Tabel2[[#This Row],[licht bruisend liter]]/0.15</f>
        <v>91.333333333333329</v>
      </c>
      <c r="V33">
        <v>193.5</v>
      </c>
      <c r="W33" s="2">
        <f>Tabel2[[#This Row],[heet water liter]]/0.15</f>
        <v>1290</v>
      </c>
      <c r="X33" s="4">
        <f>Tabel2[[#This Row],[aantal consumpties5]]+Tabel2[[#This Row],[aantal consumpties4]]+Tabel2[[#This Row],[aantal consumpties3]]+Tabel2[[#This Row],[aantal consumpties2]]+Tabel2[[#This Row],[aantal consumpties]]</f>
        <v>2124</v>
      </c>
      <c r="Y33" s="4">
        <f>Tabel2[[#This Row],[Subtotaal waterbar]]+Tabel2[[#This Row],[Subtotaal koffieautomaten]]</f>
        <v>2736</v>
      </c>
    </row>
    <row r="34" spans="1:25" x14ac:dyDescent="0.25">
      <c r="A34" s="28" t="s">
        <v>52</v>
      </c>
      <c r="B34" t="s">
        <v>83</v>
      </c>
      <c r="C34" t="s">
        <v>47</v>
      </c>
      <c r="E34">
        <v>321</v>
      </c>
      <c r="F34">
        <v>119</v>
      </c>
      <c r="G34">
        <v>68</v>
      </c>
      <c r="H34">
        <v>33</v>
      </c>
      <c r="J34">
        <v>147</v>
      </c>
      <c r="K34">
        <v>62</v>
      </c>
      <c r="L34">
        <v>58</v>
      </c>
      <c r="M34" s="3">
        <f>SUM(Tabel2[[#This Row],[Coffee]:[Latte Macchiato Plantaardig]])</f>
        <v>808</v>
      </c>
      <c r="N34">
        <v>12.6</v>
      </c>
      <c r="O34" s="2">
        <f>Tabel2[[#This Row],[kamertemp liter]]/0.15</f>
        <v>84</v>
      </c>
      <c r="P34">
        <v>41.9</v>
      </c>
      <c r="Q34" s="2">
        <f>Tabel2[[#This Row],[gekoeld liter]]/0.15</f>
        <v>279.33333333333331</v>
      </c>
      <c r="R34">
        <v>45.3</v>
      </c>
      <c r="S34" s="2">
        <f>Tabel2[[#This Row],[bruisend liter]]/0.15</f>
        <v>302</v>
      </c>
      <c r="T34">
        <v>22.3</v>
      </c>
      <c r="U34" s="2">
        <f>Tabel2[[#This Row],[licht bruisend liter]]/0.15</f>
        <v>148.66666666666669</v>
      </c>
      <c r="V34">
        <v>350.4</v>
      </c>
      <c r="W34" s="2">
        <f>Tabel2[[#This Row],[heet water liter]]/0.15</f>
        <v>2336</v>
      </c>
      <c r="X34" s="4">
        <f>Tabel2[[#This Row],[aantal consumpties5]]+Tabel2[[#This Row],[aantal consumpties4]]+Tabel2[[#This Row],[aantal consumpties3]]+Tabel2[[#This Row],[aantal consumpties2]]+Tabel2[[#This Row],[aantal consumpties]]</f>
        <v>3150</v>
      </c>
      <c r="Y34" s="4">
        <f>Tabel2[[#This Row],[Subtotaal waterbar]]+Tabel2[[#This Row],[Subtotaal koffieautomaten]]</f>
        <v>3958</v>
      </c>
    </row>
    <row r="35" spans="1:25" x14ac:dyDescent="0.25">
      <c r="A35" s="28" t="s">
        <v>54</v>
      </c>
      <c r="B35" t="s">
        <v>84</v>
      </c>
      <c r="C35" t="s">
        <v>31</v>
      </c>
      <c r="E35">
        <v>410</v>
      </c>
      <c r="F35">
        <v>60</v>
      </c>
      <c r="G35">
        <v>31</v>
      </c>
      <c r="H35">
        <v>14</v>
      </c>
      <c r="I35">
        <v>462</v>
      </c>
      <c r="J35">
        <v>178</v>
      </c>
      <c r="K35">
        <v>24</v>
      </c>
      <c r="L35">
        <v>37</v>
      </c>
      <c r="M35" s="3">
        <f>SUM(Tabel2[[#This Row],[Coffee]:[Latte Macchiato Plantaardig]])</f>
        <v>1216</v>
      </c>
      <c r="N35" s="5"/>
      <c r="O35" s="5"/>
      <c r="P35" s="5"/>
      <c r="Q35" s="5"/>
      <c r="R35" s="5"/>
      <c r="S35" s="7"/>
      <c r="T35" s="5"/>
      <c r="U35" s="7"/>
      <c r="V35" s="5"/>
      <c r="W35" s="7"/>
      <c r="X35" s="8"/>
      <c r="Y35" s="4">
        <f>Tabel2[[#This Row],[Subtotaal waterbar]]+Tabel2[[#This Row],[Subtotaal koffieautomaten]]</f>
        <v>1216</v>
      </c>
    </row>
    <row r="36" spans="1:25" x14ac:dyDescent="0.25">
      <c r="A36" s="28" t="s">
        <v>56</v>
      </c>
      <c r="B36" t="s">
        <v>85</v>
      </c>
      <c r="C36" t="s">
        <v>36</v>
      </c>
      <c r="E36" s="5"/>
      <c r="F36" s="5"/>
      <c r="G36" s="5"/>
      <c r="H36" s="5"/>
      <c r="I36" s="5"/>
      <c r="J36" s="5"/>
      <c r="K36" s="5"/>
      <c r="L36" s="5"/>
      <c r="M36" s="6">
        <f>SUM(Tabel2[[#This Row],[Coffee]:[Latte Macchiato Plantaardig]])</f>
        <v>0</v>
      </c>
      <c r="N36">
        <v>6.3</v>
      </c>
      <c r="O36" s="2">
        <f>Tabel2[[#This Row],[kamertemp liter]]/0.15</f>
        <v>42</v>
      </c>
      <c r="P36">
        <v>67.8</v>
      </c>
      <c r="Q36" s="2">
        <f>Tabel2[[#This Row],[gekoeld liter]]/0.15</f>
        <v>452</v>
      </c>
      <c r="R36">
        <v>19.7</v>
      </c>
      <c r="S36" s="2">
        <f>Tabel2[[#This Row],[bruisend liter]]/0.15</f>
        <v>131.33333333333334</v>
      </c>
      <c r="T36">
        <v>26</v>
      </c>
      <c r="U36" s="2">
        <f>Tabel2[[#This Row],[licht bruisend liter]]/0.15</f>
        <v>173.33333333333334</v>
      </c>
      <c r="V36">
        <v>372.7</v>
      </c>
      <c r="W36" s="2">
        <f>Tabel2[[#This Row],[heet water liter]]/0.15</f>
        <v>2484.6666666666665</v>
      </c>
      <c r="X36" s="4">
        <f>Tabel2[[#This Row],[aantal consumpties5]]+Tabel2[[#This Row],[aantal consumpties4]]+Tabel2[[#This Row],[aantal consumpties3]]+Tabel2[[#This Row],[aantal consumpties2]]+Tabel2[[#This Row],[aantal consumpties]]</f>
        <v>3283.3333333333335</v>
      </c>
      <c r="Y36" s="4">
        <f>Tabel2[[#This Row],[Subtotaal waterbar]]+Tabel2[[#This Row],[Subtotaal koffieautomaten]]</f>
        <v>3283.3333333333335</v>
      </c>
    </row>
    <row r="37" spans="1:25" x14ac:dyDescent="0.25">
      <c r="A37" s="28" t="s">
        <v>58</v>
      </c>
      <c r="B37" t="s">
        <v>86</v>
      </c>
      <c r="C37" t="s">
        <v>47</v>
      </c>
      <c r="E37">
        <v>654</v>
      </c>
      <c r="F37">
        <v>144</v>
      </c>
      <c r="G37">
        <v>83</v>
      </c>
      <c r="H37">
        <v>24</v>
      </c>
      <c r="J37">
        <v>280</v>
      </c>
      <c r="K37">
        <v>59</v>
      </c>
      <c r="L37">
        <v>28</v>
      </c>
      <c r="M37" s="3">
        <f>SUM(Tabel2[[#This Row],[Coffee]:[Latte Macchiato Plantaardig]])</f>
        <v>1272</v>
      </c>
      <c r="N37">
        <v>13.5</v>
      </c>
      <c r="O37" s="2">
        <f>Tabel2[[#This Row],[kamertemp liter]]/0.15</f>
        <v>90</v>
      </c>
      <c r="P37">
        <v>76.5</v>
      </c>
      <c r="Q37" s="2">
        <f>Tabel2[[#This Row],[gekoeld liter]]/0.15</f>
        <v>510</v>
      </c>
      <c r="R37">
        <v>47</v>
      </c>
      <c r="S37" s="2">
        <f>Tabel2[[#This Row],[bruisend liter]]/0.15</f>
        <v>313.33333333333337</v>
      </c>
      <c r="T37">
        <v>23</v>
      </c>
      <c r="U37" s="2">
        <f>Tabel2[[#This Row],[licht bruisend liter]]/0.15</f>
        <v>153.33333333333334</v>
      </c>
      <c r="V37">
        <v>303.2</v>
      </c>
      <c r="W37" s="2">
        <f>Tabel2[[#This Row],[heet water liter]]/0.15</f>
        <v>2021.3333333333333</v>
      </c>
      <c r="X37" s="4">
        <f>Tabel2[[#This Row],[aantal consumpties5]]+Tabel2[[#This Row],[aantal consumpties4]]+Tabel2[[#This Row],[aantal consumpties3]]+Tabel2[[#This Row],[aantal consumpties2]]+Tabel2[[#This Row],[aantal consumpties]]</f>
        <v>3088</v>
      </c>
      <c r="Y37" s="4">
        <f>Tabel2[[#This Row],[Subtotaal waterbar]]+Tabel2[[#This Row],[Subtotaal koffieautomaten]]</f>
        <v>4360</v>
      </c>
    </row>
    <row r="38" spans="1:25" x14ac:dyDescent="0.25">
      <c r="A38" s="28" t="s">
        <v>60</v>
      </c>
      <c r="B38" t="s">
        <v>87</v>
      </c>
      <c r="C38" t="s">
        <v>31</v>
      </c>
      <c r="E38">
        <v>214</v>
      </c>
      <c r="F38">
        <v>48</v>
      </c>
      <c r="G38">
        <v>102</v>
      </c>
      <c r="H38">
        <v>50</v>
      </c>
      <c r="I38">
        <v>941</v>
      </c>
      <c r="J38">
        <v>206</v>
      </c>
      <c r="K38">
        <v>46</v>
      </c>
      <c r="L38">
        <v>24</v>
      </c>
      <c r="M38" s="3">
        <f>SUM(Tabel2[[#This Row],[Coffee]:[Latte Macchiato Plantaardig]])</f>
        <v>1631</v>
      </c>
      <c r="N38" s="5"/>
      <c r="O38" s="5"/>
      <c r="P38" s="5"/>
      <c r="Q38" s="5"/>
      <c r="R38" s="5"/>
      <c r="S38" s="5"/>
      <c r="T38" s="5"/>
      <c r="U38" s="5"/>
      <c r="V38" s="5"/>
      <c r="W38" s="5"/>
      <c r="X38" s="6"/>
      <c r="Y38" s="4">
        <f>Tabel2[[#This Row],[Subtotaal waterbar]]+Tabel2[[#This Row],[Subtotaal koffieautomaten]]</f>
        <v>1631</v>
      </c>
    </row>
    <row r="39" spans="1:25" x14ac:dyDescent="0.25">
      <c r="A39" s="3" t="s">
        <v>88</v>
      </c>
      <c r="M39" s="3">
        <f>SUM(Tabel2[[#This Row],[Coffee]:[Latte Macchiato Plantaardig]])</f>
        <v>0</v>
      </c>
      <c r="O39" s="2"/>
      <c r="Q39" s="2"/>
      <c r="S39" s="2"/>
      <c r="U39" s="2"/>
      <c r="W39" s="2"/>
      <c r="X39" s="4"/>
      <c r="Y39" s="4"/>
    </row>
    <row r="40" spans="1:25" x14ac:dyDescent="0.25">
      <c r="A40" s="28" t="s">
        <v>39</v>
      </c>
      <c r="B40" t="s">
        <v>89</v>
      </c>
      <c r="C40" t="s">
        <v>36</v>
      </c>
      <c r="E40" s="5"/>
      <c r="F40" s="5"/>
      <c r="G40" s="5"/>
      <c r="H40" s="5"/>
      <c r="I40" s="5"/>
      <c r="J40" s="5"/>
      <c r="K40" s="5"/>
      <c r="L40" s="5"/>
      <c r="M40" s="6"/>
      <c r="N40">
        <v>22.3</v>
      </c>
      <c r="O40" s="2">
        <f>Tabel2[[#This Row],[kamertemp liter]]/0.15</f>
        <v>148.66666666666669</v>
      </c>
      <c r="P40">
        <v>122.7</v>
      </c>
      <c r="Q40" s="2">
        <f>Tabel2[[#This Row],[gekoeld liter]]/0.15</f>
        <v>818</v>
      </c>
      <c r="R40">
        <v>116.4</v>
      </c>
      <c r="S40" s="2">
        <f>Tabel2[[#This Row],[bruisend liter]]/0.15</f>
        <v>776.00000000000011</v>
      </c>
      <c r="T40">
        <v>49.8</v>
      </c>
      <c r="U40" s="2">
        <f>Tabel2[[#This Row],[licht bruisend liter]]/0.15</f>
        <v>332</v>
      </c>
      <c r="V40">
        <v>539.79999999999995</v>
      </c>
      <c r="W40" s="2">
        <f>Tabel2[[#This Row],[heet water liter]]/0.15</f>
        <v>3598.6666666666665</v>
      </c>
      <c r="X40" s="4">
        <f>Tabel2[[#This Row],[aantal consumpties5]]+Tabel2[[#This Row],[aantal consumpties4]]+Tabel2[[#This Row],[aantal consumpties3]]+Tabel2[[#This Row],[aantal consumpties2]]+Tabel2[[#This Row],[aantal consumpties]]</f>
        <v>5673.3333333333339</v>
      </c>
      <c r="Y40" s="4">
        <f>Tabel2[[#This Row],[Subtotaal waterbar]]+Tabel2[[#This Row],[Subtotaal koffieautomaten]]</f>
        <v>5673.3333333333339</v>
      </c>
    </row>
    <row r="41" spans="1:25" x14ac:dyDescent="0.25">
      <c r="A41" s="28" t="s">
        <v>41</v>
      </c>
      <c r="B41" t="s">
        <v>90</v>
      </c>
      <c r="C41" t="s">
        <v>31</v>
      </c>
      <c r="E41">
        <v>239</v>
      </c>
      <c r="F41">
        <v>99</v>
      </c>
      <c r="G41">
        <v>15</v>
      </c>
      <c r="H41">
        <v>14</v>
      </c>
      <c r="I41">
        <v>777</v>
      </c>
      <c r="J41">
        <v>153</v>
      </c>
      <c r="K41">
        <v>31</v>
      </c>
      <c r="L41">
        <v>5</v>
      </c>
      <c r="M41" s="3">
        <f>SUM(Tabel2[[#This Row],[Coffee]:[Latte Macchiato Plantaardig]])</f>
        <v>1333</v>
      </c>
      <c r="O41" s="2"/>
      <c r="Q41" s="2"/>
      <c r="S41" s="2"/>
      <c r="U41" s="2"/>
      <c r="W41" s="2"/>
      <c r="X41" s="4"/>
      <c r="Y41" s="4">
        <f>Tabel2[[#This Row],[Subtotaal waterbar]]+Tabel2[[#This Row],[Subtotaal koffieautomaten]]</f>
        <v>1333</v>
      </c>
    </row>
    <row r="42" spans="1:25" x14ac:dyDescent="0.25">
      <c r="A42" s="28" t="s">
        <v>43</v>
      </c>
      <c r="B42" t="s">
        <v>91</v>
      </c>
      <c r="C42" t="s">
        <v>47</v>
      </c>
      <c r="E42">
        <v>664</v>
      </c>
      <c r="F42">
        <v>227</v>
      </c>
      <c r="G42">
        <v>67</v>
      </c>
      <c r="H42">
        <v>33</v>
      </c>
      <c r="J42">
        <v>188</v>
      </c>
      <c r="K42">
        <v>208</v>
      </c>
      <c r="L42">
        <v>30</v>
      </c>
      <c r="M42" s="3">
        <f>SUM(Tabel2[[#This Row],[Coffee]:[Latte Macchiato Plantaardig]])</f>
        <v>1417</v>
      </c>
      <c r="N42">
        <v>14.8</v>
      </c>
      <c r="O42" s="2">
        <f>Tabel2[[#This Row],[kamertemp liter]]/0.15</f>
        <v>98.666666666666671</v>
      </c>
      <c r="P42">
        <v>118.8</v>
      </c>
      <c r="Q42" s="2">
        <f>Tabel2[[#This Row],[gekoeld liter]]/0.15</f>
        <v>792</v>
      </c>
      <c r="R42">
        <v>141.6</v>
      </c>
      <c r="S42" s="2">
        <f>Tabel2[[#This Row],[bruisend liter]]/0.15</f>
        <v>944</v>
      </c>
      <c r="T42">
        <v>132.30000000000001</v>
      </c>
      <c r="U42" s="2">
        <f>Tabel2[[#This Row],[licht bruisend liter]]/0.15</f>
        <v>882.00000000000011</v>
      </c>
      <c r="V42">
        <v>590.1</v>
      </c>
      <c r="W42" s="2">
        <f>Tabel2[[#This Row],[heet water liter]]/0.15</f>
        <v>3934.0000000000005</v>
      </c>
      <c r="X42" s="4">
        <f>Tabel2[[#This Row],[aantal consumpties5]]+Tabel2[[#This Row],[aantal consumpties4]]+Tabel2[[#This Row],[aantal consumpties3]]+Tabel2[[#This Row],[aantal consumpties2]]+Tabel2[[#This Row],[aantal consumpties]]</f>
        <v>6650.6666666666679</v>
      </c>
      <c r="Y42" s="4">
        <f>Tabel2[[#This Row],[Subtotaal waterbar]]+Tabel2[[#This Row],[Subtotaal koffieautomaten]]</f>
        <v>8067.6666666666679</v>
      </c>
    </row>
    <row r="43" spans="1:25" x14ac:dyDescent="0.25">
      <c r="A43" s="28" t="s">
        <v>45</v>
      </c>
      <c r="B43" t="s">
        <v>92</v>
      </c>
      <c r="C43" t="s">
        <v>36</v>
      </c>
      <c r="E43" s="5"/>
      <c r="F43" s="5"/>
      <c r="G43" s="5"/>
      <c r="H43" s="5"/>
      <c r="I43" s="5"/>
      <c r="J43" s="5"/>
      <c r="K43" s="5"/>
      <c r="L43" s="5"/>
      <c r="M43" s="6">
        <f>SUM(Tabel2[[#This Row],[Coffee]:[Latte Macchiato Plantaardig]])</f>
        <v>0</v>
      </c>
      <c r="N43">
        <v>10.8</v>
      </c>
      <c r="O43" s="2">
        <f>Tabel2[[#This Row],[kamertemp liter]]/0.15</f>
        <v>72.000000000000014</v>
      </c>
      <c r="P43">
        <v>47.3</v>
      </c>
      <c r="Q43" s="2">
        <f>Tabel2[[#This Row],[gekoeld liter]]/0.15</f>
        <v>315.33333333333331</v>
      </c>
      <c r="R43">
        <v>49</v>
      </c>
      <c r="S43" s="2">
        <f>Tabel2[[#This Row],[bruisend liter]]/0.15</f>
        <v>326.66666666666669</v>
      </c>
      <c r="T43">
        <v>20.8</v>
      </c>
      <c r="U43" s="2">
        <f>Tabel2[[#This Row],[licht bruisend liter]]/0.15</f>
        <v>138.66666666666669</v>
      </c>
      <c r="V43">
        <v>281.89999999999998</v>
      </c>
      <c r="W43" s="2">
        <f>Tabel2[[#This Row],[heet water liter]]/0.15</f>
        <v>1879.3333333333333</v>
      </c>
      <c r="X43" s="4">
        <f>Tabel2[[#This Row],[aantal consumpties5]]+Tabel2[[#This Row],[aantal consumpties4]]+Tabel2[[#This Row],[aantal consumpties3]]+Tabel2[[#This Row],[aantal consumpties2]]+Tabel2[[#This Row],[aantal consumpties]]</f>
        <v>2732</v>
      </c>
      <c r="Y43" s="4">
        <f>Tabel2[[#This Row],[Subtotaal waterbar]]+Tabel2[[#This Row],[Subtotaal koffieautomaten]]</f>
        <v>2732</v>
      </c>
    </row>
    <row r="44" spans="1:25" x14ac:dyDescent="0.25">
      <c r="A44" s="28" t="s">
        <v>48</v>
      </c>
      <c r="B44" t="s">
        <v>93</v>
      </c>
      <c r="C44" t="s">
        <v>31</v>
      </c>
      <c r="E44">
        <v>437</v>
      </c>
      <c r="F44">
        <v>99</v>
      </c>
      <c r="G44">
        <v>50</v>
      </c>
      <c r="H44">
        <v>19</v>
      </c>
      <c r="I44">
        <v>499</v>
      </c>
      <c r="J44">
        <v>209</v>
      </c>
      <c r="K44">
        <v>51</v>
      </c>
      <c r="L44">
        <v>12</v>
      </c>
      <c r="M44" s="3">
        <f>SUM(Tabel2[[#This Row],[Coffee]:[Latte Macchiato Plantaardig]])</f>
        <v>1376</v>
      </c>
      <c r="N44" s="5"/>
      <c r="O44" s="7"/>
      <c r="P44" s="5"/>
      <c r="Q44" s="7"/>
      <c r="R44" s="5"/>
      <c r="S44" s="7"/>
      <c r="T44" s="5"/>
      <c r="U44" s="7"/>
      <c r="V44" s="5"/>
      <c r="W44" s="7"/>
      <c r="X44" s="8"/>
      <c r="Y44" s="4">
        <f>Tabel2[[#This Row],[Subtotaal waterbar]]+Tabel2[[#This Row],[Subtotaal koffieautomaten]]</f>
        <v>1376</v>
      </c>
    </row>
    <row r="45" spans="1:25" x14ac:dyDescent="0.25">
      <c r="A45" s="28" t="s">
        <v>50</v>
      </c>
      <c r="B45" t="s">
        <v>93</v>
      </c>
      <c r="C45" t="s">
        <v>36</v>
      </c>
      <c r="E45" s="5"/>
      <c r="F45" s="5"/>
      <c r="G45" s="5"/>
      <c r="H45" s="5"/>
      <c r="I45" s="5"/>
      <c r="J45" s="5"/>
      <c r="K45" s="5"/>
      <c r="L45" s="5"/>
      <c r="M45" s="6">
        <f>SUM(Tabel2[[#This Row],[Coffee]:[Latte Macchiato Plantaardig]])</f>
        <v>0</v>
      </c>
      <c r="N45">
        <v>12.2</v>
      </c>
      <c r="O45" s="2">
        <f>Tabel2[[#This Row],[kamertemp liter]]/0.15</f>
        <v>81.333333333333329</v>
      </c>
      <c r="P45">
        <v>35.299999999999997</v>
      </c>
      <c r="Q45" s="2">
        <f>Tabel2[[#This Row],[gekoeld liter]]/0.15</f>
        <v>235.33333333333331</v>
      </c>
      <c r="R45">
        <v>65</v>
      </c>
      <c r="S45" s="2">
        <f>Tabel2[[#This Row],[bruisend liter]]/0.15</f>
        <v>433.33333333333337</v>
      </c>
      <c r="T45">
        <v>39.9</v>
      </c>
      <c r="U45" s="2">
        <f>Tabel2[[#This Row],[licht bruisend liter]]/0.15</f>
        <v>266</v>
      </c>
      <c r="V45">
        <v>282.39999999999998</v>
      </c>
      <c r="W45" s="2">
        <f>Tabel2[[#This Row],[heet water liter]]/0.15</f>
        <v>1882.6666666666665</v>
      </c>
      <c r="X45" s="4">
        <f>Tabel2[[#This Row],[aantal consumpties5]]+Tabel2[[#This Row],[aantal consumpties4]]+Tabel2[[#This Row],[aantal consumpties3]]+Tabel2[[#This Row],[aantal consumpties2]]+Tabel2[[#This Row],[aantal consumpties]]</f>
        <v>2898.666666666667</v>
      </c>
      <c r="Y45" s="4">
        <f>Tabel2[[#This Row],[Subtotaal waterbar]]+Tabel2[[#This Row],[Subtotaal koffieautomaten]]</f>
        <v>2898.666666666667</v>
      </c>
    </row>
    <row r="46" spans="1:25" x14ac:dyDescent="0.25">
      <c r="A46" s="28" t="s">
        <v>52</v>
      </c>
      <c r="B46" t="s">
        <v>94</v>
      </c>
      <c r="C46" t="s">
        <v>31</v>
      </c>
      <c r="E46">
        <v>212</v>
      </c>
      <c r="F46">
        <v>96</v>
      </c>
      <c r="G46">
        <v>18</v>
      </c>
      <c r="H46">
        <v>6</v>
      </c>
      <c r="I46">
        <v>455</v>
      </c>
      <c r="J46">
        <v>158</v>
      </c>
      <c r="K46">
        <v>35</v>
      </c>
      <c r="L46">
        <v>4</v>
      </c>
      <c r="M46" s="3">
        <f>SUM(Tabel2[[#This Row],[Coffee]:[Latte Macchiato Plantaardig]])</f>
        <v>984</v>
      </c>
      <c r="N46" s="5"/>
      <c r="O46" s="7"/>
      <c r="P46" s="5"/>
      <c r="Q46" s="7"/>
      <c r="R46" s="5"/>
      <c r="S46" s="7"/>
      <c r="T46" s="5"/>
      <c r="U46" s="7"/>
      <c r="V46" s="5"/>
      <c r="W46" s="7"/>
      <c r="X46" s="8"/>
      <c r="Y46" s="4">
        <f>Tabel2[[#This Row],[Subtotaal waterbar]]+Tabel2[[#This Row],[Subtotaal koffieautomaten]]</f>
        <v>984</v>
      </c>
    </row>
    <row r="47" spans="1:25" x14ac:dyDescent="0.25">
      <c r="A47" s="28" t="s">
        <v>54</v>
      </c>
      <c r="B47" t="s">
        <v>95</v>
      </c>
      <c r="C47" t="s">
        <v>47</v>
      </c>
      <c r="E47">
        <v>666</v>
      </c>
      <c r="F47">
        <v>250</v>
      </c>
      <c r="G47">
        <v>37</v>
      </c>
      <c r="H47">
        <v>60</v>
      </c>
      <c r="J47">
        <v>331</v>
      </c>
      <c r="K47">
        <v>102</v>
      </c>
      <c r="L47">
        <v>54</v>
      </c>
      <c r="M47" s="3">
        <f>SUM(Tabel2[[#This Row],[Coffee]:[Latte Macchiato Plantaardig]])</f>
        <v>1500</v>
      </c>
      <c r="N47">
        <v>14.6</v>
      </c>
      <c r="O47" s="2">
        <f>Tabel2[[#This Row],[kamertemp liter]]/0.15</f>
        <v>97.333333333333329</v>
      </c>
      <c r="P47">
        <v>42.1</v>
      </c>
      <c r="Q47" s="2">
        <f>Tabel2[[#This Row],[gekoeld liter]]/0.15</f>
        <v>280.66666666666669</v>
      </c>
      <c r="R47">
        <v>99.6</v>
      </c>
      <c r="S47" s="2">
        <f>Tabel2[[#This Row],[bruisend liter]]/0.15</f>
        <v>664</v>
      </c>
      <c r="T47">
        <v>57.7</v>
      </c>
      <c r="U47" s="2">
        <f>Tabel2[[#This Row],[licht bruisend liter]]/0.15</f>
        <v>384.66666666666669</v>
      </c>
      <c r="V47">
        <v>328.9</v>
      </c>
      <c r="W47" s="2">
        <f>Tabel2[[#This Row],[heet water liter]]/0.15</f>
        <v>2192.6666666666665</v>
      </c>
      <c r="X47" s="4">
        <f>Tabel2[[#This Row],[aantal consumpties5]]+Tabel2[[#This Row],[aantal consumpties4]]+Tabel2[[#This Row],[aantal consumpties3]]+Tabel2[[#This Row],[aantal consumpties2]]+Tabel2[[#This Row],[aantal consumpties]]</f>
        <v>3619.333333333333</v>
      </c>
      <c r="Y47" s="4">
        <f>Tabel2[[#This Row],[Subtotaal waterbar]]+Tabel2[[#This Row],[Subtotaal koffieautomaten]]</f>
        <v>5119.333333333333</v>
      </c>
    </row>
    <row r="48" spans="1:25" x14ac:dyDescent="0.25">
      <c r="A48" s="28" t="s">
        <v>56</v>
      </c>
      <c r="B48" t="s">
        <v>96</v>
      </c>
      <c r="C48" t="s">
        <v>36</v>
      </c>
      <c r="E48" s="5"/>
      <c r="F48" s="5"/>
      <c r="G48" s="5"/>
      <c r="H48" s="5"/>
      <c r="I48" s="5"/>
      <c r="J48" s="5"/>
      <c r="K48" s="5"/>
      <c r="L48" s="5"/>
      <c r="M48" s="6">
        <f>SUM(Tabel2[[#This Row],[Coffee]:[Latte Macchiato Plantaardig]])</f>
        <v>0</v>
      </c>
      <c r="N48">
        <v>13.4</v>
      </c>
      <c r="O48" s="2">
        <f>Tabel2[[#This Row],[kamertemp liter]]/0.15</f>
        <v>89.333333333333343</v>
      </c>
      <c r="P48">
        <v>86.6</v>
      </c>
      <c r="Q48" s="2">
        <f>Tabel2[[#This Row],[gekoeld liter]]/0.15</f>
        <v>577.33333333333337</v>
      </c>
      <c r="R48">
        <v>67.7</v>
      </c>
      <c r="S48" s="2">
        <f>Tabel2[[#This Row],[bruisend liter]]/0.15</f>
        <v>451.33333333333337</v>
      </c>
      <c r="T48">
        <v>67.900000000000006</v>
      </c>
      <c r="U48" s="2">
        <f>Tabel2[[#This Row],[licht bruisend liter]]/0.15</f>
        <v>452.66666666666674</v>
      </c>
      <c r="V48">
        <v>566.5</v>
      </c>
      <c r="W48" s="2">
        <f>Tabel2[[#This Row],[heet water liter]]/0.15</f>
        <v>3776.666666666667</v>
      </c>
      <c r="X48" s="4">
        <f>Tabel2[[#This Row],[aantal consumpties5]]+Tabel2[[#This Row],[aantal consumpties4]]+Tabel2[[#This Row],[aantal consumpties3]]+Tabel2[[#This Row],[aantal consumpties2]]+Tabel2[[#This Row],[aantal consumpties]]</f>
        <v>5347.333333333333</v>
      </c>
      <c r="Y48" s="4">
        <f>Tabel2[[#This Row],[Subtotaal waterbar]]+Tabel2[[#This Row],[Subtotaal koffieautomaten]]</f>
        <v>5347.333333333333</v>
      </c>
    </row>
    <row r="49" spans="1:25" x14ac:dyDescent="0.25">
      <c r="A49" s="28" t="s">
        <v>58</v>
      </c>
      <c r="B49" t="s">
        <v>97</v>
      </c>
      <c r="C49" t="s">
        <v>31</v>
      </c>
      <c r="E49">
        <v>576</v>
      </c>
      <c r="F49">
        <v>115</v>
      </c>
      <c r="G49">
        <v>42</v>
      </c>
      <c r="H49">
        <v>59</v>
      </c>
      <c r="I49">
        <v>620</v>
      </c>
      <c r="J49">
        <v>298</v>
      </c>
      <c r="K49">
        <v>167</v>
      </c>
      <c r="L49">
        <v>46</v>
      </c>
      <c r="M49" s="3">
        <f>SUM(Tabel2[[#This Row],[Coffee]:[Latte Macchiato Plantaardig]])</f>
        <v>1923</v>
      </c>
      <c r="O49" s="2"/>
      <c r="Q49" s="2"/>
      <c r="S49" s="2"/>
      <c r="U49" s="2"/>
      <c r="W49" s="2"/>
      <c r="X49" s="4"/>
      <c r="Y49" s="4">
        <f>Tabel2[[#This Row],[Subtotaal waterbar]]+Tabel2[[#This Row],[Subtotaal koffieautomaten]]</f>
        <v>1923</v>
      </c>
    </row>
    <row r="50" spans="1:25" x14ac:dyDescent="0.25">
      <c r="A50" s="28" t="s">
        <v>60</v>
      </c>
      <c r="B50" t="s">
        <v>98</v>
      </c>
      <c r="C50" t="s">
        <v>47</v>
      </c>
      <c r="E50">
        <v>139</v>
      </c>
      <c r="F50">
        <v>45</v>
      </c>
      <c r="G50">
        <v>5</v>
      </c>
      <c r="H50">
        <v>14</v>
      </c>
      <c r="J50">
        <v>80</v>
      </c>
      <c r="K50">
        <v>29</v>
      </c>
      <c r="L50">
        <v>12</v>
      </c>
      <c r="M50" s="3">
        <f>SUM(Tabel2[[#This Row],[Coffee]:[Latte Macchiato Plantaardig]])</f>
        <v>324</v>
      </c>
      <c r="N50">
        <v>16.7</v>
      </c>
      <c r="O50" s="2">
        <f>Tabel2[[#This Row],[kamertemp liter]]/0.15</f>
        <v>111.33333333333333</v>
      </c>
      <c r="P50">
        <v>63</v>
      </c>
      <c r="Q50" s="2">
        <f>Tabel2[[#This Row],[gekoeld liter]]/0.15</f>
        <v>420</v>
      </c>
      <c r="R50">
        <v>54.1</v>
      </c>
      <c r="S50" s="2">
        <f>Tabel2[[#This Row],[bruisend liter]]/0.15</f>
        <v>360.66666666666669</v>
      </c>
      <c r="T50">
        <v>29.5</v>
      </c>
      <c r="U50" s="2">
        <f>Tabel2[[#This Row],[licht bruisend liter]]/0.15</f>
        <v>196.66666666666669</v>
      </c>
      <c r="V50">
        <v>253.6</v>
      </c>
      <c r="W50" s="2">
        <f>Tabel2[[#This Row],[heet water liter]]/0.15</f>
        <v>1690.6666666666667</v>
      </c>
      <c r="X50" s="4">
        <f>Tabel2[[#This Row],[aantal consumpties5]]+Tabel2[[#This Row],[aantal consumpties4]]+Tabel2[[#This Row],[aantal consumpties3]]+Tabel2[[#This Row],[aantal consumpties2]]+Tabel2[[#This Row],[aantal consumpties]]</f>
        <v>2779.3333333333335</v>
      </c>
      <c r="Y50" s="4">
        <f>Tabel2[[#This Row],[Subtotaal waterbar]]+Tabel2[[#This Row],[Subtotaal koffieautomaten]]</f>
        <v>3103.3333333333335</v>
      </c>
    </row>
    <row r="51" spans="1:25" x14ac:dyDescent="0.25">
      <c r="A51" s="3" t="s">
        <v>99</v>
      </c>
      <c r="M51" s="3"/>
      <c r="O51" s="2"/>
      <c r="Q51" s="2"/>
      <c r="S51" s="2"/>
      <c r="U51" s="2"/>
      <c r="W51" s="2"/>
      <c r="X51" s="4"/>
      <c r="Y51" s="4"/>
    </row>
    <row r="52" spans="1:25" x14ac:dyDescent="0.25">
      <c r="A52" s="28" t="s">
        <v>43</v>
      </c>
      <c r="B52" t="s">
        <v>100</v>
      </c>
      <c r="C52" t="s">
        <v>31</v>
      </c>
      <c r="E52">
        <v>174</v>
      </c>
      <c r="F52">
        <v>48</v>
      </c>
      <c r="G52">
        <v>25</v>
      </c>
      <c r="H52">
        <v>8</v>
      </c>
      <c r="I52">
        <v>590</v>
      </c>
      <c r="J52">
        <v>60</v>
      </c>
      <c r="K52">
        <v>18</v>
      </c>
      <c r="L52">
        <v>7</v>
      </c>
      <c r="M52" s="3">
        <f>SUM(Tabel2[[#This Row],[Coffee]:[Latte Macchiato Plantaardig]])</f>
        <v>930</v>
      </c>
      <c r="N52" s="5"/>
      <c r="O52" s="7"/>
      <c r="P52" s="5"/>
      <c r="Q52" s="7"/>
      <c r="R52" s="5"/>
      <c r="S52" s="7"/>
      <c r="T52" s="5"/>
      <c r="U52" s="7"/>
      <c r="V52" s="5"/>
      <c r="W52" s="7"/>
      <c r="X52" s="8"/>
      <c r="Y52" s="4">
        <f>Tabel2[[#This Row],[Subtotaal waterbar]]+Tabel2[[#This Row],[Subtotaal koffieautomaten]]</f>
        <v>930</v>
      </c>
    </row>
    <row r="53" spans="1:25" x14ac:dyDescent="0.25">
      <c r="A53" s="28" t="s">
        <v>45</v>
      </c>
      <c r="B53" t="s">
        <v>101</v>
      </c>
      <c r="C53" t="s">
        <v>47</v>
      </c>
      <c r="E53">
        <v>384</v>
      </c>
      <c r="F53">
        <v>122</v>
      </c>
      <c r="G53">
        <v>43</v>
      </c>
      <c r="H53">
        <v>22</v>
      </c>
      <c r="J53">
        <v>170</v>
      </c>
      <c r="K53">
        <v>51</v>
      </c>
      <c r="L53">
        <v>17</v>
      </c>
      <c r="M53" s="3">
        <f>SUM(Tabel2[[#This Row],[Coffee]:[Latte Macchiato Plantaardig]])</f>
        <v>809</v>
      </c>
      <c r="N53">
        <v>29</v>
      </c>
      <c r="O53" s="2">
        <f>Tabel2[[#This Row],[kamertemp liter]]/0.15</f>
        <v>193.33333333333334</v>
      </c>
      <c r="P53">
        <v>75.8</v>
      </c>
      <c r="Q53" s="2">
        <f>Tabel2[[#This Row],[gekoeld liter]]/0.15</f>
        <v>505.33333333333331</v>
      </c>
      <c r="R53">
        <v>114.1</v>
      </c>
      <c r="S53" s="2">
        <f>Tabel2[[#This Row],[bruisend liter]]/0.15</f>
        <v>760.66666666666663</v>
      </c>
      <c r="T53">
        <v>43.5</v>
      </c>
      <c r="U53" s="2">
        <f>Tabel2[[#This Row],[licht bruisend liter]]/0.15</f>
        <v>290</v>
      </c>
      <c r="V53">
        <v>432.8</v>
      </c>
      <c r="W53" s="2">
        <f>Tabel2[[#This Row],[heet water liter]]/0.15</f>
        <v>2885.3333333333335</v>
      </c>
      <c r="X53" s="4">
        <f>Tabel2[[#This Row],[aantal consumpties5]]+Tabel2[[#This Row],[aantal consumpties4]]+Tabel2[[#This Row],[aantal consumpties3]]+Tabel2[[#This Row],[aantal consumpties2]]+Tabel2[[#This Row],[aantal consumpties]]</f>
        <v>4634.6666666666661</v>
      </c>
      <c r="Y53" s="4">
        <f>Tabel2[[#This Row],[Subtotaal waterbar]]+Tabel2[[#This Row],[Subtotaal koffieautomaten]]</f>
        <v>5443.6666666666661</v>
      </c>
    </row>
    <row r="54" spans="1:25" x14ac:dyDescent="0.25">
      <c r="A54" s="28" t="s">
        <v>48</v>
      </c>
      <c r="B54" t="s">
        <v>102</v>
      </c>
      <c r="C54" t="s">
        <v>31</v>
      </c>
      <c r="E54">
        <v>147</v>
      </c>
      <c r="F54">
        <v>10</v>
      </c>
      <c r="G54">
        <v>8</v>
      </c>
      <c r="H54">
        <v>9</v>
      </c>
      <c r="I54">
        <v>389</v>
      </c>
      <c r="J54">
        <v>73</v>
      </c>
      <c r="K54">
        <v>48</v>
      </c>
      <c r="L54">
        <v>6</v>
      </c>
      <c r="M54" s="3">
        <f>SUM(Tabel2[[#This Row],[Coffee]:[Latte Macchiato Plantaardig]])</f>
        <v>690</v>
      </c>
      <c r="N54" s="5"/>
      <c r="O54" s="7"/>
      <c r="P54" s="5"/>
      <c r="Q54" s="7"/>
      <c r="R54" s="5"/>
      <c r="S54" s="7"/>
      <c r="T54" s="5"/>
      <c r="U54" s="7"/>
      <c r="V54" s="5"/>
      <c r="W54" s="7"/>
      <c r="X54" s="8"/>
      <c r="Y54" s="4">
        <f>Tabel2[[#This Row],[Subtotaal waterbar]]+Tabel2[[#This Row],[Subtotaal koffieautomaten]]</f>
        <v>690</v>
      </c>
    </row>
    <row r="55" spans="1:25" x14ac:dyDescent="0.25">
      <c r="A55" s="28" t="s">
        <v>50</v>
      </c>
      <c r="B55" t="s">
        <v>103</v>
      </c>
      <c r="C55" t="s">
        <v>47</v>
      </c>
      <c r="E55">
        <v>449</v>
      </c>
      <c r="F55">
        <v>441</v>
      </c>
      <c r="G55">
        <v>39</v>
      </c>
      <c r="H55">
        <v>11</v>
      </c>
      <c r="J55">
        <v>484</v>
      </c>
      <c r="K55">
        <v>91</v>
      </c>
      <c r="L55">
        <v>18</v>
      </c>
      <c r="M55" s="3">
        <f>SUM(Tabel2[[#This Row],[Coffee]:[Latte Macchiato Plantaardig]])</f>
        <v>1533</v>
      </c>
      <c r="N55">
        <v>29.6</v>
      </c>
      <c r="O55" s="2">
        <f>Tabel2[[#This Row],[kamertemp liter]]/0.15</f>
        <v>197.33333333333334</v>
      </c>
      <c r="P55">
        <v>55.6</v>
      </c>
      <c r="Q55" s="2">
        <f>Tabel2[[#This Row],[gekoeld liter]]/0.15</f>
        <v>370.66666666666669</v>
      </c>
      <c r="R55">
        <v>124.1</v>
      </c>
      <c r="S55" s="2">
        <f>Tabel2[[#This Row],[bruisend liter]]/0.15</f>
        <v>827.33333333333337</v>
      </c>
      <c r="T55">
        <v>38.200000000000003</v>
      </c>
      <c r="U55" s="2">
        <f>Tabel2[[#This Row],[licht bruisend liter]]/0.15</f>
        <v>254.66666666666669</v>
      </c>
      <c r="V55">
        <v>396</v>
      </c>
      <c r="W55" s="2">
        <f>Tabel2[[#This Row],[heet water liter]]/0.15</f>
        <v>2640</v>
      </c>
      <c r="X55" s="4">
        <f>Tabel2[[#This Row],[aantal consumpties5]]+Tabel2[[#This Row],[aantal consumpties4]]+Tabel2[[#This Row],[aantal consumpties3]]+Tabel2[[#This Row],[aantal consumpties2]]+Tabel2[[#This Row],[aantal consumpties]]</f>
        <v>4290</v>
      </c>
      <c r="Y55" s="4">
        <f>Tabel2[[#This Row],[Subtotaal waterbar]]+Tabel2[[#This Row],[Subtotaal koffieautomaten]]</f>
        <v>5823</v>
      </c>
    </row>
    <row r="56" spans="1:25" x14ac:dyDescent="0.25">
      <c r="A56" s="28" t="s">
        <v>52</v>
      </c>
      <c r="B56" t="s">
        <v>104</v>
      </c>
      <c r="C56" t="s">
        <v>36</v>
      </c>
      <c r="E56" s="5"/>
      <c r="F56" s="5"/>
      <c r="G56" s="5"/>
      <c r="H56" s="5"/>
      <c r="I56" s="5"/>
      <c r="J56" s="5"/>
      <c r="K56" s="5"/>
      <c r="L56" s="5"/>
      <c r="M56" s="6">
        <f>SUM(Tabel2[[#This Row],[Coffee]:[Latte Macchiato Plantaardig]])</f>
        <v>0</v>
      </c>
      <c r="N56">
        <v>12.3</v>
      </c>
      <c r="O56" s="2">
        <f>Tabel2[[#This Row],[kamertemp liter]]/0.15</f>
        <v>82.000000000000014</v>
      </c>
      <c r="P56">
        <v>46.9</v>
      </c>
      <c r="Q56" s="2">
        <f>Tabel2[[#This Row],[gekoeld liter]]/0.15</f>
        <v>312.66666666666669</v>
      </c>
      <c r="R56">
        <v>55.7</v>
      </c>
      <c r="S56" s="2">
        <f>Tabel2[[#This Row],[bruisend liter]]/0.15</f>
        <v>371.33333333333337</v>
      </c>
      <c r="T56">
        <v>55.3</v>
      </c>
      <c r="U56" s="2">
        <f>Tabel2[[#This Row],[licht bruisend liter]]/0.15</f>
        <v>368.66666666666669</v>
      </c>
      <c r="V56">
        <v>520.20000000000005</v>
      </c>
      <c r="W56" s="2">
        <f>Tabel2[[#This Row],[heet water liter]]/0.15</f>
        <v>3468.0000000000005</v>
      </c>
      <c r="X56" s="4">
        <f>Tabel2[[#This Row],[aantal consumpties5]]+Tabel2[[#This Row],[aantal consumpties4]]+Tabel2[[#This Row],[aantal consumpties3]]+Tabel2[[#This Row],[aantal consumpties2]]+Tabel2[[#This Row],[aantal consumpties]]</f>
        <v>4602.666666666667</v>
      </c>
      <c r="Y56" s="4">
        <f>Tabel2[[#This Row],[Subtotaal waterbar]]+Tabel2[[#This Row],[Subtotaal koffieautomaten]]</f>
        <v>4602.666666666667</v>
      </c>
    </row>
    <row r="57" spans="1:25" x14ac:dyDescent="0.25">
      <c r="A57" s="28" t="s">
        <v>54</v>
      </c>
      <c r="B57" t="s">
        <v>105</v>
      </c>
      <c r="C57" t="s">
        <v>31</v>
      </c>
      <c r="E57">
        <v>200</v>
      </c>
      <c r="F57">
        <v>92</v>
      </c>
      <c r="G57">
        <v>21</v>
      </c>
      <c r="H57">
        <v>7</v>
      </c>
      <c r="I57">
        <v>561</v>
      </c>
      <c r="J57">
        <v>151</v>
      </c>
      <c r="K57">
        <v>22</v>
      </c>
      <c r="L57">
        <v>3</v>
      </c>
      <c r="M57" s="3">
        <f>SUM(Tabel2[[#This Row],[Coffee]:[Latte Macchiato Plantaardig]])</f>
        <v>1057</v>
      </c>
      <c r="N57" s="5"/>
      <c r="O57" s="7"/>
      <c r="P57" s="5"/>
      <c r="Q57" s="7"/>
      <c r="R57" s="5"/>
      <c r="S57" s="7"/>
      <c r="T57" s="5"/>
      <c r="U57" s="7"/>
      <c r="V57" s="5"/>
      <c r="W57" s="7"/>
      <c r="X57" s="8"/>
      <c r="Y57" s="4">
        <f>Tabel2[[#This Row],[Subtotaal waterbar]]+Tabel2[[#This Row],[Subtotaal koffieautomaten]]</f>
        <v>1057</v>
      </c>
    </row>
    <row r="58" spans="1:25" x14ac:dyDescent="0.25">
      <c r="A58" s="28" t="s">
        <v>56</v>
      </c>
      <c r="B58" t="s">
        <v>106</v>
      </c>
      <c r="C58" t="s">
        <v>47</v>
      </c>
      <c r="E58">
        <v>590</v>
      </c>
      <c r="F58">
        <v>193</v>
      </c>
      <c r="G58">
        <v>115</v>
      </c>
      <c r="H58">
        <v>14</v>
      </c>
      <c r="J58">
        <v>287</v>
      </c>
      <c r="K58">
        <v>125</v>
      </c>
      <c r="L58">
        <v>22</v>
      </c>
      <c r="M58" s="3">
        <f>SUM(Tabel2[[#This Row],[Coffee]:[Latte Macchiato Plantaardig]])</f>
        <v>1346</v>
      </c>
      <c r="N58">
        <v>16.8</v>
      </c>
      <c r="O58" s="2">
        <f>Tabel2[[#This Row],[kamertemp liter]]/0.15</f>
        <v>112.00000000000001</v>
      </c>
      <c r="P58">
        <v>101</v>
      </c>
      <c r="Q58" s="2">
        <f>Tabel2[[#This Row],[gekoeld liter]]/0.15</f>
        <v>673.33333333333337</v>
      </c>
      <c r="R58">
        <v>76.7</v>
      </c>
      <c r="S58" s="2">
        <f>Tabel2[[#This Row],[bruisend liter]]/0.15</f>
        <v>511.33333333333337</v>
      </c>
      <c r="T58">
        <v>59.7</v>
      </c>
      <c r="U58" s="2">
        <f>Tabel2[[#This Row],[licht bruisend liter]]/0.15</f>
        <v>398.00000000000006</v>
      </c>
      <c r="V58">
        <v>510.1</v>
      </c>
      <c r="W58" s="2">
        <f>Tabel2[[#This Row],[heet water liter]]/0.15</f>
        <v>3400.666666666667</v>
      </c>
      <c r="X58" s="4">
        <f>Tabel2[[#This Row],[aantal consumpties5]]+Tabel2[[#This Row],[aantal consumpties4]]+Tabel2[[#This Row],[aantal consumpties3]]+Tabel2[[#This Row],[aantal consumpties2]]+Tabel2[[#This Row],[aantal consumpties]]</f>
        <v>5095.333333333333</v>
      </c>
      <c r="Y58" s="4">
        <f>Tabel2[[#This Row],[Subtotaal waterbar]]+Tabel2[[#This Row],[Subtotaal koffieautomaten]]</f>
        <v>6441.333333333333</v>
      </c>
    </row>
    <row r="59" spans="1:25" x14ac:dyDescent="0.25">
      <c r="A59" s="28" t="s">
        <v>58</v>
      </c>
      <c r="B59" t="s">
        <v>107</v>
      </c>
      <c r="C59" t="s">
        <v>31</v>
      </c>
      <c r="E59">
        <v>145</v>
      </c>
      <c r="F59">
        <v>58</v>
      </c>
      <c r="G59">
        <v>8</v>
      </c>
      <c r="H59">
        <v>14</v>
      </c>
      <c r="I59">
        <v>479</v>
      </c>
      <c r="J59">
        <v>71</v>
      </c>
      <c r="K59">
        <v>59</v>
      </c>
      <c r="L59">
        <v>15</v>
      </c>
      <c r="M59" s="3">
        <f>SUM(Tabel2[[#This Row],[Coffee]:[Latte Macchiato Plantaardig]])</f>
        <v>849</v>
      </c>
      <c r="N59" s="5"/>
      <c r="O59" s="7"/>
      <c r="P59" s="5"/>
      <c r="Q59" s="7"/>
      <c r="R59" s="5"/>
      <c r="S59" s="7"/>
      <c r="T59" s="5"/>
      <c r="U59" s="7"/>
      <c r="V59" s="5"/>
      <c r="W59" s="7"/>
      <c r="X59" s="8"/>
      <c r="Y59" s="4">
        <f>Tabel2[[#This Row],[Subtotaal waterbar]]+Tabel2[[#This Row],[Subtotaal koffieautomaten]]</f>
        <v>849</v>
      </c>
    </row>
    <row r="60" spans="1:25" x14ac:dyDescent="0.25">
      <c r="A60" s="28" t="s">
        <v>60</v>
      </c>
      <c r="B60" t="s">
        <v>108</v>
      </c>
      <c r="C60" t="s">
        <v>36</v>
      </c>
      <c r="E60" s="5"/>
      <c r="F60" s="5"/>
      <c r="G60" s="5"/>
      <c r="H60" s="5"/>
      <c r="I60" s="5"/>
      <c r="J60" s="5"/>
      <c r="K60" s="5"/>
      <c r="L60" s="5"/>
      <c r="M60" s="6">
        <f>SUM(Tabel2[[#This Row],[Coffee]:[Latte Macchiato Plantaardig]])</f>
        <v>0</v>
      </c>
      <c r="N60">
        <v>45.1</v>
      </c>
      <c r="O60" s="2">
        <f>Tabel2[[#This Row],[kamertemp liter]]/0.15</f>
        <v>300.66666666666669</v>
      </c>
      <c r="P60">
        <v>96.2</v>
      </c>
      <c r="Q60" s="2">
        <f>Tabel2[[#This Row],[gekoeld liter]]/0.15</f>
        <v>641.33333333333337</v>
      </c>
      <c r="R60">
        <v>66.5</v>
      </c>
      <c r="S60" s="2">
        <f>Tabel2[[#This Row],[bruisend liter]]/0.15</f>
        <v>443.33333333333337</v>
      </c>
      <c r="T60">
        <v>42.4</v>
      </c>
      <c r="U60" s="2">
        <f>Tabel2[[#This Row],[licht bruisend liter]]/0.15</f>
        <v>282.66666666666669</v>
      </c>
      <c r="V60">
        <v>343.1</v>
      </c>
      <c r="W60" s="2">
        <f>Tabel2[[#This Row],[heet water liter]]/0.15</f>
        <v>2287.3333333333335</v>
      </c>
      <c r="X60" s="4">
        <f>Tabel2[[#This Row],[aantal consumpties5]]+Tabel2[[#This Row],[aantal consumpties4]]+Tabel2[[#This Row],[aantal consumpties3]]+Tabel2[[#This Row],[aantal consumpties2]]+Tabel2[[#This Row],[aantal consumpties]]</f>
        <v>3955.3333333333335</v>
      </c>
      <c r="Y60" s="4">
        <f>Tabel2[[#This Row],[Subtotaal waterbar]]+Tabel2[[#This Row],[Subtotaal koffieautomaten]]</f>
        <v>3955.3333333333335</v>
      </c>
    </row>
    <row r="61" spans="1:25" x14ac:dyDescent="0.25">
      <c r="A61" s="3" t="s">
        <v>109</v>
      </c>
      <c r="M61" s="3"/>
      <c r="O61" s="2"/>
      <c r="Q61" s="2"/>
      <c r="S61" s="2"/>
      <c r="U61" s="2"/>
      <c r="W61" s="2"/>
      <c r="X61" s="4"/>
      <c r="Y61" s="4"/>
    </row>
    <row r="62" spans="1:25" x14ac:dyDescent="0.25">
      <c r="A62" s="28">
        <v>1</v>
      </c>
      <c r="B62" t="s">
        <v>110</v>
      </c>
      <c r="C62" t="s">
        <v>31</v>
      </c>
      <c r="E62">
        <v>258</v>
      </c>
      <c r="F62">
        <v>17</v>
      </c>
      <c r="G62">
        <v>31</v>
      </c>
      <c r="H62">
        <v>23</v>
      </c>
      <c r="I62">
        <v>159</v>
      </c>
      <c r="J62">
        <v>65</v>
      </c>
      <c r="K62">
        <v>2</v>
      </c>
      <c r="L62">
        <v>10</v>
      </c>
      <c r="M62" s="3">
        <f>SUM(Tabel2[[#This Row],[Coffee]:[Latte Macchiato Plantaardig]])</f>
        <v>565</v>
      </c>
      <c r="N62" s="5"/>
      <c r="O62" s="5"/>
      <c r="P62" s="5"/>
      <c r="Q62" s="5"/>
      <c r="R62" s="5"/>
      <c r="S62" s="5"/>
      <c r="T62" s="5"/>
      <c r="U62" s="5"/>
      <c r="V62" s="5"/>
      <c r="W62" s="7"/>
      <c r="X62" s="8"/>
      <c r="Y62" s="4">
        <f>Tabel2[[#This Row],[Subtotaal waterbar]]+Tabel2[[#This Row],[Subtotaal koffieautomaten]]</f>
        <v>565</v>
      </c>
    </row>
    <row r="63" spans="1:25" x14ac:dyDescent="0.25">
      <c r="A63" s="28">
        <v>1</v>
      </c>
      <c r="B63" t="s">
        <v>111</v>
      </c>
      <c r="C63" t="s">
        <v>31</v>
      </c>
      <c r="H63">
        <v>32</v>
      </c>
      <c r="I63">
        <v>146</v>
      </c>
      <c r="J63">
        <v>53</v>
      </c>
      <c r="K63">
        <v>11</v>
      </c>
      <c r="L63">
        <v>5</v>
      </c>
      <c r="M63" s="3">
        <f>SUM(Tabel2[[#This Row],[Coffee]:[Latte Macchiato Plantaardig]])</f>
        <v>247</v>
      </c>
      <c r="N63" s="5"/>
      <c r="O63" s="5"/>
      <c r="P63" s="5"/>
      <c r="Q63" s="5"/>
      <c r="R63" s="5"/>
      <c r="S63" s="5"/>
      <c r="T63" s="5"/>
      <c r="U63" s="5"/>
      <c r="V63" s="5"/>
      <c r="W63" s="7"/>
      <c r="X63" s="8"/>
      <c r="Y63" s="4">
        <f>Tabel2[[#This Row],[Subtotaal waterbar]]+Tabel2[[#This Row],[Subtotaal koffieautomaten]]</f>
        <v>247</v>
      </c>
    </row>
    <row r="64" spans="1:25" x14ac:dyDescent="0.25">
      <c r="A64" s="3" t="s">
        <v>112</v>
      </c>
      <c r="E64">
        <f t="shared" ref="E64:K64" si="0">SUM(E3:E63)</f>
        <v>23006</v>
      </c>
      <c r="F64">
        <f t="shared" si="0"/>
        <v>6549</v>
      </c>
      <c r="G64">
        <f t="shared" si="0"/>
        <v>3039</v>
      </c>
      <c r="H64">
        <f t="shared" si="0"/>
        <v>1600</v>
      </c>
      <c r="I64">
        <f t="shared" si="0"/>
        <v>25847</v>
      </c>
      <c r="J64">
        <f t="shared" si="0"/>
        <v>13251</v>
      </c>
      <c r="K64">
        <f t="shared" si="0"/>
        <v>3831</v>
      </c>
      <c r="L64">
        <f>SUM(L3:L63)</f>
        <v>1302</v>
      </c>
      <c r="M64" s="3">
        <f>SUM(M3:M63)</f>
        <v>78425</v>
      </c>
      <c r="N64">
        <f>SUM(N3:N63)</f>
        <v>510.50000000000006</v>
      </c>
      <c r="O64" s="2">
        <f>SUM(O3:O63)</f>
        <v>3403.3333333333339</v>
      </c>
      <c r="P64" s="2">
        <f t="shared" ref="P64:W64" si="1">SUM(P3:P63)</f>
        <v>2112.8999999999996</v>
      </c>
      <c r="Q64" s="2">
        <f t="shared" si="1"/>
        <v>14086.000000000002</v>
      </c>
      <c r="R64" s="2">
        <f t="shared" si="1"/>
        <v>2469.8999999999992</v>
      </c>
      <c r="S64" s="2">
        <f t="shared" si="1"/>
        <v>16466.000000000004</v>
      </c>
      <c r="T64" s="2">
        <f t="shared" si="1"/>
        <v>1370.6</v>
      </c>
      <c r="U64" s="2">
        <f t="shared" si="1"/>
        <v>9137.3333333333339</v>
      </c>
      <c r="V64" s="2">
        <f t="shared" si="1"/>
        <v>10651.1</v>
      </c>
      <c r="W64" s="2">
        <f t="shared" si="1"/>
        <v>71007.333333333328</v>
      </c>
      <c r="X64" s="4">
        <f>SUM(X3:X63)</f>
        <v>114100</v>
      </c>
      <c r="Y64" s="4">
        <f>Tabel2[[#This Row],[Subtotaal waterbar]]+Tabel2[[#This Row],[Subtotaal koffieautomaten]]</f>
        <v>192525</v>
      </c>
    </row>
    <row r="65" spans="24:27" x14ac:dyDescent="0.25">
      <c r="X65" s="3"/>
      <c r="Y65" s="3"/>
    </row>
    <row r="66" spans="24:27" x14ac:dyDescent="0.25">
      <c r="AA66" s="2">
        <f>Y64-O64-Q64</f>
        <v>175035.66666666666</v>
      </c>
    </row>
  </sheetData>
  <mergeCells count="3">
    <mergeCell ref="E1:M1"/>
    <mergeCell ref="N1:Y1"/>
    <mergeCell ref="A1:D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C992A-3C11-404A-B6A4-C581F8926E46}">
  <dimension ref="A1:AZ71"/>
  <sheetViews>
    <sheetView topLeftCell="A46" workbookViewId="0">
      <pane xSplit="1" topLeftCell="AN1" activePane="topRight" state="frozen"/>
      <selection activeCell="G19" sqref="G19"/>
      <selection pane="topRight" activeCell="G19" sqref="G19"/>
    </sheetView>
  </sheetViews>
  <sheetFormatPr defaultRowHeight="15" x14ac:dyDescent="0.25"/>
  <cols>
    <col min="1" max="1" width="32.140625" bestFit="1" customWidth="1"/>
    <col min="2" max="2" width="21.42578125" bestFit="1" customWidth="1"/>
    <col min="3" max="3" width="25.42578125" bestFit="1" customWidth="1"/>
    <col min="4" max="4" width="18.5703125" customWidth="1"/>
    <col min="5" max="5" width="10.140625" style="11" customWidth="1"/>
    <col min="6" max="6" width="10.42578125" customWidth="1"/>
    <col min="7" max="7" width="10.5703125" style="12" customWidth="1"/>
    <col min="8" max="8" width="11.85546875" customWidth="1"/>
    <col min="9" max="9" width="11.7109375" customWidth="1"/>
    <col min="10" max="10" width="12.42578125" customWidth="1"/>
    <col min="11" max="11" width="17.140625" customWidth="1"/>
    <col min="12" max="12" width="13.5703125" customWidth="1"/>
    <col min="13" max="13" width="13.42578125" bestFit="1" customWidth="1"/>
    <col min="14" max="14" width="14" style="11" customWidth="1"/>
    <col min="15" max="16" width="14" customWidth="1"/>
    <col min="17" max="17" width="14.140625" style="11" customWidth="1"/>
    <col min="18" max="19" width="12.28515625" customWidth="1"/>
    <col min="20" max="20" width="12.42578125" style="11" customWidth="1"/>
    <col min="21" max="22" width="12.42578125" customWidth="1"/>
    <col min="23" max="23" width="17" style="11" customWidth="1"/>
    <col min="24" max="25" width="17" customWidth="1"/>
    <col min="26" max="26" width="20.7109375" style="11" customWidth="1"/>
    <col min="27" max="27" width="20.7109375" customWidth="1"/>
    <col min="28" max="28" width="20.7109375" style="12" customWidth="1"/>
    <col min="29" max="29" width="13.85546875" customWidth="1"/>
    <col min="30" max="30" width="17.5703125" style="11" customWidth="1"/>
    <col min="31" max="32" width="17.5703125" customWidth="1"/>
    <col min="33" max="33" width="20.28515625" customWidth="1"/>
    <col min="34" max="34" width="14.42578125" style="11" customWidth="1"/>
    <col min="35" max="36" width="14.42578125" customWidth="1"/>
    <col min="37" max="37" width="21.28515625" customWidth="1"/>
    <col min="38" max="38" width="15.140625" style="11" customWidth="1"/>
    <col min="39" max="40" width="15.140625" customWidth="1"/>
    <col min="41" max="41" width="21.28515625" customWidth="1"/>
    <col min="42" max="42" width="19.42578125" style="11" customWidth="1"/>
    <col min="43" max="44" width="19.42578125" customWidth="1"/>
    <col min="45" max="45" width="21.28515625" customWidth="1"/>
    <col min="46" max="46" width="17" style="11" customWidth="1"/>
    <col min="47" max="48" width="17" customWidth="1"/>
    <col min="49" max="49" width="21.28515625" style="12" customWidth="1"/>
    <col min="50" max="50" width="20" customWidth="1"/>
    <col min="51" max="51" width="14.140625" customWidth="1"/>
  </cols>
  <sheetData>
    <row r="1" spans="1:51" x14ac:dyDescent="0.25">
      <c r="A1" s="172" t="s">
        <v>0</v>
      </c>
      <c r="B1" s="172"/>
      <c r="C1" s="172"/>
      <c r="D1" s="172"/>
      <c r="E1" s="172" t="s">
        <v>1</v>
      </c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 t="s">
        <v>2</v>
      </c>
      <c r="AE1" s="172"/>
      <c r="AF1" s="172"/>
      <c r="AG1" s="172"/>
      <c r="AH1" s="172"/>
      <c r="AI1" s="172"/>
      <c r="AJ1" s="172"/>
      <c r="AK1" s="172"/>
      <c r="AL1" s="172"/>
      <c r="AM1" s="172"/>
      <c r="AN1" s="172"/>
      <c r="AO1" s="172"/>
      <c r="AP1" s="172"/>
      <c r="AQ1" s="172"/>
      <c r="AR1" s="172"/>
      <c r="AS1" s="172"/>
      <c r="AT1" s="172"/>
      <c r="AU1" s="172"/>
      <c r="AV1" s="172"/>
      <c r="AW1" s="172"/>
      <c r="AX1" s="172"/>
      <c r="AY1" s="172"/>
    </row>
    <row r="2" spans="1:51" ht="60" x14ac:dyDescent="0.25">
      <c r="A2" t="s">
        <v>3</v>
      </c>
      <c r="B2" t="s">
        <v>4</v>
      </c>
      <c r="C2" t="s">
        <v>5</v>
      </c>
      <c r="D2" t="s">
        <v>6</v>
      </c>
      <c r="E2" s="9" t="s">
        <v>113</v>
      </c>
      <c r="F2" s="1" t="s">
        <v>114</v>
      </c>
      <c r="G2" s="10" t="s">
        <v>115</v>
      </c>
      <c r="H2" s="1" t="s">
        <v>116</v>
      </c>
      <c r="I2" s="1" t="s">
        <v>117</v>
      </c>
      <c r="J2" s="1" t="s">
        <v>118</v>
      </c>
      <c r="K2" s="1" t="s">
        <v>119</v>
      </c>
      <c r="L2" s="1" t="s">
        <v>120</v>
      </c>
      <c r="M2" s="1" t="s">
        <v>121</v>
      </c>
      <c r="N2" s="9" t="s">
        <v>122</v>
      </c>
      <c r="O2" s="1" t="s">
        <v>123</v>
      </c>
      <c r="P2" s="1" t="s">
        <v>124</v>
      </c>
      <c r="Q2" s="9" t="s">
        <v>125</v>
      </c>
      <c r="R2" s="1" t="s">
        <v>126</v>
      </c>
      <c r="S2" s="1" t="s">
        <v>127</v>
      </c>
      <c r="T2" s="9" t="s">
        <v>128</v>
      </c>
      <c r="U2" s="1" t="s">
        <v>129</v>
      </c>
      <c r="V2" s="1" t="s">
        <v>130</v>
      </c>
      <c r="W2" s="9" t="s">
        <v>131</v>
      </c>
      <c r="X2" s="1" t="s">
        <v>132</v>
      </c>
      <c r="Y2" s="1" t="s">
        <v>133</v>
      </c>
      <c r="Z2" s="9" t="s">
        <v>134</v>
      </c>
      <c r="AA2" s="1" t="s">
        <v>135</v>
      </c>
      <c r="AB2" s="10" t="s">
        <v>136</v>
      </c>
      <c r="AC2" s="1" t="s">
        <v>15</v>
      </c>
      <c r="AD2" s="9" t="s">
        <v>137</v>
      </c>
      <c r="AE2" s="1" t="s">
        <v>138</v>
      </c>
      <c r="AF2" s="1" t="s">
        <v>139</v>
      </c>
      <c r="AG2" s="1" t="s">
        <v>140</v>
      </c>
      <c r="AH2" s="9" t="s">
        <v>141</v>
      </c>
      <c r="AI2" s="1" t="s">
        <v>142</v>
      </c>
      <c r="AJ2" s="1" t="s">
        <v>143</v>
      </c>
      <c r="AK2" s="1" t="s">
        <v>144</v>
      </c>
      <c r="AL2" s="9" t="s">
        <v>145</v>
      </c>
      <c r="AM2" s="1" t="s">
        <v>146</v>
      </c>
      <c r="AN2" s="1" t="s">
        <v>147</v>
      </c>
      <c r="AO2" s="1" t="s">
        <v>148</v>
      </c>
      <c r="AP2" s="9" t="s">
        <v>149</v>
      </c>
      <c r="AQ2" s="1" t="s">
        <v>150</v>
      </c>
      <c r="AR2" s="1" t="s">
        <v>151</v>
      </c>
      <c r="AS2" s="1" t="s">
        <v>152</v>
      </c>
      <c r="AT2" s="9" t="s">
        <v>153</v>
      </c>
      <c r="AU2" s="1" t="s">
        <v>154</v>
      </c>
      <c r="AV2" s="1" t="s">
        <v>155</v>
      </c>
      <c r="AW2" s="10" t="s">
        <v>156</v>
      </c>
      <c r="AX2" s="1" t="s">
        <v>157</v>
      </c>
      <c r="AY2" t="s">
        <v>27</v>
      </c>
    </row>
    <row r="3" spans="1:51" x14ac:dyDescent="0.25">
      <c r="A3" s="3" t="s">
        <v>28</v>
      </c>
      <c r="E3" s="25"/>
      <c r="H3" s="27"/>
      <c r="I3" s="18"/>
      <c r="J3" s="19"/>
      <c r="K3" s="27"/>
      <c r="L3" s="18"/>
      <c r="M3" s="18"/>
      <c r="N3" s="25"/>
      <c r="Q3" s="25"/>
      <c r="T3" s="25"/>
      <c r="W3" s="25"/>
      <c r="Z3" s="25"/>
      <c r="AC3" s="3"/>
      <c r="AG3" s="2"/>
      <c r="AH3" s="25"/>
      <c r="AK3" s="2"/>
      <c r="AL3" s="25"/>
      <c r="AO3" s="2"/>
      <c r="AP3" s="25"/>
      <c r="AS3" s="2"/>
      <c r="AT3" s="25"/>
      <c r="AW3" s="20"/>
      <c r="AX3" s="4"/>
      <c r="AY3" s="4">
        <f>Tabel242567891011[[#This Row],[Subtotaal waterbar in consumpties]]+Tabel242567891011[[#This Row],[Subtotaal koffieautomaten]]</f>
        <v>0</v>
      </c>
    </row>
    <row r="4" spans="1:51" x14ac:dyDescent="0.25">
      <c r="A4" t="s">
        <v>29</v>
      </c>
      <c r="B4" t="s">
        <v>30</v>
      </c>
      <c r="C4" t="s">
        <v>31</v>
      </c>
      <c r="E4" s="11">
        <v>1802</v>
      </c>
      <c r="F4" s="11">
        <v>1621</v>
      </c>
      <c r="G4" s="12">
        <f>Tabel242567891011[[#This Row],[Stand Coffee einde maand]]-Tabel242567891011[[#This Row],[Coffee vorige maand]]</f>
        <v>181</v>
      </c>
      <c r="H4" s="11">
        <v>742</v>
      </c>
      <c r="I4" s="11">
        <v>602</v>
      </c>
      <c r="J4" s="12">
        <f>Tabel242567891011[[#This Row],[Stand Espresso Einde maand]]-Tabel242567891011[[#This Row],[Espresso vorige maand]]</f>
        <v>140</v>
      </c>
      <c r="K4" s="11">
        <v>752</v>
      </c>
      <c r="L4" s="11">
        <v>656</v>
      </c>
      <c r="M4">
        <f>Tabel242567891011[[#This Row],[Stand Latte Macchiato einde maand]]-Tabel242567891011[[#This Row],[Latte Macchiato vorige maand]]</f>
        <v>96</v>
      </c>
      <c r="N4" s="11">
        <v>657</v>
      </c>
      <c r="O4" s="11">
        <v>626</v>
      </c>
      <c r="P4">
        <f>Tabel242567891011[[#This Row],[Stand Coffee Latte einde maand]]-Tabel242567891011[[#This Row],[Coffee Latte vorige maand]]</f>
        <v>31</v>
      </c>
      <c r="Q4" s="11">
        <v>2808</v>
      </c>
      <c r="R4" s="11">
        <v>2564</v>
      </c>
      <c r="S4">
        <f>Tabel242567891011[[#This Row],[Stand Hot Water einde maand]]-Tabel242567891011[[#This Row],[Hot Water vorige maand]]</f>
        <v>244</v>
      </c>
      <c r="T4" s="11">
        <v>2842</v>
      </c>
      <c r="U4" s="11">
        <v>2550</v>
      </c>
      <c r="V4">
        <f>Tabel242567891011[[#This Row],[Stand Cappucino einde maand]]-Tabel242567891011[[#This Row],[Stand Cappucino vorige maand]]</f>
        <v>292</v>
      </c>
      <c r="W4" s="11">
        <v>87</v>
      </c>
      <c r="X4" s="11">
        <v>70</v>
      </c>
      <c r="Y4">
        <f>Tabel242567891011[[#This Row],[Stand Cappucino Plantaardig einde maand]]-Tabel242567891011[[#This Row],[Stand Cappucino Plantaardig vorige maand]]</f>
        <v>17</v>
      </c>
      <c r="Z4" s="11">
        <v>82</v>
      </c>
      <c r="AA4" s="11">
        <v>79</v>
      </c>
      <c r="AB4" s="12">
        <f>Tabel242567891011[[#This Row],[Stand Latte Macchiato Plantaardig einde maand]]-Tabel242567891011[[#This Row],[Stand Latte Macchiato Plantaardig vorige maand]]</f>
        <v>3</v>
      </c>
      <c r="AC4" s="3">
        <f>Tabel242567891011[[#This Row],[Verbruik Stand Latte Macchiato Plantaardig deze maand]]+Tabel242567891011[[#This Row],[Verbruik  Cappucino Plantaardig deze maand]]+Tabel242567891011[[#This Row],[Verbruik Cappucino deze maand]]+Tabel242567891011[[#This Row],[Verbruik Hot Water deze maand]]+Tabel242567891011[[#This Row],[Verbruik Coffee Latte deze maand]]+Tabel242567891011[[#This Row],[Verbruik Latte Macchiato deze maand]]+Tabel242567891011[[#This Row],[Verbruik Espresso deze maand]]+Tabel242567891011[[#This Row],[Verbruik Coffee deze maand]]</f>
        <v>1004</v>
      </c>
      <c r="AD4" s="26"/>
      <c r="AE4" s="26"/>
      <c r="AF4" s="5"/>
      <c r="AG4" s="5"/>
      <c r="AH4" s="26"/>
      <c r="AI4" s="26"/>
      <c r="AJ4" s="5"/>
      <c r="AK4" s="5"/>
      <c r="AL4" s="26"/>
      <c r="AM4" s="26"/>
      <c r="AN4" s="5"/>
      <c r="AO4" s="5"/>
      <c r="AP4" s="26"/>
      <c r="AQ4" s="26"/>
      <c r="AR4" s="5"/>
      <c r="AS4" s="5"/>
      <c r="AT4" s="26"/>
      <c r="AU4" s="26"/>
      <c r="AV4" s="5"/>
      <c r="AW4" s="21"/>
      <c r="AX4" s="8"/>
      <c r="AY4" s="4">
        <f>Tabel242567891011[[#This Row],[Subtotaal waterbar in consumpties]]+Tabel242567891011[[#This Row],[Subtotaal koffieautomaten]]</f>
        <v>1004</v>
      </c>
    </row>
    <row r="5" spans="1:51" x14ac:dyDescent="0.25">
      <c r="A5" t="s">
        <v>32</v>
      </c>
      <c r="B5" t="s">
        <v>33</v>
      </c>
      <c r="C5" t="s">
        <v>31</v>
      </c>
      <c r="E5" s="11">
        <v>3752</v>
      </c>
      <c r="F5" s="11">
        <v>3264</v>
      </c>
      <c r="G5" s="12">
        <f>Tabel242567891011[[#This Row],[Stand Coffee einde maand]]-Tabel242567891011[[#This Row],[Coffee vorige maand]]</f>
        <v>488</v>
      </c>
      <c r="H5" s="11">
        <v>1178</v>
      </c>
      <c r="I5" s="11">
        <v>963</v>
      </c>
      <c r="J5" s="12">
        <f>Tabel242567891011[[#This Row],[Stand Espresso Einde maand]]-Tabel242567891011[[#This Row],[Espresso vorige maand]]</f>
        <v>215</v>
      </c>
      <c r="K5" s="11">
        <v>895</v>
      </c>
      <c r="L5" s="11">
        <v>812</v>
      </c>
      <c r="M5">
        <f>Tabel242567891011[[#This Row],[Stand Latte Macchiato einde maand]]-Tabel242567891011[[#This Row],[Latte Macchiato vorige maand]]</f>
        <v>83</v>
      </c>
      <c r="N5" s="11">
        <v>979</v>
      </c>
      <c r="O5" s="11">
        <v>890</v>
      </c>
      <c r="P5">
        <f>Tabel242567891011[[#This Row],[Stand Coffee Latte einde maand]]-Tabel242567891011[[#This Row],[Coffee Latte vorige maand]]</f>
        <v>89</v>
      </c>
      <c r="Q5" s="11">
        <v>8589</v>
      </c>
      <c r="R5" s="11">
        <v>7692</v>
      </c>
      <c r="S5">
        <f>Tabel242567891011[[#This Row],[Stand Hot Water einde maand]]-Tabel242567891011[[#This Row],[Hot Water vorige maand]]</f>
        <v>897</v>
      </c>
      <c r="T5" s="11">
        <v>4986</v>
      </c>
      <c r="U5" s="11">
        <v>4547</v>
      </c>
      <c r="V5">
        <f>Tabel242567891011[[#This Row],[Stand Cappucino einde maand]]-Tabel242567891011[[#This Row],[Stand Cappucino vorige maand]]</f>
        <v>439</v>
      </c>
      <c r="W5" s="11">
        <v>661</v>
      </c>
      <c r="X5" s="11">
        <v>604</v>
      </c>
      <c r="Y5">
        <f>Tabel242567891011[[#This Row],[Stand Cappucino Plantaardig einde maand]]-Tabel242567891011[[#This Row],[Stand Cappucino Plantaardig vorige maand]]</f>
        <v>57</v>
      </c>
      <c r="Z5" s="11">
        <v>390</v>
      </c>
      <c r="AA5" s="11">
        <v>354</v>
      </c>
      <c r="AB5" s="12">
        <f>Tabel242567891011[[#This Row],[Stand Latte Macchiato Plantaardig einde maand]]-Tabel242567891011[[#This Row],[Stand Latte Macchiato Plantaardig vorige maand]]</f>
        <v>36</v>
      </c>
      <c r="AC5" s="3">
        <f>Tabel242567891011[[#This Row],[Verbruik Stand Latte Macchiato Plantaardig deze maand]]+Tabel242567891011[[#This Row],[Verbruik  Cappucino Plantaardig deze maand]]+Tabel242567891011[[#This Row],[Verbruik Cappucino deze maand]]+Tabel242567891011[[#This Row],[Verbruik Hot Water deze maand]]+Tabel242567891011[[#This Row],[Verbruik Coffee Latte deze maand]]+Tabel242567891011[[#This Row],[Verbruik Latte Macchiato deze maand]]+Tabel242567891011[[#This Row],[Verbruik Espresso deze maand]]+Tabel242567891011[[#This Row],[Verbruik Coffee deze maand]]</f>
        <v>2304</v>
      </c>
      <c r="AD5" s="26"/>
      <c r="AE5" s="26"/>
      <c r="AF5" s="5"/>
      <c r="AG5" s="5"/>
      <c r="AH5" s="26"/>
      <c r="AI5" s="26"/>
      <c r="AJ5" s="5"/>
      <c r="AK5" s="5"/>
      <c r="AL5" s="26"/>
      <c r="AM5" s="26"/>
      <c r="AN5" s="5"/>
      <c r="AO5" s="5"/>
      <c r="AP5" s="26"/>
      <c r="AQ5" s="26"/>
      <c r="AR5" s="5"/>
      <c r="AS5" s="5"/>
      <c r="AT5" s="26"/>
      <c r="AU5" s="26"/>
      <c r="AV5" s="5"/>
      <c r="AW5" s="21"/>
      <c r="AX5" s="8"/>
      <c r="AY5" s="4">
        <f>Tabel242567891011[[#This Row],[Subtotaal waterbar in consumpties]]+Tabel242567891011[[#This Row],[Subtotaal koffieautomaten]]</f>
        <v>2304</v>
      </c>
    </row>
    <row r="6" spans="1:51" x14ac:dyDescent="0.25">
      <c r="A6" t="s">
        <v>34</v>
      </c>
      <c r="B6" t="s">
        <v>35</v>
      </c>
      <c r="C6" t="s">
        <v>47</v>
      </c>
      <c r="E6" s="11">
        <v>2493</v>
      </c>
      <c r="F6" s="11">
        <v>1916</v>
      </c>
      <c r="G6" s="12">
        <f>Tabel242567891011[[#This Row],[Stand Coffee einde maand]]-Tabel242567891011[[#This Row],[Coffee vorige maand]]</f>
        <v>577</v>
      </c>
      <c r="H6" s="11">
        <v>430</v>
      </c>
      <c r="I6" s="11">
        <v>294</v>
      </c>
      <c r="J6" s="12">
        <f>Tabel242567891011[[#This Row],[Stand Espresso Einde maand]]-Tabel242567891011[[#This Row],[Espresso vorige maand]]</f>
        <v>136</v>
      </c>
      <c r="K6" s="11">
        <v>522</v>
      </c>
      <c r="L6" s="11">
        <v>394</v>
      </c>
      <c r="M6">
        <f>Tabel242567891011[[#This Row],[Stand Latte Macchiato einde maand]]-Tabel242567891011[[#This Row],[Latte Macchiato vorige maand]]</f>
        <v>128</v>
      </c>
      <c r="N6" s="11">
        <v>460</v>
      </c>
      <c r="O6" s="11">
        <v>363</v>
      </c>
      <c r="P6">
        <f>Tabel242567891011[[#This Row],[Stand Coffee Latte einde maand]]-Tabel242567891011[[#This Row],[Coffee Latte vorige maand]]</f>
        <v>97</v>
      </c>
      <c r="Q6" s="11">
        <v>2759</v>
      </c>
      <c r="R6" s="11">
        <v>2132</v>
      </c>
      <c r="S6">
        <f>Tabel242567891011[[#This Row],[Stand Hot Water einde maand]]-Tabel242567891011[[#This Row],[Hot Water vorige maand]]</f>
        <v>627</v>
      </c>
      <c r="T6" s="11">
        <v>3415</v>
      </c>
      <c r="U6" s="11">
        <v>2733</v>
      </c>
      <c r="V6">
        <f>Tabel242567891011[[#This Row],[Stand Cappucino einde maand]]-Tabel242567891011[[#This Row],[Stand Cappucino vorige maand]]</f>
        <v>682</v>
      </c>
      <c r="W6" s="11">
        <v>290</v>
      </c>
      <c r="X6" s="11">
        <v>229</v>
      </c>
      <c r="Y6">
        <f>Tabel242567891011[[#This Row],[Stand Cappucino Plantaardig einde maand]]-Tabel242567891011[[#This Row],[Stand Cappucino Plantaardig vorige maand]]</f>
        <v>61</v>
      </c>
      <c r="Z6" s="11">
        <v>159</v>
      </c>
      <c r="AA6" s="11">
        <v>134</v>
      </c>
      <c r="AB6" s="12">
        <f>Tabel242567891011[[#This Row],[Stand Latte Macchiato Plantaardig einde maand]]-Tabel242567891011[[#This Row],[Stand Latte Macchiato Plantaardig vorige maand]]</f>
        <v>25</v>
      </c>
      <c r="AC6" s="3">
        <f>Tabel242567891011[[#This Row],[Verbruik Stand Latte Macchiato Plantaardig deze maand]]+Tabel242567891011[[#This Row],[Verbruik  Cappucino Plantaardig deze maand]]+Tabel242567891011[[#This Row],[Verbruik Cappucino deze maand]]+Tabel242567891011[[#This Row],[Verbruik Hot Water deze maand]]+Tabel242567891011[[#This Row],[Verbruik Coffee Latte deze maand]]+Tabel242567891011[[#This Row],[Verbruik Latte Macchiato deze maand]]+Tabel242567891011[[#This Row],[Verbruik Espresso deze maand]]+Tabel242567891011[[#This Row],[Verbruik Coffee deze maand]]</f>
        <v>2333</v>
      </c>
      <c r="AD6" s="11">
        <v>153</v>
      </c>
      <c r="AE6" s="11">
        <v>125</v>
      </c>
      <c r="AF6">
        <f>Tabel242567891011[[#This Row],[Stand Kamertemp liter einde maand]]-Tabel242567891011[[#This Row],[Stand Kamertemp liter vorige maand]]</f>
        <v>28</v>
      </c>
      <c r="AG6" s="2">
        <f>Tabel242567891011[[#This Row],[Verbruik Kamertemp liter deze maand]]/0.15</f>
        <v>186.66666666666669</v>
      </c>
      <c r="AH6" s="11">
        <v>1399.4</v>
      </c>
      <c r="AI6" s="11">
        <v>1183.8</v>
      </c>
      <c r="AJ6">
        <f>Tabel242567891011[[#This Row],[Stand Gekoeld liter einde maand]]-Tabel242567891011[[#This Row],[Stand Gekoeld liter vorige maand]]</f>
        <v>215.60000000000014</v>
      </c>
      <c r="AK6" s="2">
        <f>Tabel242567891011[[#This Row],[Verbruik Gekoeld liter deze maand]]/0.15</f>
        <v>1437.3333333333344</v>
      </c>
      <c r="AL6" s="11">
        <v>834.7</v>
      </c>
      <c r="AM6" s="11">
        <v>700.5</v>
      </c>
      <c r="AN6">
        <f>Tabel242567891011[[#This Row],[Stand Bruisend liter einde maand]]-Tabel242567891011[[#This Row],[Stand Bruisend liter vorige maand]]</f>
        <v>134.20000000000005</v>
      </c>
      <c r="AO6" s="2">
        <f>Tabel242567891011[[#This Row],[Verbruik Bruisend liter deze maand]]/0.15</f>
        <v>894.66666666666697</v>
      </c>
      <c r="AP6" s="11">
        <v>301.39999999999998</v>
      </c>
      <c r="AQ6" s="11">
        <v>269.5</v>
      </c>
      <c r="AR6">
        <f>Tabel242567891011[[#This Row],[Stand licht bruisend liter einde maand]]-Tabel242567891011[[#This Row],[Stand licht bruisend liter vorige maand]]</f>
        <v>31.899999999999977</v>
      </c>
      <c r="AS6" s="2">
        <f>Tabel242567891011[[#This Row],[Verbruik licht bruisend liter deze maand]]/0.15</f>
        <v>212.66666666666652</v>
      </c>
      <c r="AT6" s="11">
        <v>1293.3</v>
      </c>
      <c r="AU6" s="11">
        <v>1121.4000000000001</v>
      </c>
      <c r="AV6">
        <f>Tabel242567891011[[#This Row],[Stand heet water liter einde maand]]-Tabel242567891011[[#This Row],[Stand heet water liter vorige maand]]</f>
        <v>171.89999999999986</v>
      </c>
      <c r="AW6" s="20">
        <f>Tabel242567891011[[#This Row],[Verbruik heet Water liter deze maand ]]/0.15</f>
        <v>1145.9999999999991</v>
      </c>
      <c r="AX6" s="4">
        <f>Tabel242567891011[[#This Row],[Aantal consumpties heet water deze maand]]+Tabel242567891011[[#This Row],[Aantal consumpties licht bruisend water deze maand]]+Tabel242567891011[[#This Row],[aantal consumpties Bruisend water deze maand]]+Tabel242567891011[[#This Row],[Aantal consumpties gekoeld water deze maand]]+Tabel242567891011[[#This Row],[Aantal consumpties Kamertemp deze maand]]</f>
        <v>3877.3333333333335</v>
      </c>
      <c r="AY6" s="4">
        <f>Tabel242567891011[[#This Row],[Subtotaal waterbar in consumpties]]+Tabel242567891011[[#This Row],[Subtotaal koffieautomaten]]</f>
        <v>6210.3333333333339</v>
      </c>
    </row>
    <row r="7" spans="1:51" x14ac:dyDescent="0.25">
      <c r="A7" t="s">
        <v>37</v>
      </c>
      <c r="B7" t="s">
        <v>38</v>
      </c>
      <c r="C7" t="s">
        <v>31</v>
      </c>
      <c r="E7" s="11">
        <v>5743</v>
      </c>
      <c r="F7" s="11">
        <v>4825</v>
      </c>
      <c r="G7" s="12">
        <f>Tabel242567891011[[#This Row],[Stand Coffee einde maand]]-Tabel242567891011[[#This Row],[Coffee vorige maand]]</f>
        <v>918</v>
      </c>
      <c r="H7" s="11">
        <v>1452</v>
      </c>
      <c r="I7" s="11">
        <v>1317</v>
      </c>
      <c r="J7" s="12">
        <f>Tabel242567891011[[#This Row],[Stand Espresso Einde maand]]-Tabel242567891011[[#This Row],[Espresso vorige maand]]</f>
        <v>135</v>
      </c>
      <c r="K7" s="11">
        <v>625</v>
      </c>
      <c r="L7" s="11">
        <v>535</v>
      </c>
      <c r="M7">
        <f>Tabel242567891011[[#This Row],[Stand Latte Macchiato einde maand]]-Tabel242567891011[[#This Row],[Latte Macchiato vorige maand]]</f>
        <v>90</v>
      </c>
      <c r="N7" s="11">
        <v>478</v>
      </c>
      <c r="O7" s="11">
        <v>407</v>
      </c>
      <c r="P7">
        <f>Tabel242567891011[[#This Row],[Stand Coffee Latte einde maand]]-Tabel242567891011[[#This Row],[Coffee Latte vorige maand]]</f>
        <v>71</v>
      </c>
      <c r="Q7" s="11">
        <v>9020</v>
      </c>
      <c r="R7" s="11">
        <v>7517</v>
      </c>
      <c r="S7">
        <f>Tabel242567891011[[#This Row],[Stand Hot Water einde maand]]-Tabel242567891011[[#This Row],[Hot Water vorige maand]]</f>
        <v>1503</v>
      </c>
      <c r="T7" s="11">
        <v>3811</v>
      </c>
      <c r="U7" s="11">
        <v>3316</v>
      </c>
      <c r="V7">
        <f>Tabel242567891011[[#This Row],[Stand Cappucino einde maand]]-Tabel242567891011[[#This Row],[Stand Cappucino vorige maand]]</f>
        <v>495</v>
      </c>
      <c r="W7" s="11">
        <v>229</v>
      </c>
      <c r="X7" s="11">
        <v>200</v>
      </c>
      <c r="Y7">
        <f>Tabel242567891011[[#This Row],[Stand Cappucino Plantaardig einde maand]]-Tabel242567891011[[#This Row],[Stand Cappucino Plantaardig vorige maand]]</f>
        <v>29</v>
      </c>
      <c r="Z7" s="11">
        <v>126</v>
      </c>
      <c r="AA7" s="11">
        <v>99</v>
      </c>
      <c r="AB7" s="12">
        <f>Tabel242567891011[[#This Row],[Stand Latte Macchiato Plantaardig einde maand]]-Tabel242567891011[[#This Row],[Stand Latte Macchiato Plantaardig vorige maand]]</f>
        <v>27</v>
      </c>
      <c r="AC7" s="3">
        <f>Tabel242567891011[[#This Row],[Verbruik Stand Latte Macchiato Plantaardig deze maand]]+Tabel242567891011[[#This Row],[Verbruik  Cappucino Plantaardig deze maand]]+Tabel242567891011[[#This Row],[Verbruik Cappucino deze maand]]+Tabel242567891011[[#This Row],[Verbruik Hot Water deze maand]]+Tabel242567891011[[#This Row],[Verbruik Coffee Latte deze maand]]+Tabel242567891011[[#This Row],[Verbruik Latte Macchiato deze maand]]+Tabel242567891011[[#This Row],[Verbruik Espresso deze maand]]+Tabel242567891011[[#This Row],[Verbruik Coffee deze maand]]</f>
        <v>3268</v>
      </c>
      <c r="AD7" s="26"/>
      <c r="AE7" s="26"/>
      <c r="AF7" s="5"/>
      <c r="AG7" s="5"/>
      <c r="AH7" s="26"/>
      <c r="AI7" s="26"/>
      <c r="AJ7" s="5"/>
      <c r="AK7" s="5"/>
      <c r="AL7" s="26"/>
      <c r="AM7" s="26"/>
      <c r="AN7" s="5"/>
      <c r="AO7" s="5"/>
      <c r="AP7" s="26"/>
      <c r="AQ7" s="26"/>
      <c r="AR7" s="5"/>
      <c r="AS7" s="5"/>
      <c r="AT7" s="26"/>
      <c r="AU7" s="26"/>
      <c r="AV7" s="5"/>
      <c r="AW7" s="21"/>
      <c r="AX7" s="8"/>
      <c r="AY7" s="4">
        <f>Tabel242567891011[[#This Row],[Subtotaal waterbar in consumpties]]+Tabel242567891011[[#This Row],[Subtotaal koffieautomaten]]</f>
        <v>3268</v>
      </c>
    </row>
    <row r="8" spans="1:51" x14ac:dyDescent="0.25">
      <c r="A8" t="s">
        <v>39</v>
      </c>
      <c r="B8" t="s">
        <v>40</v>
      </c>
      <c r="C8" t="s">
        <v>31</v>
      </c>
      <c r="E8" s="11">
        <v>7650</v>
      </c>
      <c r="F8" s="11">
        <v>6932</v>
      </c>
      <c r="G8" s="12">
        <f>Tabel242567891011[[#This Row],[Stand Coffee einde maand]]-Tabel242567891011[[#This Row],[Coffee vorige maand]]</f>
        <v>718</v>
      </c>
      <c r="H8" s="11">
        <v>1844</v>
      </c>
      <c r="I8" s="11">
        <v>1775</v>
      </c>
      <c r="J8" s="12">
        <f>Tabel242567891011[[#This Row],[Stand Espresso Einde maand]]-Tabel242567891011[[#This Row],[Espresso vorige maand]]</f>
        <v>69</v>
      </c>
      <c r="K8" s="11">
        <v>1156</v>
      </c>
      <c r="L8" s="11">
        <v>1090</v>
      </c>
      <c r="M8">
        <f>Tabel242567891011[[#This Row],[Stand Latte Macchiato einde maand]]-Tabel242567891011[[#This Row],[Latte Macchiato vorige maand]]</f>
        <v>66</v>
      </c>
      <c r="N8" s="11">
        <v>696</v>
      </c>
      <c r="O8" s="11">
        <v>633</v>
      </c>
      <c r="P8">
        <f>Tabel242567891011[[#This Row],[Stand Coffee Latte einde maand]]-Tabel242567891011[[#This Row],[Coffee Latte vorige maand]]</f>
        <v>63</v>
      </c>
      <c r="Q8" s="11">
        <v>10668</v>
      </c>
      <c r="R8" s="11">
        <v>9871</v>
      </c>
      <c r="S8">
        <f>Tabel242567891011[[#This Row],[Stand Hot Water einde maand]]-Tabel242567891011[[#This Row],[Hot Water vorige maand]]</f>
        <v>797</v>
      </c>
      <c r="T8" s="11">
        <v>5526</v>
      </c>
      <c r="U8" s="11">
        <v>5080</v>
      </c>
      <c r="V8">
        <f>Tabel242567891011[[#This Row],[Stand Cappucino einde maand]]-Tabel242567891011[[#This Row],[Stand Cappucino vorige maand]]</f>
        <v>446</v>
      </c>
      <c r="W8" s="11">
        <v>558</v>
      </c>
      <c r="X8" s="11">
        <v>548</v>
      </c>
      <c r="Y8">
        <f>Tabel242567891011[[#This Row],[Stand Cappucino Plantaardig einde maand]]-Tabel242567891011[[#This Row],[Stand Cappucino Plantaardig vorige maand]]</f>
        <v>10</v>
      </c>
      <c r="Z8" s="11">
        <v>71</v>
      </c>
      <c r="AA8" s="11">
        <v>68</v>
      </c>
      <c r="AB8" s="12">
        <f>Tabel242567891011[[#This Row],[Stand Latte Macchiato Plantaardig einde maand]]-Tabel242567891011[[#This Row],[Stand Latte Macchiato Plantaardig vorige maand]]</f>
        <v>3</v>
      </c>
      <c r="AC8" s="3">
        <f>Tabel242567891011[[#This Row],[Verbruik Stand Latte Macchiato Plantaardig deze maand]]+Tabel242567891011[[#This Row],[Verbruik  Cappucino Plantaardig deze maand]]+Tabel242567891011[[#This Row],[Verbruik Cappucino deze maand]]+Tabel242567891011[[#This Row],[Verbruik Hot Water deze maand]]+Tabel242567891011[[#This Row],[Verbruik Coffee Latte deze maand]]+Tabel242567891011[[#This Row],[Verbruik Latte Macchiato deze maand]]+Tabel242567891011[[#This Row],[Verbruik Espresso deze maand]]+Tabel242567891011[[#This Row],[Verbruik Coffee deze maand]]</f>
        <v>2172</v>
      </c>
      <c r="AD8" s="26"/>
      <c r="AE8" s="26"/>
      <c r="AF8" s="5"/>
      <c r="AG8" s="5"/>
      <c r="AH8" s="26"/>
      <c r="AI8" s="26"/>
      <c r="AJ8" s="5"/>
      <c r="AK8" s="5"/>
      <c r="AL8" s="26"/>
      <c r="AM8" s="26"/>
      <c r="AN8" s="5"/>
      <c r="AO8" s="5"/>
      <c r="AP8" s="26"/>
      <c r="AQ8" s="26"/>
      <c r="AR8" s="5"/>
      <c r="AS8" s="5"/>
      <c r="AT8" s="26"/>
      <c r="AU8" s="26"/>
      <c r="AV8" s="5"/>
      <c r="AW8" s="21"/>
      <c r="AX8" s="8"/>
      <c r="AY8" s="4">
        <f>Tabel242567891011[[#This Row],[Subtotaal waterbar in consumpties]]+Tabel242567891011[[#This Row],[Subtotaal koffieautomaten]]</f>
        <v>2172</v>
      </c>
    </row>
    <row r="9" spans="1:51" x14ac:dyDescent="0.25">
      <c r="A9" t="s">
        <v>41</v>
      </c>
      <c r="B9" t="s">
        <v>42</v>
      </c>
      <c r="C9" t="s">
        <v>31</v>
      </c>
      <c r="E9" s="11">
        <v>3679</v>
      </c>
      <c r="F9" s="11">
        <v>3208</v>
      </c>
      <c r="G9" s="12">
        <f>Tabel242567891011[[#This Row],[Stand Coffee einde maand]]-Tabel242567891011[[#This Row],[Coffee vorige maand]]</f>
        <v>471</v>
      </c>
      <c r="H9" s="11">
        <v>993</v>
      </c>
      <c r="I9" s="11">
        <v>901</v>
      </c>
      <c r="J9" s="12">
        <f>Tabel242567891011[[#This Row],[Stand Espresso Einde maand]]-Tabel242567891011[[#This Row],[Espresso vorige maand]]</f>
        <v>92</v>
      </c>
      <c r="K9" s="11">
        <v>1154</v>
      </c>
      <c r="L9" s="11">
        <v>1041</v>
      </c>
      <c r="M9">
        <f>Tabel242567891011[[#This Row],[Stand Latte Macchiato einde maand]]-Tabel242567891011[[#This Row],[Latte Macchiato vorige maand]]</f>
        <v>113</v>
      </c>
      <c r="N9" s="11">
        <v>586</v>
      </c>
      <c r="O9" s="11">
        <v>548</v>
      </c>
      <c r="P9">
        <f>Tabel242567891011[[#This Row],[Stand Coffee Latte einde maand]]-Tabel242567891011[[#This Row],[Coffee Latte vorige maand]]</f>
        <v>38</v>
      </c>
      <c r="Q9" s="11">
        <v>11511</v>
      </c>
      <c r="R9" s="11">
        <v>10343</v>
      </c>
      <c r="S9">
        <f>Tabel242567891011[[#This Row],[Stand Hot Water einde maand]]-Tabel242567891011[[#This Row],[Hot Water vorige maand]]</f>
        <v>1168</v>
      </c>
      <c r="T9" s="11">
        <v>2530</v>
      </c>
      <c r="U9" s="11">
        <v>2161</v>
      </c>
      <c r="V9">
        <f>Tabel242567891011[[#This Row],[Stand Cappucino einde maand]]-Tabel242567891011[[#This Row],[Stand Cappucino vorige maand]]</f>
        <v>369</v>
      </c>
      <c r="W9" s="11">
        <v>699</v>
      </c>
      <c r="X9" s="11">
        <v>623</v>
      </c>
      <c r="Y9">
        <f>Tabel242567891011[[#This Row],[Stand Cappucino Plantaardig einde maand]]-Tabel242567891011[[#This Row],[Stand Cappucino Plantaardig vorige maand]]</f>
        <v>76</v>
      </c>
      <c r="Z9" s="11">
        <v>284</v>
      </c>
      <c r="AA9" s="11">
        <v>234</v>
      </c>
      <c r="AB9" s="12">
        <f>Tabel242567891011[[#This Row],[Stand Latte Macchiato Plantaardig einde maand]]-Tabel242567891011[[#This Row],[Stand Latte Macchiato Plantaardig vorige maand]]</f>
        <v>50</v>
      </c>
      <c r="AC9" s="3">
        <f>Tabel242567891011[[#This Row],[Verbruik Stand Latte Macchiato Plantaardig deze maand]]+Tabel242567891011[[#This Row],[Verbruik  Cappucino Plantaardig deze maand]]+Tabel242567891011[[#This Row],[Verbruik Cappucino deze maand]]+Tabel242567891011[[#This Row],[Verbruik Hot Water deze maand]]+Tabel242567891011[[#This Row],[Verbruik Coffee Latte deze maand]]+Tabel242567891011[[#This Row],[Verbruik Latte Macchiato deze maand]]+Tabel242567891011[[#This Row],[Verbruik Espresso deze maand]]+Tabel242567891011[[#This Row],[Verbruik Coffee deze maand]]</f>
        <v>2377</v>
      </c>
      <c r="AD9" s="26"/>
      <c r="AE9" s="26"/>
      <c r="AF9" s="5"/>
      <c r="AG9" s="5"/>
      <c r="AH9" s="26"/>
      <c r="AI9" s="26"/>
      <c r="AJ9" s="5"/>
      <c r="AK9" s="5"/>
      <c r="AL9" s="26"/>
      <c r="AM9" s="26"/>
      <c r="AN9" s="5"/>
      <c r="AO9" s="5"/>
      <c r="AP9" s="26"/>
      <c r="AQ9" s="26"/>
      <c r="AR9" s="5"/>
      <c r="AS9" s="5"/>
      <c r="AT9" s="26"/>
      <c r="AU9" s="26"/>
      <c r="AV9" s="5"/>
      <c r="AW9" s="21"/>
      <c r="AX9" s="8"/>
      <c r="AY9" s="4">
        <f>Tabel242567891011[[#This Row],[Subtotaal waterbar in consumpties]]+Tabel242567891011[[#This Row],[Subtotaal koffieautomaten]]</f>
        <v>2377</v>
      </c>
    </row>
    <row r="10" spans="1:51" x14ac:dyDescent="0.25">
      <c r="A10" t="s">
        <v>43</v>
      </c>
      <c r="B10" t="s">
        <v>44</v>
      </c>
      <c r="C10" t="s">
        <v>31</v>
      </c>
      <c r="E10" s="11">
        <v>5257</v>
      </c>
      <c r="F10" s="11">
        <v>4709</v>
      </c>
      <c r="G10" s="12">
        <f>Tabel242567891011[[#This Row],[Stand Coffee einde maand]]-Tabel242567891011[[#This Row],[Coffee vorige maand]]</f>
        <v>548</v>
      </c>
      <c r="H10" s="11">
        <v>1056</v>
      </c>
      <c r="I10" s="11">
        <v>933</v>
      </c>
      <c r="J10" s="12">
        <f>Tabel242567891011[[#This Row],[Stand Espresso Einde maand]]-Tabel242567891011[[#This Row],[Espresso vorige maand]]</f>
        <v>123</v>
      </c>
      <c r="K10" s="11">
        <v>476</v>
      </c>
      <c r="L10" s="11">
        <v>449</v>
      </c>
      <c r="M10">
        <f>Tabel242567891011[[#This Row],[Stand Latte Macchiato einde maand]]-Tabel242567891011[[#This Row],[Latte Macchiato vorige maand]]</f>
        <v>27</v>
      </c>
      <c r="N10" s="11">
        <v>414</v>
      </c>
      <c r="O10" s="11">
        <v>360</v>
      </c>
      <c r="P10">
        <f>Tabel242567891011[[#This Row],[Stand Coffee Latte einde maand]]-Tabel242567891011[[#This Row],[Coffee Latte vorige maand]]</f>
        <v>54</v>
      </c>
      <c r="Q10" s="11">
        <v>8854</v>
      </c>
      <c r="R10" s="11">
        <v>7413</v>
      </c>
      <c r="S10">
        <f>Tabel242567891011[[#This Row],[Stand Hot Water einde maand]]-Tabel242567891011[[#This Row],[Hot Water vorige maand]]</f>
        <v>1441</v>
      </c>
      <c r="T10" s="11">
        <v>2795</v>
      </c>
      <c r="U10" s="11">
        <v>2454</v>
      </c>
      <c r="V10">
        <f>Tabel242567891011[[#This Row],[Stand Cappucino einde maand]]-Tabel242567891011[[#This Row],[Stand Cappucino vorige maand]]</f>
        <v>341</v>
      </c>
      <c r="W10" s="11">
        <v>849</v>
      </c>
      <c r="X10" s="11">
        <v>746</v>
      </c>
      <c r="Y10">
        <f>Tabel242567891011[[#This Row],[Stand Cappucino Plantaardig einde maand]]-Tabel242567891011[[#This Row],[Stand Cappucino Plantaardig vorige maand]]</f>
        <v>103</v>
      </c>
      <c r="Z10" s="11">
        <v>497</v>
      </c>
      <c r="AA10" s="11">
        <v>441</v>
      </c>
      <c r="AB10" s="12">
        <f>Tabel242567891011[[#This Row],[Stand Latte Macchiato Plantaardig einde maand]]-Tabel242567891011[[#This Row],[Stand Latte Macchiato Plantaardig vorige maand]]</f>
        <v>56</v>
      </c>
      <c r="AC10" s="3">
        <f>Tabel242567891011[[#This Row],[Verbruik Stand Latte Macchiato Plantaardig deze maand]]+Tabel242567891011[[#This Row],[Verbruik  Cappucino Plantaardig deze maand]]+Tabel242567891011[[#This Row],[Verbruik Cappucino deze maand]]+Tabel242567891011[[#This Row],[Verbruik Hot Water deze maand]]+Tabel242567891011[[#This Row],[Verbruik Coffee Latte deze maand]]+Tabel242567891011[[#This Row],[Verbruik Latte Macchiato deze maand]]+Tabel242567891011[[#This Row],[Verbruik Espresso deze maand]]+Tabel242567891011[[#This Row],[Verbruik Coffee deze maand]]</f>
        <v>2693</v>
      </c>
      <c r="AD10" s="26"/>
      <c r="AE10" s="26"/>
      <c r="AF10" s="5"/>
      <c r="AG10" s="7"/>
      <c r="AH10" s="26"/>
      <c r="AI10" s="26"/>
      <c r="AJ10" s="5"/>
      <c r="AK10" s="5"/>
      <c r="AL10" s="26"/>
      <c r="AM10" s="26"/>
      <c r="AN10" s="5"/>
      <c r="AO10" s="5"/>
      <c r="AP10" s="26"/>
      <c r="AQ10" s="26"/>
      <c r="AR10" s="5"/>
      <c r="AS10" s="5"/>
      <c r="AT10" s="26"/>
      <c r="AU10" s="26"/>
      <c r="AV10" s="5"/>
      <c r="AW10" s="21"/>
      <c r="AX10" s="8"/>
      <c r="AY10" s="4">
        <f>Tabel242567891011[[#This Row],[Subtotaal waterbar in consumpties]]+Tabel242567891011[[#This Row],[Subtotaal koffieautomaten]]</f>
        <v>2693</v>
      </c>
    </row>
    <row r="11" spans="1:51" x14ac:dyDescent="0.25">
      <c r="A11" t="s">
        <v>45</v>
      </c>
      <c r="B11" t="s">
        <v>46</v>
      </c>
      <c r="C11" t="s">
        <v>47</v>
      </c>
      <c r="E11" s="11">
        <v>8379</v>
      </c>
      <c r="F11" s="11">
        <v>7449</v>
      </c>
      <c r="G11" s="12">
        <f>Tabel242567891011[[#This Row],[Stand Coffee einde maand]]-Tabel242567891011[[#This Row],[Coffee vorige maand]]</f>
        <v>930</v>
      </c>
      <c r="H11" s="11">
        <v>819</v>
      </c>
      <c r="I11" s="11">
        <v>730</v>
      </c>
      <c r="J11" s="12">
        <f>Tabel242567891011[[#This Row],[Stand Espresso Einde maand]]-Tabel242567891011[[#This Row],[Espresso vorige maand]]</f>
        <v>89</v>
      </c>
      <c r="K11" s="11">
        <v>601</v>
      </c>
      <c r="L11" s="11">
        <v>502</v>
      </c>
      <c r="M11">
        <f>Tabel242567891011[[#This Row],[Stand Latte Macchiato einde maand]]-Tabel242567891011[[#This Row],[Latte Macchiato vorige maand]]</f>
        <v>99</v>
      </c>
      <c r="N11" s="11">
        <v>325</v>
      </c>
      <c r="O11" s="11">
        <v>273</v>
      </c>
      <c r="P11">
        <f>Tabel242567891011[[#This Row],[Stand Coffee Latte einde maand]]-Tabel242567891011[[#This Row],[Coffee Latte vorige maand]]</f>
        <v>52</v>
      </c>
      <c r="Q11" s="11">
        <v>1</v>
      </c>
      <c r="R11" s="11">
        <v>1</v>
      </c>
      <c r="S11">
        <f>Tabel242567891011[[#This Row],[Stand Hot Water einde maand]]-Tabel242567891011[[#This Row],[Hot Water vorige maand]]</f>
        <v>0</v>
      </c>
      <c r="T11" s="11">
        <v>2788</v>
      </c>
      <c r="U11" s="11">
        <v>2478</v>
      </c>
      <c r="V11">
        <f>Tabel242567891011[[#This Row],[Stand Cappucino einde maand]]-Tabel242567891011[[#This Row],[Stand Cappucino vorige maand]]</f>
        <v>310</v>
      </c>
      <c r="W11" s="11">
        <v>1254</v>
      </c>
      <c r="X11" s="11">
        <v>1053</v>
      </c>
      <c r="Y11">
        <f>Tabel242567891011[[#This Row],[Stand Cappucino Plantaardig einde maand]]-Tabel242567891011[[#This Row],[Stand Cappucino Plantaardig vorige maand]]</f>
        <v>201</v>
      </c>
      <c r="Z11" s="11">
        <v>434</v>
      </c>
      <c r="AA11" s="11">
        <v>415</v>
      </c>
      <c r="AB11" s="12">
        <f>Tabel242567891011[[#This Row],[Stand Latte Macchiato Plantaardig einde maand]]-Tabel242567891011[[#This Row],[Stand Latte Macchiato Plantaardig vorige maand]]</f>
        <v>19</v>
      </c>
      <c r="AC11" s="3">
        <f>Tabel242567891011[[#This Row],[Verbruik Stand Latte Macchiato Plantaardig deze maand]]+Tabel242567891011[[#This Row],[Verbruik  Cappucino Plantaardig deze maand]]+Tabel242567891011[[#This Row],[Verbruik Cappucino deze maand]]+Tabel242567891011[[#This Row],[Verbruik Hot Water deze maand]]+Tabel242567891011[[#This Row],[Verbruik Coffee Latte deze maand]]+Tabel242567891011[[#This Row],[Verbruik Latte Macchiato deze maand]]+Tabel242567891011[[#This Row],[Verbruik Espresso deze maand]]+Tabel242567891011[[#This Row],[Verbruik Coffee deze maand]]</f>
        <v>1700</v>
      </c>
      <c r="AD11" s="11">
        <v>255.2</v>
      </c>
      <c r="AE11" s="11">
        <v>231.8</v>
      </c>
      <c r="AF11">
        <f>Tabel242567891011[[#This Row],[Stand Kamertemp liter einde maand]]-Tabel242567891011[[#This Row],[Stand Kamertemp liter vorige maand]]</f>
        <v>23.399999999999977</v>
      </c>
      <c r="AG11" s="2">
        <f>Tabel242567891011[[#This Row],[Verbruik Kamertemp liter deze maand]]/0.15</f>
        <v>155.99999999999986</v>
      </c>
      <c r="AH11" s="11">
        <v>1640.1</v>
      </c>
      <c r="AI11" s="11">
        <v>1427.8</v>
      </c>
      <c r="AJ11">
        <f>Tabel242567891011[[#This Row],[Stand Gekoeld liter einde maand]]-Tabel242567891011[[#This Row],[Stand Gekoeld liter vorige maand]]</f>
        <v>212.29999999999995</v>
      </c>
      <c r="AK11" s="2">
        <f>Tabel242567891011[[#This Row],[Verbruik Gekoeld liter deze maand]]/0.15</f>
        <v>1415.333333333333</v>
      </c>
      <c r="AL11" s="11">
        <v>1488.5</v>
      </c>
      <c r="AM11" s="11">
        <v>1338.9</v>
      </c>
      <c r="AN11">
        <f>Tabel242567891011[[#This Row],[Stand Bruisend liter einde maand]]-Tabel242567891011[[#This Row],[Stand Bruisend liter vorige maand]]</f>
        <v>149.59999999999991</v>
      </c>
      <c r="AO11" s="2">
        <f>Tabel242567891011[[#This Row],[Verbruik Bruisend liter deze maand]]/0.15</f>
        <v>997.3333333333328</v>
      </c>
      <c r="AP11" s="11">
        <v>622.4</v>
      </c>
      <c r="AQ11" s="11">
        <v>571.9</v>
      </c>
      <c r="AR11">
        <f>Tabel242567891011[[#This Row],[Stand licht bruisend liter einde maand]]-Tabel242567891011[[#This Row],[Stand licht bruisend liter vorige maand]]</f>
        <v>50.5</v>
      </c>
      <c r="AS11" s="2">
        <f>Tabel242567891011[[#This Row],[Verbruik licht bruisend liter deze maand]]/0.15</f>
        <v>336.66666666666669</v>
      </c>
      <c r="AT11" s="11">
        <v>3677.1</v>
      </c>
      <c r="AU11" s="11">
        <v>3207.3</v>
      </c>
      <c r="AV11">
        <f>Tabel242567891011[[#This Row],[Stand heet water liter einde maand]]-Tabel242567891011[[#This Row],[Stand heet water liter vorige maand]]</f>
        <v>469.79999999999973</v>
      </c>
      <c r="AW11" s="20">
        <f>Tabel242567891011[[#This Row],[Verbruik heet Water liter deze maand ]]/0.15</f>
        <v>3131.9999999999982</v>
      </c>
      <c r="AX11" s="4">
        <f>Tabel242567891011[[#This Row],[Aantal consumpties heet water deze maand]]+Tabel242567891011[[#This Row],[Aantal consumpties licht bruisend water deze maand]]+Tabel242567891011[[#This Row],[aantal consumpties Bruisend water deze maand]]+Tabel242567891011[[#This Row],[Aantal consumpties gekoeld water deze maand]]+Tabel242567891011[[#This Row],[Aantal consumpties Kamertemp deze maand]]</f>
        <v>6037.3333333333303</v>
      </c>
      <c r="AY11" s="4">
        <f>Tabel242567891011[[#This Row],[Subtotaal waterbar in consumpties]]+Tabel242567891011[[#This Row],[Subtotaal koffieautomaten]]</f>
        <v>7737.3333333333303</v>
      </c>
    </row>
    <row r="12" spans="1:51" x14ac:dyDescent="0.25">
      <c r="A12" t="s">
        <v>48</v>
      </c>
      <c r="B12" t="s">
        <v>49</v>
      </c>
      <c r="C12" t="s">
        <v>31</v>
      </c>
      <c r="E12" s="11">
        <v>8671</v>
      </c>
      <c r="F12" s="11">
        <v>7790</v>
      </c>
      <c r="G12" s="12">
        <f>Tabel242567891011[[#This Row],[Stand Coffee einde maand]]-Tabel242567891011[[#This Row],[Coffee vorige maand]]</f>
        <v>881</v>
      </c>
      <c r="H12" s="11">
        <v>2521</v>
      </c>
      <c r="I12" s="11">
        <v>2332</v>
      </c>
      <c r="J12" s="12">
        <f>Tabel242567891011[[#This Row],[Stand Espresso Einde maand]]-Tabel242567891011[[#This Row],[Espresso vorige maand]]</f>
        <v>189</v>
      </c>
      <c r="K12" s="11">
        <v>731</v>
      </c>
      <c r="L12" s="11">
        <v>617</v>
      </c>
      <c r="M12">
        <f>Tabel242567891011[[#This Row],[Stand Latte Macchiato einde maand]]-Tabel242567891011[[#This Row],[Latte Macchiato vorige maand]]</f>
        <v>114</v>
      </c>
      <c r="N12" s="11">
        <v>124</v>
      </c>
      <c r="O12" s="11">
        <v>108</v>
      </c>
      <c r="P12">
        <f>Tabel242567891011[[#This Row],[Stand Coffee Latte einde maand]]-Tabel242567891011[[#This Row],[Coffee Latte vorige maand]]</f>
        <v>16</v>
      </c>
      <c r="Q12" s="11">
        <v>20458</v>
      </c>
      <c r="R12" s="11">
        <v>17890</v>
      </c>
      <c r="S12">
        <f>Tabel242567891011[[#This Row],[Stand Hot Water einde maand]]-Tabel242567891011[[#This Row],[Hot Water vorige maand]]</f>
        <v>2568</v>
      </c>
      <c r="T12" s="11">
        <v>3865</v>
      </c>
      <c r="U12" s="11">
        <v>3413</v>
      </c>
      <c r="V12">
        <f>Tabel242567891011[[#This Row],[Stand Cappucino einde maand]]-Tabel242567891011[[#This Row],[Stand Cappucino vorige maand]]</f>
        <v>452</v>
      </c>
      <c r="W12" s="11">
        <v>1152</v>
      </c>
      <c r="X12" s="11">
        <v>1040</v>
      </c>
      <c r="Y12">
        <f>Tabel242567891011[[#This Row],[Stand Cappucino Plantaardig einde maand]]-Tabel242567891011[[#This Row],[Stand Cappucino Plantaardig vorige maand]]</f>
        <v>112</v>
      </c>
      <c r="Z12" s="11">
        <v>283</v>
      </c>
      <c r="AA12" s="11">
        <v>265</v>
      </c>
      <c r="AB12" s="12">
        <f>Tabel242567891011[[#This Row],[Stand Latte Macchiato Plantaardig einde maand]]-Tabel242567891011[[#This Row],[Stand Latte Macchiato Plantaardig vorige maand]]</f>
        <v>18</v>
      </c>
      <c r="AC12" s="3">
        <f>Tabel242567891011[[#This Row],[Verbruik Stand Latte Macchiato Plantaardig deze maand]]+Tabel242567891011[[#This Row],[Verbruik  Cappucino Plantaardig deze maand]]+Tabel242567891011[[#This Row],[Verbruik Cappucino deze maand]]+Tabel242567891011[[#This Row],[Verbruik Hot Water deze maand]]+Tabel242567891011[[#This Row],[Verbruik Coffee Latte deze maand]]+Tabel242567891011[[#This Row],[Verbruik Latte Macchiato deze maand]]+Tabel242567891011[[#This Row],[Verbruik Espresso deze maand]]+Tabel242567891011[[#This Row],[Verbruik Coffee deze maand]]</f>
        <v>4350</v>
      </c>
      <c r="AD12" s="26"/>
      <c r="AE12" s="26"/>
      <c r="AF12" s="5"/>
      <c r="AG12" s="7"/>
      <c r="AH12" s="26"/>
      <c r="AI12" s="26"/>
      <c r="AJ12" s="5"/>
      <c r="AK12" s="7"/>
      <c r="AL12" s="26"/>
      <c r="AM12" s="26"/>
      <c r="AN12" s="5"/>
      <c r="AO12" s="5"/>
      <c r="AP12" s="26"/>
      <c r="AQ12" s="26"/>
      <c r="AR12" s="5"/>
      <c r="AS12" s="7"/>
      <c r="AT12" s="26"/>
      <c r="AU12" s="26"/>
      <c r="AV12" s="5"/>
      <c r="AW12" s="21"/>
      <c r="AX12" s="8"/>
      <c r="AY12" s="4">
        <f>Tabel242567891011[[#This Row],[Subtotaal waterbar in consumpties]]+Tabel242567891011[[#This Row],[Subtotaal koffieautomaten]]</f>
        <v>4350</v>
      </c>
    </row>
    <row r="13" spans="1:51" x14ac:dyDescent="0.25">
      <c r="A13" t="s">
        <v>50</v>
      </c>
      <c r="B13" t="s">
        <v>51</v>
      </c>
      <c r="C13" t="s">
        <v>47</v>
      </c>
      <c r="E13" s="11">
        <v>6663</v>
      </c>
      <c r="F13" s="11">
        <v>6049</v>
      </c>
      <c r="G13" s="12">
        <f>Tabel242567891011[[#This Row],[Stand Coffee einde maand]]-Tabel242567891011[[#This Row],[Coffee vorige maand]]</f>
        <v>614</v>
      </c>
      <c r="H13" s="11">
        <v>1492</v>
      </c>
      <c r="I13" s="11">
        <v>1385</v>
      </c>
      <c r="J13" s="12">
        <f>Tabel242567891011[[#This Row],[Stand Espresso Einde maand]]-Tabel242567891011[[#This Row],[Espresso vorige maand]]</f>
        <v>107</v>
      </c>
      <c r="K13" s="11">
        <v>827</v>
      </c>
      <c r="L13" s="11">
        <v>742</v>
      </c>
      <c r="M13">
        <f>Tabel242567891011[[#This Row],[Stand Latte Macchiato einde maand]]-Tabel242567891011[[#This Row],[Latte Macchiato vorige maand]]</f>
        <v>85</v>
      </c>
      <c r="N13" s="11">
        <v>739</v>
      </c>
      <c r="O13" s="11">
        <v>632</v>
      </c>
      <c r="P13">
        <f>Tabel242567891011[[#This Row],[Stand Coffee Latte einde maand]]-Tabel242567891011[[#This Row],[Coffee Latte vorige maand]]</f>
        <v>107</v>
      </c>
      <c r="Q13" s="11">
        <v>1</v>
      </c>
      <c r="R13" s="11">
        <v>1</v>
      </c>
      <c r="S13">
        <f>Tabel242567891011[[#This Row],[Stand Hot Water einde maand]]-Tabel242567891011[[#This Row],[Hot Water vorige maand]]</f>
        <v>0</v>
      </c>
      <c r="T13" s="11">
        <v>3061</v>
      </c>
      <c r="U13" s="11">
        <v>2673</v>
      </c>
      <c r="V13">
        <f>Tabel242567891011[[#This Row],[Stand Cappucino einde maand]]-Tabel242567891011[[#This Row],[Stand Cappucino vorige maand]]</f>
        <v>388</v>
      </c>
      <c r="W13" s="11">
        <v>884</v>
      </c>
      <c r="X13" s="11">
        <v>859</v>
      </c>
      <c r="Y13">
        <f>Tabel242567891011[[#This Row],[Stand Cappucino Plantaardig einde maand]]-Tabel242567891011[[#This Row],[Stand Cappucino Plantaardig vorige maand]]</f>
        <v>25</v>
      </c>
      <c r="Z13" s="11">
        <v>266</v>
      </c>
      <c r="AA13" s="11">
        <v>211</v>
      </c>
      <c r="AB13" s="12">
        <f>Tabel242567891011[[#This Row],[Stand Latte Macchiato Plantaardig einde maand]]-Tabel242567891011[[#This Row],[Stand Latte Macchiato Plantaardig vorige maand]]</f>
        <v>55</v>
      </c>
      <c r="AC13" s="3">
        <f>Tabel242567891011[[#This Row],[Verbruik Stand Latte Macchiato Plantaardig deze maand]]+Tabel242567891011[[#This Row],[Verbruik  Cappucino Plantaardig deze maand]]+Tabel242567891011[[#This Row],[Verbruik Cappucino deze maand]]+Tabel242567891011[[#This Row],[Verbruik Hot Water deze maand]]+Tabel242567891011[[#This Row],[Verbruik Coffee Latte deze maand]]+Tabel242567891011[[#This Row],[Verbruik Latte Macchiato deze maand]]+Tabel242567891011[[#This Row],[Verbruik Espresso deze maand]]+Tabel242567891011[[#This Row],[Verbruik Coffee deze maand]]</f>
        <v>1381</v>
      </c>
      <c r="AD13" s="11">
        <v>188.1</v>
      </c>
      <c r="AE13" s="11">
        <v>175.1</v>
      </c>
      <c r="AF13">
        <f>Tabel242567891011[[#This Row],[Stand Kamertemp liter einde maand]]-Tabel242567891011[[#This Row],[Stand Kamertemp liter vorige maand]]</f>
        <v>13</v>
      </c>
      <c r="AG13" s="2">
        <f>Tabel242567891011[[#This Row],[Verbruik Kamertemp liter deze maand]]/0.15</f>
        <v>86.666666666666671</v>
      </c>
      <c r="AH13" s="11">
        <v>1881.7</v>
      </c>
      <c r="AI13" s="11">
        <v>1664.6</v>
      </c>
      <c r="AJ13">
        <f>Tabel242567891011[[#This Row],[Stand Gekoeld liter einde maand]]-Tabel242567891011[[#This Row],[Stand Gekoeld liter vorige maand]]</f>
        <v>217.10000000000014</v>
      </c>
      <c r="AK13" s="2">
        <f>Tabel242567891011[[#This Row],[Verbruik Gekoeld liter deze maand]]/0.15</f>
        <v>1447.3333333333344</v>
      </c>
      <c r="AL13" s="11">
        <v>1347.7</v>
      </c>
      <c r="AM13" s="11">
        <v>1234.5999999999999</v>
      </c>
      <c r="AN13">
        <f>Tabel242567891011[[#This Row],[Stand Bruisend liter einde maand]]-Tabel242567891011[[#This Row],[Stand Bruisend liter vorige maand]]</f>
        <v>113.10000000000014</v>
      </c>
      <c r="AO13" s="2">
        <f>Tabel242567891011[[#This Row],[Verbruik Bruisend liter deze maand]]/0.15</f>
        <v>754.00000000000091</v>
      </c>
      <c r="AP13" s="11">
        <v>1028.3</v>
      </c>
      <c r="AQ13" s="11">
        <v>920.1</v>
      </c>
      <c r="AR13">
        <f>Tabel242567891011[[#This Row],[Stand licht bruisend liter einde maand]]-Tabel242567891011[[#This Row],[Stand licht bruisend liter vorige maand]]</f>
        <v>108.19999999999993</v>
      </c>
      <c r="AS13" s="2">
        <f>Tabel242567891011[[#This Row],[Verbruik licht bruisend liter deze maand]]/0.15</f>
        <v>721.33333333333292</v>
      </c>
      <c r="AT13" s="11">
        <v>4322.1000000000004</v>
      </c>
      <c r="AU13" s="11">
        <v>3807.7</v>
      </c>
      <c r="AV13">
        <f>Tabel242567891011[[#This Row],[Stand heet water liter einde maand]]-Tabel242567891011[[#This Row],[Stand heet water liter vorige maand]]</f>
        <v>514.40000000000055</v>
      </c>
      <c r="AW13" s="20">
        <f>Tabel242567891011[[#This Row],[Verbruik heet Water liter deze maand ]]/0.15</f>
        <v>3429.3333333333371</v>
      </c>
      <c r="AX13" s="4">
        <f>Tabel242567891011[[#This Row],[Aantal consumpties heet water deze maand]]+Tabel242567891011[[#This Row],[Aantal consumpties licht bruisend water deze maand]]+Tabel242567891011[[#This Row],[aantal consumpties Bruisend water deze maand]]+Tabel242567891011[[#This Row],[Aantal consumpties gekoeld water deze maand]]+Tabel242567891011[[#This Row],[Aantal consumpties Kamertemp deze maand]]</f>
        <v>6438.6666666666724</v>
      </c>
      <c r="AY13" s="4">
        <f>Tabel242567891011[[#This Row],[Subtotaal waterbar in consumpties]]+Tabel242567891011[[#This Row],[Subtotaal koffieautomaten]]</f>
        <v>7819.6666666666724</v>
      </c>
    </row>
    <row r="14" spans="1:51" x14ac:dyDescent="0.25">
      <c r="A14" t="s">
        <v>52</v>
      </c>
      <c r="B14" t="s">
        <v>53</v>
      </c>
      <c r="C14" t="s">
        <v>31</v>
      </c>
      <c r="E14" s="11">
        <v>6723</v>
      </c>
      <c r="F14" s="11">
        <v>6083</v>
      </c>
      <c r="G14" s="12">
        <f>Tabel242567891011[[#This Row],[Stand Coffee einde maand]]-Tabel242567891011[[#This Row],[Coffee vorige maand]]</f>
        <v>640</v>
      </c>
      <c r="H14" s="11">
        <v>1767</v>
      </c>
      <c r="I14" s="11">
        <v>1578</v>
      </c>
      <c r="J14" s="12">
        <f>Tabel242567891011[[#This Row],[Stand Espresso Einde maand]]-Tabel242567891011[[#This Row],[Espresso vorige maand]]</f>
        <v>189</v>
      </c>
      <c r="K14" s="11">
        <v>444</v>
      </c>
      <c r="L14" s="11">
        <v>353</v>
      </c>
      <c r="M14">
        <f>Tabel242567891011[[#This Row],[Stand Latte Macchiato einde maand]]-Tabel242567891011[[#This Row],[Latte Macchiato vorige maand]]</f>
        <v>91</v>
      </c>
      <c r="N14" s="11">
        <v>367</v>
      </c>
      <c r="O14" s="11">
        <v>330</v>
      </c>
      <c r="P14">
        <f>Tabel242567891011[[#This Row],[Stand Coffee Latte einde maand]]-Tabel242567891011[[#This Row],[Coffee Latte vorige maand]]</f>
        <v>37</v>
      </c>
      <c r="Q14" s="11">
        <v>10283</v>
      </c>
      <c r="R14" s="11">
        <v>9031</v>
      </c>
      <c r="S14">
        <f>Tabel242567891011[[#This Row],[Stand Hot Water einde maand]]-Tabel242567891011[[#This Row],[Hot Water vorige maand]]</f>
        <v>1252</v>
      </c>
      <c r="T14" s="11">
        <v>3169</v>
      </c>
      <c r="U14" s="11">
        <v>2848</v>
      </c>
      <c r="V14">
        <f>Tabel242567891011[[#This Row],[Stand Cappucino einde maand]]-Tabel242567891011[[#This Row],[Stand Cappucino vorige maand]]</f>
        <v>321</v>
      </c>
      <c r="W14" s="11">
        <v>894</v>
      </c>
      <c r="X14" s="11">
        <v>808</v>
      </c>
      <c r="Y14">
        <f>Tabel242567891011[[#This Row],[Stand Cappucino Plantaardig einde maand]]-Tabel242567891011[[#This Row],[Stand Cappucino Plantaardig vorige maand]]</f>
        <v>86</v>
      </c>
      <c r="Z14" s="11">
        <v>215</v>
      </c>
      <c r="AA14" s="11">
        <v>196</v>
      </c>
      <c r="AB14" s="12">
        <f>Tabel242567891011[[#This Row],[Stand Latte Macchiato Plantaardig einde maand]]-Tabel242567891011[[#This Row],[Stand Latte Macchiato Plantaardig vorige maand]]</f>
        <v>19</v>
      </c>
      <c r="AC14" s="3">
        <f>Tabel242567891011[[#This Row],[Verbruik Stand Latte Macchiato Plantaardig deze maand]]+Tabel242567891011[[#This Row],[Verbruik  Cappucino Plantaardig deze maand]]+Tabel242567891011[[#This Row],[Verbruik Cappucino deze maand]]+Tabel242567891011[[#This Row],[Verbruik Hot Water deze maand]]+Tabel242567891011[[#This Row],[Verbruik Coffee Latte deze maand]]+Tabel242567891011[[#This Row],[Verbruik Latte Macchiato deze maand]]+Tabel242567891011[[#This Row],[Verbruik Espresso deze maand]]+Tabel242567891011[[#This Row],[Verbruik Coffee deze maand]]</f>
        <v>2635</v>
      </c>
      <c r="AD14" s="26"/>
      <c r="AE14" s="26"/>
      <c r="AF14" s="5"/>
      <c r="AG14" s="7"/>
      <c r="AH14" s="26"/>
      <c r="AI14" s="26"/>
      <c r="AJ14" s="5"/>
      <c r="AK14" s="7"/>
      <c r="AL14" s="26"/>
      <c r="AM14" s="26"/>
      <c r="AN14" s="5"/>
      <c r="AO14" s="5"/>
      <c r="AP14" s="26"/>
      <c r="AQ14" s="26"/>
      <c r="AR14" s="5"/>
      <c r="AS14" s="7"/>
      <c r="AT14" s="26"/>
      <c r="AU14" s="26"/>
      <c r="AV14" s="5"/>
      <c r="AW14" s="21"/>
      <c r="AX14" s="8"/>
      <c r="AY14" s="4">
        <f>Tabel242567891011[[#This Row],[Subtotaal waterbar in consumpties]]+Tabel242567891011[[#This Row],[Subtotaal koffieautomaten]]</f>
        <v>2635</v>
      </c>
    </row>
    <row r="15" spans="1:51" x14ac:dyDescent="0.25">
      <c r="A15" t="s">
        <v>54</v>
      </c>
      <c r="B15" t="s">
        <v>55</v>
      </c>
      <c r="C15" t="s">
        <v>36</v>
      </c>
      <c r="E15" s="42"/>
      <c r="F15" s="42"/>
      <c r="G15" s="43"/>
      <c r="H15" s="42"/>
      <c r="I15" s="42"/>
      <c r="J15" s="43"/>
      <c r="K15" s="42"/>
      <c r="L15" s="42"/>
      <c r="M15" s="43"/>
      <c r="N15" s="42"/>
      <c r="O15" s="42"/>
      <c r="P15" s="43"/>
      <c r="Q15" s="42"/>
      <c r="R15" s="42"/>
      <c r="S15" s="43"/>
      <c r="T15" s="42"/>
      <c r="U15" s="42"/>
      <c r="V15" s="43"/>
      <c r="W15" s="42"/>
      <c r="X15" s="42"/>
      <c r="Y15" s="43"/>
      <c r="Z15" s="42"/>
      <c r="AA15" s="42"/>
      <c r="AB15" s="43"/>
      <c r="AC15" s="43"/>
      <c r="AD15" s="11">
        <v>141</v>
      </c>
      <c r="AE15" s="11">
        <v>129</v>
      </c>
      <c r="AF15">
        <f>Tabel242567891011[[#This Row],[Stand Kamertemp liter einde maand]]-Tabel242567891011[[#This Row],[Stand Kamertemp liter vorige maand]]</f>
        <v>12</v>
      </c>
      <c r="AG15" s="2">
        <f>Tabel242567891011[[#This Row],[Verbruik Kamertemp liter deze maand]]/0.15</f>
        <v>80</v>
      </c>
      <c r="AH15" s="25">
        <v>834.8</v>
      </c>
      <c r="AI15" s="25">
        <v>793.2</v>
      </c>
      <c r="AJ15">
        <f>Tabel242567891011[[#This Row],[Stand Gekoeld liter einde maand]]-Tabel242567891011[[#This Row],[Stand Gekoeld liter vorige maand]]</f>
        <v>41.599999999999909</v>
      </c>
      <c r="AK15" s="2">
        <f>Tabel242567891011[[#This Row],[Verbruik Gekoeld liter deze maand]]/0.15</f>
        <v>277.33333333333275</v>
      </c>
      <c r="AL15" s="25">
        <v>986.8</v>
      </c>
      <c r="AM15" s="25">
        <v>931.6</v>
      </c>
      <c r="AN15">
        <f>Tabel242567891011[[#This Row],[Stand Bruisend liter einde maand]]-Tabel242567891011[[#This Row],[Stand Bruisend liter vorige maand]]</f>
        <v>55.199999999999932</v>
      </c>
      <c r="AO15" s="2">
        <f>Tabel242567891011[[#This Row],[Verbruik Bruisend liter deze maand]]/0.15</f>
        <v>367.99999999999955</v>
      </c>
      <c r="AP15" s="25">
        <v>348.5</v>
      </c>
      <c r="AQ15" s="25">
        <v>331.5</v>
      </c>
      <c r="AR15">
        <f>Tabel242567891011[[#This Row],[Stand licht bruisend liter einde maand]]-Tabel242567891011[[#This Row],[Stand licht bruisend liter vorige maand]]</f>
        <v>17</v>
      </c>
      <c r="AS15" s="2">
        <f>Tabel242567891011[[#This Row],[Verbruik licht bruisend liter deze maand]]/0.15</f>
        <v>113.33333333333334</v>
      </c>
      <c r="AT15" s="25">
        <v>2147.8000000000002</v>
      </c>
      <c r="AU15" s="25">
        <v>2068.6999999999998</v>
      </c>
      <c r="AV15">
        <f>Tabel242567891011[[#This Row],[Stand heet water liter einde maand]]-Tabel242567891011[[#This Row],[Stand heet water liter vorige maand]]</f>
        <v>79.100000000000364</v>
      </c>
      <c r="AW15" s="20">
        <f>Tabel242567891011[[#This Row],[Verbruik heet Water liter deze maand ]]/0.15</f>
        <v>527.33333333333576</v>
      </c>
      <c r="AX15" s="4">
        <f>Tabel242567891011[[#This Row],[Aantal consumpties heet water deze maand]]+Tabel242567891011[[#This Row],[Aantal consumpties licht bruisend water deze maand]]+Tabel242567891011[[#This Row],[aantal consumpties Bruisend water deze maand]]+Tabel242567891011[[#This Row],[Aantal consumpties gekoeld water deze maand]]+Tabel242567891011[[#This Row],[Aantal consumpties Kamertemp deze maand]]</f>
        <v>1366.0000000000014</v>
      </c>
      <c r="AY15" s="4">
        <f>Tabel242567891011[[#This Row],[Subtotaal waterbar in consumpties]]+Tabel242567891011[[#This Row],[Subtotaal koffieautomaten]]</f>
        <v>1366.0000000000014</v>
      </c>
    </row>
    <row r="16" spans="1:51" x14ac:dyDescent="0.25">
      <c r="A16" t="s">
        <v>56</v>
      </c>
      <c r="B16" t="s">
        <v>57</v>
      </c>
      <c r="C16" t="s">
        <v>31</v>
      </c>
      <c r="E16" s="11">
        <v>8964</v>
      </c>
      <c r="F16" s="11">
        <v>8057</v>
      </c>
      <c r="G16" s="12">
        <f>Tabel242567891011[[#This Row],[Stand Coffee einde maand]]-Tabel242567891011[[#This Row],[Coffee vorige maand]]</f>
        <v>907</v>
      </c>
      <c r="H16" s="11">
        <v>2135</v>
      </c>
      <c r="I16" s="11">
        <v>1940</v>
      </c>
      <c r="J16" s="12">
        <f>Tabel242567891011[[#This Row],[Stand Espresso Einde maand]]-Tabel242567891011[[#This Row],[Espresso vorige maand]]</f>
        <v>195</v>
      </c>
      <c r="K16" s="11">
        <v>331</v>
      </c>
      <c r="L16" s="11">
        <v>301</v>
      </c>
      <c r="M16">
        <f>Tabel242567891011[[#This Row],[Stand Latte Macchiato einde maand]]-Tabel242567891011[[#This Row],[Latte Macchiato vorige maand]]</f>
        <v>30</v>
      </c>
      <c r="N16" s="11">
        <v>793</v>
      </c>
      <c r="O16" s="11">
        <v>693</v>
      </c>
      <c r="P16">
        <f>Tabel242567891011[[#This Row],[Stand Coffee Latte einde maand]]-Tabel242567891011[[#This Row],[Coffee Latte vorige maand]]</f>
        <v>100</v>
      </c>
      <c r="Q16" s="11">
        <v>14194</v>
      </c>
      <c r="R16" s="11">
        <v>12400</v>
      </c>
      <c r="S16">
        <f>Tabel242567891011[[#This Row],[Stand Hot Water einde maand]]-Tabel242567891011[[#This Row],[Hot Water vorige maand]]</f>
        <v>1794</v>
      </c>
      <c r="T16" s="11">
        <v>4863</v>
      </c>
      <c r="U16" s="11">
        <v>4415</v>
      </c>
      <c r="V16">
        <f>Tabel242567891011[[#This Row],[Stand Cappucino einde maand]]-Tabel242567891011[[#This Row],[Stand Cappucino vorige maand]]</f>
        <v>448</v>
      </c>
      <c r="W16" s="11">
        <v>1552</v>
      </c>
      <c r="X16" s="11">
        <v>1419</v>
      </c>
      <c r="Y16">
        <f>Tabel242567891011[[#This Row],[Stand Cappucino Plantaardig einde maand]]-Tabel242567891011[[#This Row],[Stand Cappucino Plantaardig vorige maand]]</f>
        <v>133</v>
      </c>
      <c r="Z16" s="11">
        <v>294</v>
      </c>
      <c r="AA16" s="11">
        <v>281</v>
      </c>
      <c r="AB16" s="12">
        <f>Tabel242567891011[[#This Row],[Stand Latte Macchiato Plantaardig einde maand]]-Tabel242567891011[[#This Row],[Stand Latte Macchiato Plantaardig vorige maand]]</f>
        <v>13</v>
      </c>
      <c r="AC16" s="3">
        <f>Tabel242567891011[[#This Row],[Verbruik Stand Latte Macchiato Plantaardig deze maand]]+Tabel242567891011[[#This Row],[Verbruik  Cappucino Plantaardig deze maand]]+Tabel242567891011[[#This Row],[Verbruik Cappucino deze maand]]+Tabel242567891011[[#This Row],[Verbruik Hot Water deze maand]]+Tabel242567891011[[#This Row],[Verbruik Coffee Latte deze maand]]+Tabel242567891011[[#This Row],[Verbruik Latte Macchiato deze maand]]+Tabel242567891011[[#This Row],[Verbruik Espresso deze maand]]+Tabel242567891011[[#This Row],[Verbruik Coffee deze maand]]</f>
        <v>3620</v>
      </c>
      <c r="AD16" s="26"/>
      <c r="AE16" s="26"/>
      <c r="AF16" s="5"/>
      <c r="AG16" s="7"/>
      <c r="AH16" s="26"/>
      <c r="AI16" s="26"/>
      <c r="AJ16" s="5"/>
      <c r="AK16" s="7"/>
      <c r="AL16" s="26"/>
      <c r="AM16" s="26"/>
      <c r="AN16" s="5"/>
      <c r="AO16" s="5"/>
      <c r="AP16" s="26"/>
      <c r="AQ16" s="26"/>
      <c r="AR16" s="5"/>
      <c r="AS16" s="7"/>
      <c r="AT16" s="26"/>
      <c r="AU16" s="26"/>
      <c r="AV16" s="5"/>
      <c r="AW16" s="21"/>
      <c r="AX16" s="8"/>
      <c r="AY16" s="4">
        <f>Tabel242567891011[[#This Row],[Subtotaal waterbar in consumpties]]+Tabel242567891011[[#This Row],[Subtotaal koffieautomaten]]</f>
        <v>3620</v>
      </c>
    </row>
    <row r="17" spans="1:51" x14ac:dyDescent="0.25">
      <c r="A17" t="s">
        <v>58</v>
      </c>
      <c r="B17" t="s">
        <v>59</v>
      </c>
      <c r="C17" t="s">
        <v>47</v>
      </c>
      <c r="E17" s="11">
        <v>7463</v>
      </c>
      <c r="F17" s="11">
        <v>6626</v>
      </c>
      <c r="G17" s="12">
        <f>Tabel242567891011[[#This Row],[Stand Coffee einde maand]]-Tabel242567891011[[#This Row],[Coffee vorige maand]]</f>
        <v>837</v>
      </c>
      <c r="H17" s="11">
        <v>1274</v>
      </c>
      <c r="I17" s="11">
        <v>1088</v>
      </c>
      <c r="J17" s="12">
        <f>Tabel242567891011[[#This Row],[Stand Espresso Einde maand]]-Tabel242567891011[[#This Row],[Espresso vorige maand]]</f>
        <v>186</v>
      </c>
      <c r="K17" s="11">
        <v>833</v>
      </c>
      <c r="L17" s="11">
        <v>703</v>
      </c>
      <c r="M17">
        <f>Tabel242567891011[[#This Row],[Stand Latte Macchiato einde maand]]-Tabel242567891011[[#This Row],[Latte Macchiato vorige maand]]</f>
        <v>130</v>
      </c>
      <c r="N17" s="11">
        <v>195</v>
      </c>
      <c r="O17" s="11">
        <v>181</v>
      </c>
      <c r="P17">
        <f>Tabel242567891011[[#This Row],[Stand Coffee Latte einde maand]]-Tabel242567891011[[#This Row],[Coffee Latte vorige maand]]</f>
        <v>14</v>
      </c>
      <c r="Q17" s="11">
        <v>1</v>
      </c>
      <c r="R17" s="11">
        <v>1</v>
      </c>
      <c r="S17">
        <f>Tabel242567891011[[#This Row],[Stand Hot Water einde maand]]-Tabel242567891011[[#This Row],[Hot Water vorige maand]]</f>
        <v>0</v>
      </c>
      <c r="T17" s="11">
        <v>3481</v>
      </c>
      <c r="U17" s="11">
        <v>3082</v>
      </c>
      <c r="V17">
        <f>Tabel242567891011[[#This Row],[Stand Cappucino einde maand]]-Tabel242567891011[[#This Row],[Stand Cappucino vorige maand]]</f>
        <v>399</v>
      </c>
      <c r="W17" s="11">
        <v>1773</v>
      </c>
      <c r="X17" s="11">
        <v>1596</v>
      </c>
      <c r="Y17">
        <f>Tabel242567891011[[#This Row],[Stand Cappucino Plantaardig einde maand]]-Tabel242567891011[[#This Row],[Stand Cappucino Plantaardig vorige maand]]</f>
        <v>177</v>
      </c>
      <c r="Z17" s="11">
        <v>239</v>
      </c>
      <c r="AA17" s="11">
        <v>224</v>
      </c>
      <c r="AB17" s="12">
        <f>Tabel242567891011[[#This Row],[Stand Latte Macchiato Plantaardig einde maand]]-Tabel242567891011[[#This Row],[Stand Latte Macchiato Plantaardig vorige maand]]</f>
        <v>15</v>
      </c>
      <c r="AC17" s="3">
        <f>Tabel242567891011[[#This Row],[Verbruik Stand Latte Macchiato Plantaardig deze maand]]+Tabel242567891011[[#This Row],[Verbruik  Cappucino Plantaardig deze maand]]+Tabel242567891011[[#This Row],[Verbruik Cappucino deze maand]]+Tabel242567891011[[#This Row],[Verbruik Hot Water deze maand]]+Tabel242567891011[[#This Row],[Verbruik Coffee Latte deze maand]]+Tabel242567891011[[#This Row],[Verbruik Latte Macchiato deze maand]]+Tabel242567891011[[#This Row],[Verbruik Espresso deze maand]]+Tabel242567891011[[#This Row],[Verbruik Coffee deze maand]]</f>
        <v>1758</v>
      </c>
      <c r="AD17" s="11">
        <v>297.3</v>
      </c>
      <c r="AE17" s="11">
        <v>273.7</v>
      </c>
      <c r="AF17">
        <f>Tabel242567891011[[#This Row],[Stand Kamertemp liter einde maand]]-Tabel242567891011[[#This Row],[Stand Kamertemp liter vorige maand]]</f>
        <v>23.600000000000023</v>
      </c>
      <c r="AG17" s="2">
        <f>Tabel242567891011[[#This Row],[Verbruik Kamertemp liter deze maand]]/0.15</f>
        <v>157.33333333333348</v>
      </c>
      <c r="AH17" s="11">
        <v>1372</v>
      </c>
      <c r="AI17" s="11">
        <v>1178.5999999999999</v>
      </c>
      <c r="AJ17">
        <f>Tabel242567891011[[#This Row],[Stand Gekoeld liter einde maand]]-Tabel242567891011[[#This Row],[Stand Gekoeld liter vorige maand]]</f>
        <v>193.40000000000009</v>
      </c>
      <c r="AK17" s="2">
        <f>Tabel242567891011[[#This Row],[Verbruik Gekoeld liter deze maand]]/0.15</f>
        <v>1289.3333333333339</v>
      </c>
      <c r="AL17" s="11">
        <v>1735.5</v>
      </c>
      <c r="AM17" s="11">
        <v>1478.7</v>
      </c>
      <c r="AN17">
        <f>Tabel242567891011[[#This Row],[Stand Bruisend liter einde maand]]-Tabel242567891011[[#This Row],[Stand Bruisend liter vorige maand]]</f>
        <v>256.79999999999995</v>
      </c>
      <c r="AO17" s="2">
        <f>Tabel242567891011[[#This Row],[Verbruik Bruisend liter deze maand]]/0.15</f>
        <v>1711.9999999999998</v>
      </c>
      <c r="AP17" s="11">
        <v>478.3</v>
      </c>
      <c r="AQ17" s="11">
        <v>426.2</v>
      </c>
      <c r="AR17">
        <f>Tabel242567891011[[#This Row],[Stand licht bruisend liter einde maand]]-Tabel242567891011[[#This Row],[Stand licht bruisend liter vorige maand]]</f>
        <v>52.100000000000023</v>
      </c>
      <c r="AS17" s="2">
        <f>Tabel242567891011[[#This Row],[Verbruik licht bruisend liter deze maand]]/0.15</f>
        <v>347.33333333333348</v>
      </c>
      <c r="AT17" s="11">
        <v>3394.7</v>
      </c>
      <c r="AU17" s="11">
        <v>2962.5</v>
      </c>
      <c r="AV17">
        <f>Tabel242567891011[[#This Row],[Stand heet water liter einde maand]]-Tabel242567891011[[#This Row],[Stand heet water liter vorige maand]]</f>
        <v>432.19999999999982</v>
      </c>
      <c r="AW17" s="20">
        <f>Tabel242567891011[[#This Row],[Verbruik heet Water liter deze maand ]]/0.15</f>
        <v>2881.3333333333321</v>
      </c>
      <c r="AX17" s="4">
        <f>Tabel242567891011[[#This Row],[Aantal consumpties heet water deze maand]]+Tabel242567891011[[#This Row],[Aantal consumpties licht bruisend water deze maand]]+Tabel242567891011[[#This Row],[aantal consumpties Bruisend water deze maand]]+Tabel242567891011[[#This Row],[Aantal consumpties gekoeld water deze maand]]+Tabel242567891011[[#This Row],[Aantal consumpties Kamertemp deze maand]]</f>
        <v>6387.3333333333321</v>
      </c>
      <c r="AY17" s="4">
        <f>Tabel242567891011[[#This Row],[Subtotaal waterbar in consumpties]]+Tabel242567891011[[#This Row],[Subtotaal koffieautomaten]]</f>
        <v>8145.3333333333321</v>
      </c>
    </row>
    <row r="18" spans="1:51" x14ac:dyDescent="0.25">
      <c r="A18" t="s">
        <v>60</v>
      </c>
      <c r="B18" t="s">
        <v>61</v>
      </c>
      <c r="C18" t="s">
        <v>31</v>
      </c>
      <c r="E18" s="11">
        <v>7526</v>
      </c>
      <c r="F18" s="11">
        <v>6833</v>
      </c>
      <c r="G18" s="12">
        <f>Tabel242567891011[[#This Row],[Stand Coffee einde maand]]-Tabel242567891011[[#This Row],[Coffee vorige maand]]</f>
        <v>693</v>
      </c>
      <c r="H18" s="11">
        <v>1188</v>
      </c>
      <c r="I18" s="11">
        <v>1081</v>
      </c>
      <c r="J18" s="12">
        <f>Tabel242567891011[[#This Row],[Stand Espresso Einde maand]]-Tabel242567891011[[#This Row],[Espresso vorige maand]]</f>
        <v>107</v>
      </c>
      <c r="K18" s="11">
        <v>581</v>
      </c>
      <c r="L18" s="11">
        <v>529</v>
      </c>
      <c r="M18">
        <f>Tabel242567891011[[#This Row],[Stand Latte Macchiato einde maand]]-Tabel242567891011[[#This Row],[Latte Macchiato vorige maand]]</f>
        <v>52</v>
      </c>
      <c r="N18" s="11">
        <v>158</v>
      </c>
      <c r="O18" s="11">
        <v>150</v>
      </c>
      <c r="P18">
        <f>Tabel242567891011[[#This Row],[Stand Coffee Latte einde maand]]-Tabel242567891011[[#This Row],[Coffee Latte vorige maand]]</f>
        <v>8</v>
      </c>
      <c r="Q18" s="11">
        <v>14024</v>
      </c>
      <c r="R18" s="11">
        <v>12188</v>
      </c>
      <c r="S18">
        <f>Tabel242567891011[[#This Row],[Stand Hot Water einde maand]]-Tabel242567891011[[#This Row],[Hot Water vorige maand]]</f>
        <v>1836</v>
      </c>
      <c r="T18" s="11">
        <v>4279</v>
      </c>
      <c r="U18" s="11">
        <v>3775</v>
      </c>
      <c r="V18">
        <f>Tabel242567891011[[#This Row],[Stand Cappucino einde maand]]-Tabel242567891011[[#This Row],[Stand Cappucino vorige maand]]</f>
        <v>504</v>
      </c>
      <c r="W18" s="11">
        <v>867</v>
      </c>
      <c r="X18" s="11">
        <v>763</v>
      </c>
      <c r="Y18">
        <f>Tabel242567891011[[#This Row],[Stand Cappucino Plantaardig einde maand]]-Tabel242567891011[[#This Row],[Stand Cappucino Plantaardig vorige maand]]</f>
        <v>104</v>
      </c>
      <c r="Z18" s="11">
        <v>262</v>
      </c>
      <c r="AA18" s="11">
        <v>222</v>
      </c>
      <c r="AB18" s="12">
        <f>Tabel242567891011[[#This Row],[Stand Latte Macchiato Plantaardig einde maand]]-Tabel242567891011[[#This Row],[Stand Latte Macchiato Plantaardig vorige maand]]</f>
        <v>40</v>
      </c>
      <c r="AC18" s="3">
        <f>Tabel242567891011[[#This Row],[Verbruik Stand Latte Macchiato Plantaardig deze maand]]+Tabel242567891011[[#This Row],[Verbruik  Cappucino Plantaardig deze maand]]+Tabel242567891011[[#This Row],[Verbruik Cappucino deze maand]]+Tabel242567891011[[#This Row],[Verbruik Hot Water deze maand]]+Tabel242567891011[[#This Row],[Verbruik Coffee Latte deze maand]]+Tabel242567891011[[#This Row],[Verbruik Latte Macchiato deze maand]]+Tabel242567891011[[#This Row],[Verbruik Espresso deze maand]]+Tabel242567891011[[#This Row],[Verbruik Coffee deze maand]]</f>
        <v>3344</v>
      </c>
      <c r="AD18" s="26"/>
      <c r="AE18" s="26"/>
      <c r="AF18" s="5"/>
      <c r="AG18" s="7"/>
      <c r="AH18" s="26"/>
      <c r="AI18" s="26"/>
      <c r="AJ18" s="5"/>
      <c r="AK18" s="7"/>
      <c r="AL18" s="26"/>
      <c r="AM18" s="26"/>
      <c r="AN18" s="5"/>
      <c r="AO18" s="5"/>
      <c r="AP18" s="26"/>
      <c r="AQ18" s="26"/>
      <c r="AR18" s="5"/>
      <c r="AS18" s="7"/>
      <c r="AT18" s="26"/>
      <c r="AU18" s="26"/>
      <c r="AV18" s="5"/>
      <c r="AW18" s="21"/>
      <c r="AX18" s="8"/>
      <c r="AY18" s="4">
        <f>Tabel242567891011[[#This Row],[Subtotaal waterbar in consumpties]]+Tabel242567891011[[#This Row],[Subtotaal koffieautomaten]]</f>
        <v>3344</v>
      </c>
    </row>
    <row r="19" spans="1:51" x14ac:dyDescent="0.25">
      <c r="A19" t="s">
        <v>62</v>
      </c>
      <c r="B19" t="s">
        <v>63</v>
      </c>
      <c r="C19" t="s">
        <v>36</v>
      </c>
      <c r="E19" s="42"/>
      <c r="F19" s="42"/>
      <c r="G19" s="43"/>
      <c r="H19" s="42"/>
      <c r="I19" s="42"/>
      <c r="J19" s="43"/>
      <c r="K19" s="42"/>
      <c r="L19" s="42"/>
      <c r="M19" s="43"/>
      <c r="N19" s="42"/>
      <c r="O19" s="42"/>
      <c r="P19" s="43"/>
      <c r="Q19" s="42"/>
      <c r="R19" s="42"/>
      <c r="S19" s="43"/>
      <c r="T19" s="42"/>
      <c r="U19" s="42"/>
      <c r="V19" s="43"/>
      <c r="W19" s="42"/>
      <c r="X19" s="42"/>
      <c r="Y19" s="43"/>
      <c r="Z19" s="42"/>
      <c r="AA19" s="42"/>
      <c r="AB19" s="43"/>
      <c r="AC19" s="43"/>
      <c r="AD19" s="11">
        <v>98.5</v>
      </c>
      <c r="AE19" s="11">
        <v>89.9</v>
      </c>
      <c r="AF19">
        <f>Tabel242567891011[[#This Row],[Stand Kamertemp liter einde maand]]-Tabel242567891011[[#This Row],[Stand Kamertemp liter vorige maand]]</f>
        <v>8.5999999999999943</v>
      </c>
      <c r="AG19" s="2">
        <f>Tabel242567891011[[#This Row],[Verbruik Kamertemp liter deze maand]]/0.15</f>
        <v>57.3333333333333</v>
      </c>
      <c r="AH19" s="25">
        <v>807.6</v>
      </c>
      <c r="AI19" s="25">
        <v>721</v>
      </c>
      <c r="AJ19">
        <f>Tabel242567891011[[#This Row],[Stand Gekoeld liter einde maand]]-Tabel242567891011[[#This Row],[Stand Gekoeld liter vorige maand]]</f>
        <v>86.600000000000023</v>
      </c>
      <c r="AK19" s="2">
        <f>Tabel242567891011[[#This Row],[Verbruik Gekoeld liter deze maand]]/0.15</f>
        <v>577.33333333333348</v>
      </c>
      <c r="AL19" s="25">
        <v>1032.8</v>
      </c>
      <c r="AM19" s="25">
        <v>953.7</v>
      </c>
      <c r="AN19">
        <f>Tabel242567891011[[#This Row],[Stand Bruisend liter einde maand]]-Tabel242567891011[[#This Row],[Stand Bruisend liter vorige maand]]</f>
        <v>79.099999999999909</v>
      </c>
      <c r="AO19" s="2">
        <f>Tabel242567891011[[#This Row],[Verbruik Bruisend liter deze maand]]/0.15</f>
        <v>527.3333333333328</v>
      </c>
      <c r="AP19" s="25">
        <v>212.4</v>
      </c>
      <c r="AQ19" s="25">
        <v>196.9</v>
      </c>
      <c r="AR19">
        <f>Tabel242567891011[[#This Row],[Stand licht bruisend liter einde maand]]-Tabel242567891011[[#This Row],[Stand licht bruisend liter vorige maand]]</f>
        <v>15.5</v>
      </c>
      <c r="AS19" s="2">
        <f>Tabel242567891011[[#This Row],[Verbruik licht bruisend liter deze maand]]/0.15</f>
        <v>103.33333333333334</v>
      </c>
      <c r="AT19" s="25">
        <v>1081.2</v>
      </c>
      <c r="AU19" s="25">
        <v>982.3</v>
      </c>
      <c r="AV19">
        <f>Tabel242567891011[[#This Row],[Stand heet water liter einde maand]]-Tabel242567891011[[#This Row],[Stand heet water liter vorige maand]]</f>
        <v>98.900000000000091</v>
      </c>
      <c r="AW19" s="20">
        <f>Tabel242567891011[[#This Row],[Verbruik heet Water liter deze maand ]]/0.15</f>
        <v>659.33333333333394</v>
      </c>
      <c r="AX19" s="4">
        <f>Tabel242567891011[[#This Row],[Aantal consumpties heet water deze maand]]+Tabel242567891011[[#This Row],[Aantal consumpties licht bruisend water deze maand]]+Tabel242567891011[[#This Row],[aantal consumpties Bruisend water deze maand]]+Tabel242567891011[[#This Row],[Aantal consumpties gekoeld water deze maand]]+Tabel242567891011[[#This Row],[Aantal consumpties Kamertemp deze maand]]</f>
        <v>1924.6666666666667</v>
      </c>
      <c r="AY19" s="4">
        <f>Tabel242567891011[[#This Row],[Subtotaal waterbar in consumpties]]+Tabel242567891011[[#This Row],[Subtotaal koffieautomaten]]</f>
        <v>1924.6666666666667</v>
      </c>
    </row>
    <row r="20" spans="1:51" x14ac:dyDescent="0.25">
      <c r="A20" t="s">
        <v>64</v>
      </c>
      <c r="B20" t="s">
        <v>65</v>
      </c>
      <c r="C20" t="s">
        <v>31</v>
      </c>
      <c r="E20" s="11">
        <v>7536</v>
      </c>
      <c r="F20" s="11">
        <v>6598</v>
      </c>
      <c r="G20" s="12">
        <f>Tabel242567891011[[#This Row],[Stand Coffee einde maand]]-Tabel242567891011[[#This Row],[Coffee vorige maand]]</f>
        <v>938</v>
      </c>
      <c r="H20" s="11">
        <v>2208</v>
      </c>
      <c r="I20" s="11">
        <v>1982</v>
      </c>
      <c r="J20" s="12">
        <f>Tabel242567891011[[#This Row],[Stand Espresso Einde maand]]-Tabel242567891011[[#This Row],[Espresso vorige maand]]</f>
        <v>226</v>
      </c>
      <c r="K20" s="11">
        <v>931</v>
      </c>
      <c r="L20" s="11">
        <v>814</v>
      </c>
      <c r="M20">
        <f>Tabel242567891011[[#This Row],[Stand Latte Macchiato einde maand]]-Tabel242567891011[[#This Row],[Latte Macchiato vorige maand]]</f>
        <v>117</v>
      </c>
      <c r="N20" s="11">
        <v>368</v>
      </c>
      <c r="O20" s="11">
        <v>320</v>
      </c>
      <c r="P20">
        <f>Tabel242567891011[[#This Row],[Stand Coffee Latte einde maand]]-Tabel242567891011[[#This Row],[Coffee Latte vorige maand]]</f>
        <v>48</v>
      </c>
      <c r="Q20" s="11">
        <v>14444</v>
      </c>
      <c r="R20" s="11">
        <v>12483</v>
      </c>
      <c r="S20">
        <f>Tabel242567891011[[#This Row],[Stand Hot Water einde maand]]-Tabel242567891011[[#This Row],[Hot Water vorige maand]]</f>
        <v>1961</v>
      </c>
      <c r="T20" s="11">
        <v>5114</v>
      </c>
      <c r="U20" s="11">
        <v>4433</v>
      </c>
      <c r="V20">
        <f>Tabel242567891011[[#This Row],[Stand Cappucino einde maand]]-Tabel242567891011[[#This Row],[Stand Cappucino vorige maand]]</f>
        <v>681</v>
      </c>
      <c r="W20" s="11">
        <v>1073</v>
      </c>
      <c r="X20" s="11">
        <v>958</v>
      </c>
      <c r="Y20">
        <f>Tabel242567891011[[#This Row],[Stand Cappucino Plantaardig einde maand]]-Tabel242567891011[[#This Row],[Stand Cappucino Plantaardig vorige maand]]</f>
        <v>115</v>
      </c>
      <c r="Z20" s="11">
        <v>234</v>
      </c>
      <c r="AA20" s="11">
        <v>206</v>
      </c>
      <c r="AB20" s="12">
        <f>Tabel242567891011[[#This Row],[Stand Latte Macchiato Plantaardig einde maand]]-Tabel242567891011[[#This Row],[Stand Latte Macchiato Plantaardig vorige maand]]</f>
        <v>28</v>
      </c>
      <c r="AC20" s="3">
        <f>Tabel242567891011[[#This Row],[Verbruik Stand Latte Macchiato Plantaardig deze maand]]+Tabel242567891011[[#This Row],[Verbruik  Cappucino Plantaardig deze maand]]+Tabel242567891011[[#This Row],[Verbruik Cappucino deze maand]]+Tabel242567891011[[#This Row],[Verbruik Hot Water deze maand]]+Tabel242567891011[[#This Row],[Verbruik Coffee Latte deze maand]]+Tabel242567891011[[#This Row],[Verbruik Latte Macchiato deze maand]]+Tabel242567891011[[#This Row],[Verbruik Espresso deze maand]]+Tabel242567891011[[#This Row],[Verbruik Coffee deze maand]]</f>
        <v>4114</v>
      </c>
      <c r="AD20" s="26"/>
      <c r="AE20" s="26"/>
      <c r="AF20" s="5"/>
      <c r="AG20" s="7"/>
      <c r="AH20" s="26"/>
      <c r="AI20" s="26"/>
      <c r="AJ20" s="5"/>
      <c r="AK20" s="7"/>
      <c r="AL20" s="26"/>
      <c r="AM20" s="26"/>
      <c r="AN20" s="5"/>
      <c r="AO20" s="5"/>
      <c r="AP20" s="26"/>
      <c r="AQ20" s="26"/>
      <c r="AR20" s="5"/>
      <c r="AS20" s="7"/>
      <c r="AT20" s="26"/>
      <c r="AU20" s="26"/>
      <c r="AV20" s="5"/>
      <c r="AW20" s="21"/>
      <c r="AX20" s="8"/>
      <c r="AY20" s="4">
        <f>Tabel242567891011[[#This Row],[Subtotaal waterbar in consumpties]]+Tabel242567891011[[#This Row],[Subtotaal koffieautomaten]]</f>
        <v>4114</v>
      </c>
    </row>
    <row r="21" spans="1:51" x14ac:dyDescent="0.25">
      <c r="A21" t="s">
        <v>66</v>
      </c>
      <c r="B21" t="s">
        <v>67</v>
      </c>
      <c r="C21" t="s">
        <v>31</v>
      </c>
      <c r="E21" s="11">
        <v>9523</v>
      </c>
      <c r="F21" s="11">
        <v>8471</v>
      </c>
      <c r="G21" s="12">
        <f>Tabel242567891011[[#This Row],[Stand Coffee einde maand]]-Tabel242567891011[[#This Row],[Coffee vorige maand]]</f>
        <v>1052</v>
      </c>
      <c r="H21" s="11">
        <v>1385</v>
      </c>
      <c r="I21" s="11">
        <v>1150</v>
      </c>
      <c r="J21" s="12">
        <f>Tabel242567891011[[#This Row],[Stand Espresso Einde maand]]-Tabel242567891011[[#This Row],[Espresso vorige maand]]</f>
        <v>235</v>
      </c>
      <c r="K21" s="11">
        <v>1195</v>
      </c>
      <c r="L21" s="11">
        <v>1023</v>
      </c>
      <c r="M21">
        <f>Tabel242567891011[[#This Row],[Stand Latte Macchiato einde maand]]-Tabel242567891011[[#This Row],[Latte Macchiato vorige maand]]</f>
        <v>172</v>
      </c>
      <c r="N21" s="11">
        <v>381</v>
      </c>
      <c r="O21" s="11">
        <v>351</v>
      </c>
      <c r="P21">
        <f>Tabel242567891011[[#This Row],[Stand Coffee Latte einde maand]]-Tabel242567891011[[#This Row],[Coffee Latte vorige maand]]</f>
        <v>30</v>
      </c>
      <c r="Q21" s="11">
        <v>14940</v>
      </c>
      <c r="R21" s="11">
        <v>13115</v>
      </c>
      <c r="S21">
        <f>Tabel242567891011[[#This Row],[Stand Hot Water einde maand]]-Tabel242567891011[[#This Row],[Hot Water vorige maand]]</f>
        <v>1825</v>
      </c>
      <c r="T21" s="11">
        <v>4895</v>
      </c>
      <c r="U21" s="11">
        <v>4225</v>
      </c>
      <c r="V21">
        <f>Tabel242567891011[[#This Row],[Stand Cappucino einde maand]]-Tabel242567891011[[#This Row],[Stand Cappucino vorige maand]]</f>
        <v>670</v>
      </c>
      <c r="W21" s="11">
        <v>1459</v>
      </c>
      <c r="X21" s="11">
        <v>1372</v>
      </c>
      <c r="Y21">
        <f>Tabel242567891011[[#This Row],[Stand Cappucino Plantaardig einde maand]]-Tabel242567891011[[#This Row],[Stand Cappucino Plantaardig vorige maand]]</f>
        <v>87</v>
      </c>
      <c r="Z21" s="11">
        <v>402</v>
      </c>
      <c r="AA21" s="11">
        <v>378</v>
      </c>
      <c r="AB21" s="12">
        <f>Tabel242567891011[[#This Row],[Stand Latte Macchiato Plantaardig einde maand]]-Tabel242567891011[[#This Row],[Stand Latte Macchiato Plantaardig vorige maand]]</f>
        <v>24</v>
      </c>
      <c r="AC21" s="3">
        <f>Tabel242567891011[[#This Row],[Verbruik Stand Latte Macchiato Plantaardig deze maand]]+Tabel242567891011[[#This Row],[Verbruik  Cappucino Plantaardig deze maand]]+Tabel242567891011[[#This Row],[Verbruik Cappucino deze maand]]+Tabel242567891011[[#This Row],[Verbruik Hot Water deze maand]]+Tabel242567891011[[#This Row],[Verbruik Coffee Latte deze maand]]+Tabel242567891011[[#This Row],[Verbruik Latte Macchiato deze maand]]+Tabel242567891011[[#This Row],[Verbruik Espresso deze maand]]+Tabel242567891011[[#This Row],[Verbruik Coffee deze maand]]</f>
        <v>4095</v>
      </c>
      <c r="AD21" s="26"/>
      <c r="AE21" s="26"/>
      <c r="AF21" s="5"/>
      <c r="AG21" s="7"/>
      <c r="AH21" s="26"/>
      <c r="AI21" s="26"/>
      <c r="AJ21" s="5"/>
      <c r="AK21" s="7"/>
      <c r="AL21" s="26"/>
      <c r="AM21" s="26"/>
      <c r="AN21" s="5"/>
      <c r="AO21" s="5"/>
      <c r="AP21" s="26"/>
      <c r="AQ21" s="26"/>
      <c r="AR21" s="5"/>
      <c r="AS21" s="7"/>
      <c r="AT21" s="26"/>
      <c r="AU21" s="26"/>
      <c r="AV21" s="5"/>
      <c r="AW21" s="21"/>
      <c r="AX21" s="8"/>
      <c r="AY21" s="4">
        <f>Tabel242567891011[[#This Row],[Subtotaal waterbar in consumpties]]+Tabel242567891011[[#This Row],[Subtotaal koffieautomaten]]</f>
        <v>4095</v>
      </c>
    </row>
    <row r="22" spans="1:51" x14ac:dyDescent="0.25">
      <c r="A22" t="s">
        <v>68</v>
      </c>
      <c r="B22" t="s">
        <v>69</v>
      </c>
      <c r="C22" t="s">
        <v>47</v>
      </c>
      <c r="E22" s="11">
        <v>4957</v>
      </c>
      <c r="F22" s="11">
        <v>4377</v>
      </c>
      <c r="G22" s="12">
        <f>Tabel242567891011[[#This Row],[Stand Coffee einde maand]]-Tabel242567891011[[#This Row],[Coffee vorige maand]]</f>
        <v>580</v>
      </c>
      <c r="H22" s="11">
        <v>1964</v>
      </c>
      <c r="I22" s="11">
        <v>1697</v>
      </c>
      <c r="J22" s="12">
        <f>Tabel242567891011[[#This Row],[Stand Espresso Einde maand]]-Tabel242567891011[[#This Row],[Espresso vorige maand]]</f>
        <v>267</v>
      </c>
      <c r="K22" s="11">
        <v>1700</v>
      </c>
      <c r="L22" s="11">
        <v>1484</v>
      </c>
      <c r="M22">
        <f>Tabel242567891011[[#This Row],[Stand Latte Macchiato einde maand]]-Tabel242567891011[[#This Row],[Latte Macchiato vorige maand]]</f>
        <v>216</v>
      </c>
      <c r="N22" s="11">
        <v>342</v>
      </c>
      <c r="O22" s="11">
        <v>318</v>
      </c>
      <c r="P22">
        <f>Tabel242567891011[[#This Row],[Stand Coffee Latte einde maand]]-Tabel242567891011[[#This Row],[Coffee Latte vorige maand]]</f>
        <v>24</v>
      </c>
      <c r="Q22" s="11">
        <v>1</v>
      </c>
      <c r="R22" s="11">
        <v>1</v>
      </c>
      <c r="S22">
        <f>Tabel242567891011[[#This Row],[Stand Hot Water einde maand]]-Tabel242567891011[[#This Row],[Hot Water vorige maand]]</f>
        <v>0</v>
      </c>
      <c r="T22" s="11">
        <v>6102</v>
      </c>
      <c r="U22" s="11">
        <v>5327</v>
      </c>
      <c r="V22">
        <f>Tabel242567891011[[#This Row],[Stand Cappucino einde maand]]-Tabel242567891011[[#This Row],[Stand Cappucino vorige maand]]</f>
        <v>775</v>
      </c>
      <c r="W22" s="11">
        <v>1037</v>
      </c>
      <c r="X22" s="11">
        <v>917</v>
      </c>
      <c r="Y22">
        <f>Tabel242567891011[[#This Row],[Stand Cappucino Plantaardig einde maand]]-Tabel242567891011[[#This Row],[Stand Cappucino Plantaardig vorige maand]]</f>
        <v>120</v>
      </c>
      <c r="Z22" s="11">
        <v>275</v>
      </c>
      <c r="AA22" s="11">
        <v>257</v>
      </c>
      <c r="AB22" s="12">
        <f>Tabel242567891011[[#This Row],[Stand Latte Macchiato Plantaardig einde maand]]-Tabel242567891011[[#This Row],[Stand Latte Macchiato Plantaardig vorige maand]]</f>
        <v>18</v>
      </c>
      <c r="AC22" s="3">
        <f>Tabel242567891011[[#This Row],[Verbruik Stand Latte Macchiato Plantaardig deze maand]]+Tabel242567891011[[#This Row],[Verbruik  Cappucino Plantaardig deze maand]]+Tabel242567891011[[#This Row],[Verbruik Cappucino deze maand]]+Tabel242567891011[[#This Row],[Verbruik Hot Water deze maand]]+Tabel242567891011[[#This Row],[Verbruik Coffee Latte deze maand]]+Tabel242567891011[[#This Row],[Verbruik Latte Macchiato deze maand]]+Tabel242567891011[[#This Row],[Verbruik Espresso deze maand]]+Tabel242567891011[[#This Row],[Verbruik Coffee deze maand]]</f>
        <v>2000</v>
      </c>
      <c r="AD22" s="11">
        <v>137.6</v>
      </c>
      <c r="AE22" s="11">
        <v>113.3</v>
      </c>
      <c r="AF22">
        <f>Tabel242567891011[[#This Row],[Stand Kamertemp liter einde maand]]-Tabel242567891011[[#This Row],[Stand Kamertemp liter vorige maand]]</f>
        <v>24.299999999999997</v>
      </c>
      <c r="AG22" s="2">
        <f>Tabel242567891011[[#This Row],[Verbruik Kamertemp liter deze maand]]/0.15</f>
        <v>162</v>
      </c>
      <c r="AH22" s="11">
        <v>1781.1</v>
      </c>
      <c r="AI22" s="11">
        <v>1310.9</v>
      </c>
      <c r="AJ22">
        <f>Tabel242567891011[[#This Row],[Stand Gekoeld liter einde maand]]-Tabel242567891011[[#This Row],[Stand Gekoeld liter vorige maand]]</f>
        <v>470.19999999999982</v>
      </c>
      <c r="AK22" s="2">
        <f>Tabel242567891011[[#This Row],[Verbruik Gekoeld liter deze maand]]/0.15</f>
        <v>3134.6666666666656</v>
      </c>
      <c r="AL22" s="11">
        <v>1604.9</v>
      </c>
      <c r="AM22" s="11">
        <v>1244.9000000000001</v>
      </c>
      <c r="AN22">
        <f>Tabel242567891011[[#This Row],[Stand Bruisend liter einde maand]]-Tabel242567891011[[#This Row],[Stand Bruisend liter vorige maand]]</f>
        <v>360</v>
      </c>
      <c r="AO22" s="2">
        <f>Tabel242567891011[[#This Row],[Verbruik Bruisend liter deze maand]]/0.15</f>
        <v>2400</v>
      </c>
      <c r="AP22" s="11">
        <v>623.6</v>
      </c>
      <c r="AQ22" s="11">
        <v>538.20000000000005</v>
      </c>
      <c r="AR22">
        <f>Tabel242567891011[[#This Row],[Stand licht bruisend liter einde maand]]-Tabel242567891011[[#This Row],[Stand licht bruisend liter vorige maand]]</f>
        <v>85.399999999999977</v>
      </c>
      <c r="AS22" s="2">
        <f>Tabel242567891011[[#This Row],[Verbruik licht bruisend liter deze maand]]/0.15</f>
        <v>569.33333333333326</v>
      </c>
      <c r="AT22" s="11">
        <v>4273.7</v>
      </c>
      <c r="AU22" s="11">
        <v>3461.9</v>
      </c>
      <c r="AV22">
        <f>Tabel242567891011[[#This Row],[Stand heet water liter einde maand]]-Tabel242567891011[[#This Row],[Stand heet water liter vorige maand]]</f>
        <v>811.79999999999973</v>
      </c>
      <c r="AW22" s="20">
        <f>Tabel242567891011[[#This Row],[Verbruik heet Water liter deze maand ]]/0.15</f>
        <v>5411.9999999999982</v>
      </c>
      <c r="AX22" s="4">
        <f>Tabel242567891011[[#This Row],[Aantal consumpties heet water deze maand]]+Tabel242567891011[[#This Row],[Aantal consumpties licht bruisend water deze maand]]+Tabel242567891011[[#This Row],[aantal consumpties Bruisend water deze maand]]+Tabel242567891011[[#This Row],[Aantal consumpties gekoeld water deze maand]]+Tabel242567891011[[#This Row],[Aantal consumpties Kamertemp deze maand]]</f>
        <v>11677.999999999998</v>
      </c>
      <c r="AY22" s="4">
        <f>Tabel242567891011[[#This Row],[Subtotaal waterbar in consumpties]]+Tabel242567891011[[#This Row],[Subtotaal koffieautomaten]]</f>
        <v>13677.999999999998</v>
      </c>
    </row>
    <row r="23" spans="1:51" x14ac:dyDescent="0.25">
      <c r="A23" t="s">
        <v>70</v>
      </c>
      <c r="B23" t="s">
        <v>71</v>
      </c>
      <c r="C23" t="s">
        <v>31</v>
      </c>
      <c r="E23" s="11">
        <v>6327</v>
      </c>
      <c r="F23" s="11">
        <v>5618</v>
      </c>
      <c r="G23" s="12">
        <f>Tabel242567891011[[#This Row],[Stand Coffee einde maand]]-Tabel242567891011[[#This Row],[Coffee vorige maand]]</f>
        <v>709</v>
      </c>
      <c r="H23" s="11">
        <v>815</v>
      </c>
      <c r="I23" s="11">
        <v>677</v>
      </c>
      <c r="J23" s="12">
        <f>Tabel242567891011[[#This Row],[Stand Espresso Einde maand]]-Tabel242567891011[[#This Row],[Espresso vorige maand]]</f>
        <v>138</v>
      </c>
      <c r="K23" s="11">
        <v>554</v>
      </c>
      <c r="L23" s="11">
        <v>455</v>
      </c>
      <c r="M23">
        <f>Tabel242567891011[[#This Row],[Stand Latte Macchiato einde maand]]-Tabel242567891011[[#This Row],[Latte Macchiato vorige maand]]</f>
        <v>99</v>
      </c>
      <c r="N23" s="11">
        <v>570</v>
      </c>
      <c r="O23" s="11">
        <v>484</v>
      </c>
      <c r="P23">
        <f>Tabel242567891011[[#This Row],[Stand Coffee Latte einde maand]]-Tabel242567891011[[#This Row],[Coffee Latte vorige maand]]</f>
        <v>86</v>
      </c>
      <c r="Q23" s="11">
        <v>11202</v>
      </c>
      <c r="R23" s="11">
        <v>9858</v>
      </c>
      <c r="S23">
        <f>Tabel242567891011[[#This Row],[Stand Hot Water einde maand]]-Tabel242567891011[[#This Row],[Hot Water vorige maand]]</f>
        <v>1344</v>
      </c>
      <c r="T23" s="11">
        <v>2689</v>
      </c>
      <c r="U23" s="11">
        <v>2413</v>
      </c>
      <c r="V23">
        <f>Tabel242567891011[[#This Row],[Stand Cappucino einde maand]]-Tabel242567891011[[#This Row],[Stand Cappucino vorige maand]]</f>
        <v>276</v>
      </c>
      <c r="W23" s="11">
        <v>662</v>
      </c>
      <c r="X23" s="11">
        <v>619</v>
      </c>
      <c r="Y23">
        <f>Tabel242567891011[[#This Row],[Stand Cappucino Plantaardig einde maand]]-Tabel242567891011[[#This Row],[Stand Cappucino Plantaardig vorige maand]]</f>
        <v>43</v>
      </c>
      <c r="Z23" s="11">
        <v>761</v>
      </c>
      <c r="AA23" s="11">
        <v>671</v>
      </c>
      <c r="AB23" s="12">
        <f>Tabel242567891011[[#This Row],[Stand Latte Macchiato Plantaardig einde maand]]-Tabel242567891011[[#This Row],[Stand Latte Macchiato Plantaardig vorige maand]]</f>
        <v>90</v>
      </c>
      <c r="AC23" s="3">
        <f>Tabel242567891011[[#This Row],[Verbruik Stand Latte Macchiato Plantaardig deze maand]]+Tabel242567891011[[#This Row],[Verbruik  Cappucino Plantaardig deze maand]]+Tabel242567891011[[#This Row],[Verbruik Cappucino deze maand]]+Tabel242567891011[[#This Row],[Verbruik Hot Water deze maand]]+Tabel242567891011[[#This Row],[Verbruik Coffee Latte deze maand]]+Tabel242567891011[[#This Row],[Verbruik Latte Macchiato deze maand]]+Tabel242567891011[[#This Row],[Verbruik Espresso deze maand]]+Tabel242567891011[[#This Row],[Verbruik Coffee deze maand]]</f>
        <v>2785</v>
      </c>
      <c r="AD23" s="26"/>
      <c r="AE23" s="26"/>
      <c r="AF23" s="5"/>
      <c r="AG23" s="7"/>
      <c r="AH23" s="26"/>
      <c r="AI23" s="26"/>
      <c r="AJ23" s="5"/>
      <c r="AK23" s="7"/>
      <c r="AL23" s="26"/>
      <c r="AM23" s="26"/>
      <c r="AN23" s="5"/>
      <c r="AO23" s="5"/>
      <c r="AP23" s="26"/>
      <c r="AQ23" s="26"/>
      <c r="AR23" s="5"/>
      <c r="AS23" s="7"/>
      <c r="AT23" s="26"/>
      <c r="AU23" s="26"/>
      <c r="AV23" s="5"/>
      <c r="AW23" s="21"/>
      <c r="AX23" s="8"/>
      <c r="AY23" s="4">
        <f>Tabel242567891011[[#This Row],[Subtotaal waterbar in consumpties]]+Tabel242567891011[[#This Row],[Subtotaal koffieautomaten]]</f>
        <v>2785</v>
      </c>
    </row>
    <row r="24" spans="1:51" x14ac:dyDescent="0.25">
      <c r="A24" t="s">
        <v>72</v>
      </c>
      <c r="B24" t="s">
        <v>73</v>
      </c>
      <c r="C24" t="s">
        <v>47</v>
      </c>
      <c r="E24" s="11">
        <v>5061</v>
      </c>
      <c r="F24" s="11">
        <v>4514</v>
      </c>
      <c r="G24" s="12">
        <f>Tabel242567891011[[#This Row],[Stand Coffee einde maand]]-Tabel242567891011[[#This Row],[Coffee vorige maand]]</f>
        <v>547</v>
      </c>
      <c r="H24" s="11">
        <v>1667</v>
      </c>
      <c r="I24" s="11">
        <v>1483</v>
      </c>
      <c r="J24" s="12">
        <f>Tabel242567891011[[#This Row],[Stand Espresso Einde maand]]-Tabel242567891011[[#This Row],[Espresso vorige maand]]</f>
        <v>184</v>
      </c>
      <c r="K24" s="11">
        <v>751</v>
      </c>
      <c r="L24" s="11">
        <v>685</v>
      </c>
      <c r="M24">
        <f>Tabel242567891011[[#This Row],[Stand Latte Macchiato einde maand]]-Tabel242567891011[[#This Row],[Latte Macchiato vorige maand]]</f>
        <v>66</v>
      </c>
      <c r="N24" s="11">
        <v>377</v>
      </c>
      <c r="O24" s="11">
        <v>333</v>
      </c>
      <c r="P24">
        <f>Tabel242567891011[[#This Row],[Stand Coffee Latte einde maand]]-Tabel242567891011[[#This Row],[Coffee Latte vorige maand]]</f>
        <v>44</v>
      </c>
      <c r="Q24" s="11">
        <v>1</v>
      </c>
      <c r="R24" s="11">
        <v>1</v>
      </c>
      <c r="S24">
        <f>Tabel242567891011[[#This Row],[Stand Hot Water einde maand]]-Tabel242567891011[[#This Row],[Hot Water vorige maand]]</f>
        <v>0</v>
      </c>
      <c r="T24" s="11">
        <v>3793</v>
      </c>
      <c r="U24" s="11">
        <v>3330</v>
      </c>
      <c r="V24">
        <f>Tabel242567891011[[#This Row],[Stand Cappucino einde maand]]-Tabel242567891011[[#This Row],[Stand Cappucino vorige maand]]</f>
        <v>463</v>
      </c>
      <c r="W24" s="11">
        <v>703</v>
      </c>
      <c r="X24" s="11">
        <v>630</v>
      </c>
      <c r="Y24">
        <f>Tabel242567891011[[#This Row],[Stand Cappucino Plantaardig einde maand]]-Tabel242567891011[[#This Row],[Stand Cappucino Plantaardig vorige maand]]</f>
        <v>73</v>
      </c>
      <c r="Z24" s="11">
        <v>210</v>
      </c>
      <c r="AA24" s="11">
        <v>178</v>
      </c>
      <c r="AB24" s="12">
        <f>Tabel242567891011[[#This Row],[Stand Latte Macchiato Plantaardig einde maand]]-Tabel242567891011[[#This Row],[Stand Latte Macchiato Plantaardig vorige maand]]</f>
        <v>32</v>
      </c>
      <c r="AC24" s="3">
        <f>Tabel242567891011[[#This Row],[Verbruik Stand Latte Macchiato Plantaardig deze maand]]+Tabel242567891011[[#This Row],[Verbruik  Cappucino Plantaardig deze maand]]+Tabel242567891011[[#This Row],[Verbruik Cappucino deze maand]]+Tabel242567891011[[#This Row],[Verbruik Hot Water deze maand]]+Tabel242567891011[[#This Row],[Verbruik Coffee Latte deze maand]]+Tabel242567891011[[#This Row],[Verbruik Latte Macchiato deze maand]]+Tabel242567891011[[#This Row],[Verbruik Espresso deze maand]]+Tabel242567891011[[#This Row],[Verbruik Coffee deze maand]]</f>
        <v>1409</v>
      </c>
      <c r="AD24" s="11">
        <v>146.19999999999999</v>
      </c>
      <c r="AE24" s="11">
        <v>127.4</v>
      </c>
      <c r="AF24">
        <f>Tabel242567891011[[#This Row],[Stand Kamertemp liter einde maand]]-Tabel242567891011[[#This Row],[Stand Kamertemp liter vorige maand]]</f>
        <v>18.799999999999983</v>
      </c>
      <c r="AG24" s="2">
        <f>Tabel242567891011[[#This Row],[Verbruik Kamertemp liter deze maand]]/0.15</f>
        <v>125.33333333333323</v>
      </c>
      <c r="AH24" s="11">
        <v>963</v>
      </c>
      <c r="AI24" s="11">
        <v>856.9</v>
      </c>
      <c r="AJ24">
        <f>Tabel242567891011[[#This Row],[Stand Gekoeld liter einde maand]]-Tabel242567891011[[#This Row],[Stand Gekoeld liter vorige maand]]</f>
        <v>106.10000000000002</v>
      </c>
      <c r="AK24" s="2">
        <f>Tabel242567891011[[#This Row],[Verbruik Gekoeld liter deze maand]]/0.15</f>
        <v>707.33333333333348</v>
      </c>
      <c r="AL24" s="11">
        <v>884.2</v>
      </c>
      <c r="AM24" s="11">
        <v>785.2</v>
      </c>
      <c r="AN24">
        <f>Tabel242567891011[[#This Row],[Stand Bruisend liter einde maand]]-Tabel242567891011[[#This Row],[Stand Bruisend liter vorige maand]]</f>
        <v>99</v>
      </c>
      <c r="AO24" s="2">
        <f>Tabel242567891011[[#This Row],[Verbruik Bruisend liter deze maand]]/0.15</f>
        <v>660</v>
      </c>
      <c r="AP24" s="11">
        <v>306.5</v>
      </c>
      <c r="AQ24" s="11">
        <v>282.89999999999998</v>
      </c>
      <c r="AR24">
        <f>Tabel242567891011[[#This Row],[Stand licht bruisend liter einde maand]]-Tabel242567891011[[#This Row],[Stand licht bruisend liter vorige maand]]</f>
        <v>23.600000000000023</v>
      </c>
      <c r="AS24" s="2">
        <f>Tabel242567891011[[#This Row],[Verbruik licht bruisend liter deze maand]]/0.15</f>
        <v>157.33333333333348</v>
      </c>
      <c r="AT24" s="11">
        <v>1177.4000000000001</v>
      </c>
      <c r="AU24" s="11">
        <v>1031.5</v>
      </c>
      <c r="AV24">
        <f>Tabel242567891011[[#This Row],[Stand heet water liter einde maand]]-Tabel242567891011[[#This Row],[Stand heet water liter vorige maand]]</f>
        <v>145.90000000000009</v>
      </c>
      <c r="AW24" s="20">
        <f>Tabel242567891011[[#This Row],[Verbruik heet Water liter deze maand ]]/0.15</f>
        <v>972.66666666666731</v>
      </c>
      <c r="AX24" s="4">
        <f>Tabel242567891011[[#This Row],[Aantal consumpties heet water deze maand]]+Tabel242567891011[[#This Row],[Aantal consumpties licht bruisend water deze maand]]+Tabel242567891011[[#This Row],[aantal consumpties Bruisend water deze maand]]+Tabel242567891011[[#This Row],[Aantal consumpties gekoeld water deze maand]]+Tabel242567891011[[#This Row],[Aantal consumpties Kamertemp deze maand]]</f>
        <v>2622.6666666666674</v>
      </c>
      <c r="AY24" s="4">
        <f>Tabel242567891011[[#This Row],[Subtotaal waterbar in consumpties]]+Tabel242567891011[[#This Row],[Subtotaal koffieautomaten]]</f>
        <v>4031.6666666666674</v>
      </c>
    </row>
    <row r="25" spans="1:51" x14ac:dyDescent="0.25">
      <c r="A25" s="3" t="s">
        <v>74</v>
      </c>
      <c r="F25" s="11"/>
      <c r="H25" s="11"/>
      <c r="I25" s="11"/>
      <c r="J25" s="12"/>
      <c r="K25" s="11"/>
      <c r="L25" s="11"/>
      <c r="O25" s="11"/>
      <c r="R25" s="11"/>
      <c r="U25" s="11"/>
      <c r="X25" s="11"/>
      <c r="AA25" s="11"/>
      <c r="AC25" s="3">
        <f>Tabel242567891011[[#This Row],[Verbruik Stand Latte Macchiato Plantaardig deze maand]]+Tabel242567891011[[#This Row],[Verbruik  Cappucino Plantaardig deze maand]]+Tabel242567891011[[#This Row],[Verbruik Cappucino deze maand]]+Tabel242567891011[[#This Row],[Verbruik Hot Water deze maand]]+Tabel242567891011[[#This Row],[Verbruik Coffee Latte deze maand]]+Tabel242567891011[[#This Row],[Verbruik Latte Macchiato deze maand]]+Tabel242567891011[[#This Row],[Verbruik Espresso deze maand]]+Tabel242567891011[[#This Row],[Verbruik Coffee deze maand]]</f>
        <v>0</v>
      </c>
      <c r="AE25" s="11"/>
      <c r="AG25" s="2"/>
      <c r="AI25" s="11"/>
      <c r="AK25" s="2"/>
      <c r="AM25" s="11"/>
      <c r="AO25" s="2"/>
      <c r="AQ25" s="11"/>
      <c r="AS25" s="2"/>
      <c r="AU25" s="11"/>
      <c r="AW25" s="20"/>
      <c r="AX25" s="3"/>
      <c r="AY25" s="4">
        <f>Tabel242567891011[[#This Row],[Subtotaal waterbar in consumpties]]+Tabel242567891011[[#This Row],[Subtotaal koffieautomaten]]</f>
        <v>0</v>
      </c>
    </row>
    <row r="26" spans="1:51" x14ac:dyDescent="0.25">
      <c r="A26" t="s">
        <v>32</v>
      </c>
      <c r="B26" t="s">
        <v>75</v>
      </c>
      <c r="C26" t="s">
        <v>47</v>
      </c>
      <c r="E26" s="11">
        <v>3194</v>
      </c>
      <c r="F26" s="11">
        <v>2857</v>
      </c>
      <c r="G26" s="12">
        <f>Tabel242567891011[[#This Row],[Stand Coffee einde maand]]-Tabel242567891011[[#This Row],[Coffee vorige maand]]</f>
        <v>337</v>
      </c>
      <c r="H26" s="11">
        <v>536</v>
      </c>
      <c r="I26" s="11">
        <v>456</v>
      </c>
      <c r="J26" s="12">
        <f>Tabel242567891011[[#This Row],[Stand Espresso Einde maand]]-Tabel242567891011[[#This Row],[Espresso vorige maand]]</f>
        <v>80</v>
      </c>
      <c r="K26" s="11">
        <v>992</v>
      </c>
      <c r="L26" s="11">
        <v>873</v>
      </c>
      <c r="M26">
        <f>Tabel242567891011[[#This Row],[Stand Latte Macchiato einde maand]]-Tabel242567891011[[#This Row],[Latte Macchiato vorige maand]]</f>
        <v>119</v>
      </c>
      <c r="N26" s="11">
        <v>308</v>
      </c>
      <c r="O26" s="11">
        <v>285</v>
      </c>
      <c r="P26">
        <f>Tabel242567891011[[#This Row],[Stand Coffee Latte einde maand]]-Tabel242567891011[[#This Row],[Coffee Latte vorige maand]]</f>
        <v>23</v>
      </c>
      <c r="Q26" s="11">
        <v>1</v>
      </c>
      <c r="R26" s="11">
        <v>1</v>
      </c>
      <c r="S26">
        <f>Tabel242567891011[[#This Row],[Stand Hot Water einde maand]]-Tabel242567891011[[#This Row],[Hot Water vorige maand]]</f>
        <v>0</v>
      </c>
      <c r="T26" s="11">
        <v>2101</v>
      </c>
      <c r="U26" s="11">
        <v>1872</v>
      </c>
      <c r="V26">
        <f>Tabel242567891011[[#This Row],[Stand Cappucino einde maand]]-Tabel242567891011[[#This Row],[Stand Cappucino vorige maand]]</f>
        <v>229</v>
      </c>
      <c r="W26" s="11">
        <v>295</v>
      </c>
      <c r="X26" s="11">
        <v>257</v>
      </c>
      <c r="Y26">
        <f>Tabel242567891011[[#This Row],[Stand Cappucino Plantaardig einde maand]]-Tabel242567891011[[#This Row],[Stand Cappucino Plantaardig vorige maand]]</f>
        <v>38</v>
      </c>
      <c r="Z26" s="11">
        <v>234</v>
      </c>
      <c r="AA26" s="11">
        <v>214</v>
      </c>
      <c r="AB26" s="12">
        <f>Tabel242567891011[[#This Row],[Stand Latte Macchiato Plantaardig einde maand]]-Tabel242567891011[[#This Row],[Stand Latte Macchiato Plantaardig vorige maand]]</f>
        <v>20</v>
      </c>
      <c r="AC26" s="3">
        <f>Tabel242567891011[[#This Row],[Verbruik Stand Latte Macchiato Plantaardig deze maand]]+Tabel242567891011[[#This Row],[Verbruik  Cappucino Plantaardig deze maand]]+Tabel242567891011[[#This Row],[Verbruik Cappucino deze maand]]+Tabel242567891011[[#This Row],[Verbruik Hot Water deze maand]]+Tabel242567891011[[#This Row],[Verbruik Coffee Latte deze maand]]+Tabel242567891011[[#This Row],[Verbruik Latte Macchiato deze maand]]+Tabel242567891011[[#This Row],[Verbruik Espresso deze maand]]+Tabel242567891011[[#This Row],[Verbruik Coffee deze maand]]</f>
        <v>846</v>
      </c>
      <c r="AD26" s="11">
        <v>95.6</v>
      </c>
      <c r="AE26" s="11">
        <v>88.3</v>
      </c>
      <c r="AF26">
        <f>Tabel242567891011[[#This Row],[Stand Kamertemp liter einde maand]]-Tabel242567891011[[#This Row],[Stand Kamertemp liter vorige maand]]</f>
        <v>7.2999999999999972</v>
      </c>
      <c r="AG26" s="2">
        <f>Tabel242567891011[[#This Row],[Verbruik Kamertemp liter deze maand]]/0.15</f>
        <v>48.66666666666665</v>
      </c>
      <c r="AH26" s="11">
        <v>554.1</v>
      </c>
      <c r="AI26" s="11">
        <v>507.1</v>
      </c>
      <c r="AJ26">
        <f>Tabel242567891011[[#This Row],[Stand Gekoeld liter einde maand]]-Tabel242567891011[[#This Row],[Stand Gekoeld liter vorige maand]]</f>
        <v>47</v>
      </c>
      <c r="AK26" s="2">
        <f>Tabel242567891011[[#This Row],[Verbruik Gekoeld liter deze maand]]/0.15</f>
        <v>313.33333333333337</v>
      </c>
      <c r="AL26" s="11">
        <v>426</v>
      </c>
      <c r="AM26" s="11">
        <v>401.6</v>
      </c>
      <c r="AN26">
        <f>Tabel242567891011[[#This Row],[Stand Bruisend liter einde maand]]-Tabel242567891011[[#This Row],[Stand Bruisend liter vorige maand]]</f>
        <v>24.399999999999977</v>
      </c>
      <c r="AO26" s="2">
        <f>Tabel242567891011[[#This Row],[Verbruik Bruisend liter deze maand]]/0.15</f>
        <v>162.66666666666652</v>
      </c>
      <c r="AP26" s="11">
        <v>211</v>
      </c>
      <c r="AQ26" s="11">
        <v>202.3</v>
      </c>
      <c r="AR26">
        <f>Tabel242567891011[[#This Row],[Stand licht bruisend liter einde maand]]-Tabel242567891011[[#This Row],[Stand licht bruisend liter vorige maand]]</f>
        <v>8.6999999999999886</v>
      </c>
      <c r="AS26" s="2">
        <f>Tabel242567891011[[#This Row],[Verbruik licht bruisend liter deze maand]]/0.15</f>
        <v>57.999999999999929</v>
      </c>
      <c r="AT26" s="11">
        <v>1763.8</v>
      </c>
      <c r="AU26" s="11">
        <v>1612.3</v>
      </c>
      <c r="AV26">
        <f>Tabel242567891011[[#This Row],[Stand heet water liter einde maand]]-Tabel242567891011[[#This Row],[Stand heet water liter vorige maand]]</f>
        <v>151.5</v>
      </c>
      <c r="AW26" s="20">
        <f>Tabel242567891011[[#This Row],[Verbruik heet Water liter deze maand ]]/0.15</f>
        <v>1010</v>
      </c>
      <c r="AX26" s="4">
        <f>Tabel242567891011[[#This Row],[Aantal consumpties heet water deze maand]]+Tabel242567891011[[#This Row],[Aantal consumpties licht bruisend water deze maand]]+Tabel242567891011[[#This Row],[aantal consumpties Bruisend water deze maand]]+Tabel242567891011[[#This Row],[Aantal consumpties gekoeld water deze maand]]+Tabel242567891011[[#This Row],[Aantal consumpties Kamertemp deze maand]]</f>
        <v>1592.6666666666667</v>
      </c>
      <c r="AY26" s="4">
        <f>Tabel242567891011[[#This Row],[Subtotaal waterbar in consumpties]]+Tabel242567891011[[#This Row],[Subtotaal koffieautomaten]]</f>
        <v>2438.666666666667</v>
      </c>
    </row>
    <row r="27" spans="1:51" x14ac:dyDescent="0.25">
      <c r="A27" t="s">
        <v>39</v>
      </c>
      <c r="B27" t="s">
        <v>76</v>
      </c>
      <c r="C27" t="s">
        <v>31</v>
      </c>
      <c r="E27" s="11">
        <v>13258</v>
      </c>
      <c r="F27" s="11">
        <v>11665</v>
      </c>
      <c r="G27" s="12">
        <f>Tabel242567891011[[#This Row],[Stand Coffee einde maand]]-Tabel242567891011[[#This Row],[Coffee vorige maand]]</f>
        <v>1593</v>
      </c>
      <c r="H27" s="11">
        <v>3026</v>
      </c>
      <c r="I27" s="11">
        <v>2651</v>
      </c>
      <c r="J27" s="12">
        <f>Tabel242567891011[[#This Row],[Stand Espresso Einde maand]]-Tabel242567891011[[#This Row],[Espresso vorige maand]]</f>
        <v>375</v>
      </c>
      <c r="K27" s="11">
        <v>1525</v>
      </c>
      <c r="L27" s="11">
        <v>1332</v>
      </c>
      <c r="M27">
        <f>Tabel242567891011[[#This Row],[Stand Latte Macchiato einde maand]]-Tabel242567891011[[#This Row],[Latte Macchiato vorige maand]]</f>
        <v>193</v>
      </c>
      <c r="N27" s="11">
        <v>649</v>
      </c>
      <c r="O27" s="11">
        <v>538</v>
      </c>
      <c r="P27">
        <f>Tabel242567891011[[#This Row],[Stand Coffee Latte einde maand]]-Tabel242567891011[[#This Row],[Coffee Latte vorige maand]]</f>
        <v>111</v>
      </c>
      <c r="Q27" s="11">
        <v>9546</v>
      </c>
      <c r="R27" s="11">
        <v>8251</v>
      </c>
      <c r="S27">
        <f>Tabel242567891011[[#This Row],[Stand Hot Water einde maand]]-Tabel242567891011[[#This Row],[Hot Water vorige maand]]</f>
        <v>1295</v>
      </c>
      <c r="T27" s="11">
        <v>9041</v>
      </c>
      <c r="U27" s="11">
        <v>7826</v>
      </c>
      <c r="V27">
        <f>Tabel242567891011[[#This Row],[Stand Cappucino einde maand]]-Tabel242567891011[[#This Row],[Stand Cappucino vorige maand]]</f>
        <v>1215</v>
      </c>
      <c r="W27" s="11">
        <v>1239</v>
      </c>
      <c r="X27" s="11">
        <v>1129</v>
      </c>
      <c r="Y27">
        <f>Tabel242567891011[[#This Row],[Stand Cappucino Plantaardig einde maand]]-Tabel242567891011[[#This Row],[Stand Cappucino Plantaardig vorige maand]]</f>
        <v>110</v>
      </c>
      <c r="Z27" s="11">
        <v>352</v>
      </c>
      <c r="AA27" s="11">
        <v>326</v>
      </c>
      <c r="AB27" s="12">
        <f>Tabel242567891011[[#This Row],[Stand Latte Macchiato Plantaardig einde maand]]-Tabel242567891011[[#This Row],[Stand Latte Macchiato Plantaardig vorige maand]]</f>
        <v>26</v>
      </c>
      <c r="AC27" s="3">
        <f>Tabel242567891011[[#This Row],[Verbruik Stand Latte Macchiato Plantaardig deze maand]]+Tabel242567891011[[#This Row],[Verbruik  Cappucino Plantaardig deze maand]]+Tabel242567891011[[#This Row],[Verbruik Cappucino deze maand]]+Tabel242567891011[[#This Row],[Verbruik Hot Water deze maand]]+Tabel242567891011[[#This Row],[Verbruik Coffee Latte deze maand]]+Tabel242567891011[[#This Row],[Verbruik Latte Macchiato deze maand]]+Tabel242567891011[[#This Row],[Verbruik Espresso deze maand]]+Tabel242567891011[[#This Row],[Verbruik Coffee deze maand]]</f>
        <v>4918</v>
      </c>
      <c r="AD27" s="26"/>
      <c r="AE27" s="26"/>
      <c r="AF27" s="5"/>
      <c r="AG27" s="7"/>
      <c r="AH27" s="26"/>
      <c r="AI27" s="26"/>
      <c r="AJ27" s="5"/>
      <c r="AK27" s="7"/>
      <c r="AL27" s="26"/>
      <c r="AM27" s="26"/>
      <c r="AN27" s="5"/>
      <c r="AO27" s="7"/>
      <c r="AP27" s="26"/>
      <c r="AQ27" s="26"/>
      <c r="AR27" s="5"/>
      <c r="AS27" s="7"/>
      <c r="AT27" s="26"/>
      <c r="AU27" s="26"/>
      <c r="AV27" s="5"/>
      <c r="AW27" s="21"/>
      <c r="AX27" s="8"/>
      <c r="AY27" s="4">
        <f>Tabel242567891011[[#This Row],[Subtotaal waterbar in consumpties]]+Tabel242567891011[[#This Row],[Subtotaal koffieautomaten]]</f>
        <v>4918</v>
      </c>
    </row>
    <row r="28" spans="1:51" x14ac:dyDescent="0.25">
      <c r="A28" t="s">
        <v>39</v>
      </c>
      <c r="B28" t="s">
        <v>77</v>
      </c>
      <c r="C28" t="s">
        <v>36</v>
      </c>
      <c r="E28" s="42"/>
      <c r="F28" s="42"/>
      <c r="G28" s="43"/>
      <c r="H28" s="42"/>
      <c r="I28" s="42"/>
      <c r="J28" s="43"/>
      <c r="K28" s="42"/>
      <c r="L28" s="42"/>
      <c r="M28" s="43"/>
      <c r="N28" s="42"/>
      <c r="O28" s="42"/>
      <c r="P28" s="43"/>
      <c r="Q28" s="42"/>
      <c r="R28" s="42"/>
      <c r="S28" s="43"/>
      <c r="T28" s="42"/>
      <c r="U28" s="42"/>
      <c r="V28" s="43"/>
      <c r="W28" s="42"/>
      <c r="X28" s="42"/>
      <c r="Y28" s="43"/>
      <c r="Z28" s="42"/>
      <c r="AA28" s="42"/>
      <c r="AB28" s="43"/>
      <c r="AC28" s="43"/>
      <c r="AD28" s="11">
        <v>115</v>
      </c>
      <c r="AE28" s="11">
        <v>84.2</v>
      </c>
      <c r="AF28">
        <f>Tabel242567891011[[#This Row],[Stand Kamertemp liter einde maand]]-Tabel242567891011[[#This Row],[Stand Kamertemp liter vorige maand]]</f>
        <v>30.799999999999997</v>
      </c>
      <c r="AG28" s="2">
        <f>Tabel242567891011[[#This Row],[Verbruik Kamertemp liter deze maand]]/0.15</f>
        <v>205.33333333333331</v>
      </c>
      <c r="AH28" s="11">
        <v>877.8</v>
      </c>
      <c r="AI28" s="11">
        <v>764</v>
      </c>
      <c r="AJ28">
        <f>Tabel242567891011[[#This Row],[Stand Gekoeld liter einde maand]]-Tabel242567891011[[#This Row],[Stand Gekoeld liter vorige maand]]</f>
        <v>113.79999999999995</v>
      </c>
      <c r="AK28" s="2">
        <f>Tabel242567891011[[#This Row],[Verbruik Gekoeld liter deze maand]]/0.15</f>
        <v>758.6666666666664</v>
      </c>
      <c r="AL28" s="11">
        <v>707.3</v>
      </c>
      <c r="AM28" s="11">
        <v>556.70000000000005</v>
      </c>
      <c r="AN28">
        <f>Tabel242567891011[[#This Row],[Stand Bruisend liter einde maand]]-Tabel242567891011[[#This Row],[Stand Bruisend liter vorige maand]]</f>
        <v>150.59999999999991</v>
      </c>
      <c r="AO28" s="2">
        <f>Tabel242567891011[[#This Row],[Verbruik Bruisend liter deze maand]]/0.15</f>
        <v>1003.9999999999994</v>
      </c>
      <c r="AP28" s="11">
        <v>234.2</v>
      </c>
      <c r="AQ28" s="11">
        <v>206.8</v>
      </c>
      <c r="AR28">
        <f>Tabel242567891011[[#This Row],[Stand licht bruisend liter einde maand]]-Tabel242567891011[[#This Row],[Stand licht bruisend liter vorige maand]]</f>
        <v>27.399999999999977</v>
      </c>
      <c r="AS28" s="2">
        <f>Tabel242567891011[[#This Row],[Verbruik licht bruisend liter deze maand]]/0.15</f>
        <v>182.66666666666652</v>
      </c>
      <c r="AT28" s="11">
        <v>626.1</v>
      </c>
      <c r="AU28" s="11">
        <v>492.2</v>
      </c>
      <c r="AV28">
        <f>Tabel242567891011[[#This Row],[Stand heet water liter einde maand]]-Tabel242567891011[[#This Row],[Stand heet water liter vorige maand]]</f>
        <v>133.90000000000003</v>
      </c>
      <c r="AW28" s="20">
        <f>Tabel242567891011[[#This Row],[Verbruik heet Water liter deze maand ]]/0.15</f>
        <v>892.66666666666697</v>
      </c>
      <c r="AX28" s="4">
        <f>Tabel242567891011[[#This Row],[Aantal consumpties heet water deze maand]]+Tabel242567891011[[#This Row],[Aantal consumpties licht bruisend water deze maand]]+Tabel242567891011[[#This Row],[aantal consumpties Bruisend water deze maand]]+Tabel242567891011[[#This Row],[Aantal consumpties gekoeld water deze maand]]+Tabel242567891011[[#This Row],[Aantal consumpties Kamertemp deze maand]]</f>
        <v>3043.333333333333</v>
      </c>
      <c r="AY28" s="4">
        <f>Tabel242567891011[[#This Row],[Subtotaal waterbar in consumpties]]+Tabel242567891011[[#This Row],[Subtotaal koffieautomaten]]</f>
        <v>3043.333333333333</v>
      </c>
    </row>
    <row r="29" spans="1:51" x14ac:dyDescent="0.25">
      <c r="A29" t="s">
        <v>41</v>
      </c>
      <c r="B29" t="s">
        <v>78</v>
      </c>
      <c r="C29" t="s">
        <v>47</v>
      </c>
      <c r="E29" s="11">
        <v>2199</v>
      </c>
      <c r="F29" s="11">
        <v>1936</v>
      </c>
      <c r="G29" s="12">
        <f>Tabel242567891011[[#This Row],[Stand Coffee einde maand]]-Tabel242567891011[[#This Row],[Coffee vorige maand]]</f>
        <v>263</v>
      </c>
      <c r="H29" s="11">
        <v>1126</v>
      </c>
      <c r="I29" s="11">
        <v>1040</v>
      </c>
      <c r="J29" s="12">
        <f>Tabel242567891011[[#This Row],[Stand Espresso Einde maand]]-Tabel242567891011[[#This Row],[Espresso vorige maand]]</f>
        <v>86</v>
      </c>
      <c r="K29" s="11">
        <v>208</v>
      </c>
      <c r="L29" s="11">
        <v>168</v>
      </c>
      <c r="M29">
        <f>Tabel242567891011[[#This Row],[Stand Latte Macchiato einde maand]]-Tabel242567891011[[#This Row],[Latte Macchiato vorige maand]]</f>
        <v>40</v>
      </c>
      <c r="N29" s="11">
        <v>153</v>
      </c>
      <c r="O29" s="11">
        <v>136</v>
      </c>
      <c r="P29">
        <f>Tabel242567891011[[#This Row],[Stand Coffee Latte einde maand]]-Tabel242567891011[[#This Row],[Coffee Latte vorige maand]]</f>
        <v>17</v>
      </c>
      <c r="Q29" s="11">
        <v>1</v>
      </c>
      <c r="R29" s="11">
        <v>1</v>
      </c>
      <c r="S29">
        <f>Tabel242567891011[[#This Row],[Stand Hot Water einde maand]]-Tabel242567891011[[#This Row],[Hot Water vorige maand]]</f>
        <v>0</v>
      </c>
      <c r="T29" s="11">
        <v>1304</v>
      </c>
      <c r="U29" s="11">
        <v>1124</v>
      </c>
      <c r="V29">
        <f>Tabel242567891011[[#This Row],[Stand Cappucino einde maand]]-Tabel242567891011[[#This Row],[Stand Cappucino vorige maand]]</f>
        <v>180</v>
      </c>
      <c r="W29" s="11">
        <v>781</v>
      </c>
      <c r="X29" s="11">
        <v>714</v>
      </c>
      <c r="Y29">
        <f>Tabel242567891011[[#This Row],[Stand Cappucino Plantaardig einde maand]]-Tabel242567891011[[#This Row],[Stand Cappucino Plantaardig vorige maand]]</f>
        <v>67</v>
      </c>
      <c r="Z29" s="11">
        <v>282</v>
      </c>
      <c r="AA29" s="11">
        <v>258</v>
      </c>
      <c r="AB29" s="12">
        <f>Tabel242567891011[[#This Row],[Stand Latte Macchiato Plantaardig einde maand]]-Tabel242567891011[[#This Row],[Stand Latte Macchiato Plantaardig vorige maand]]</f>
        <v>24</v>
      </c>
      <c r="AC29" s="3">
        <f>Tabel242567891011[[#This Row],[Verbruik Stand Latte Macchiato Plantaardig deze maand]]+Tabel242567891011[[#This Row],[Verbruik  Cappucino Plantaardig deze maand]]+Tabel242567891011[[#This Row],[Verbruik Cappucino deze maand]]+Tabel242567891011[[#This Row],[Verbruik Hot Water deze maand]]+Tabel242567891011[[#This Row],[Verbruik Coffee Latte deze maand]]+Tabel242567891011[[#This Row],[Verbruik Latte Macchiato deze maand]]+Tabel242567891011[[#This Row],[Verbruik Espresso deze maand]]+Tabel242567891011[[#This Row],[Verbruik Coffee deze maand]]</f>
        <v>677</v>
      </c>
      <c r="AD29" s="11">
        <v>95</v>
      </c>
      <c r="AE29" s="11">
        <v>78.2</v>
      </c>
      <c r="AF29">
        <f>Tabel242567891011[[#This Row],[Stand Kamertemp liter einde maand]]-Tabel242567891011[[#This Row],[Stand Kamertemp liter vorige maand]]</f>
        <v>16.799999999999997</v>
      </c>
      <c r="AG29" s="2">
        <f>Tabel242567891011[[#This Row],[Verbruik Kamertemp liter deze maand]]/0.15</f>
        <v>111.99999999999999</v>
      </c>
      <c r="AH29" s="11">
        <v>748.5</v>
      </c>
      <c r="AI29" s="11">
        <v>631.9</v>
      </c>
      <c r="AJ29">
        <f>Tabel242567891011[[#This Row],[Stand Gekoeld liter einde maand]]-Tabel242567891011[[#This Row],[Stand Gekoeld liter vorige maand]]</f>
        <v>116.60000000000002</v>
      </c>
      <c r="AK29" s="2">
        <f>Tabel242567891011[[#This Row],[Verbruik Gekoeld liter deze maand]]/0.15</f>
        <v>777.33333333333348</v>
      </c>
      <c r="AL29" s="11">
        <v>828.2</v>
      </c>
      <c r="AM29" s="11">
        <v>747</v>
      </c>
      <c r="AN29">
        <f>Tabel242567891011[[#This Row],[Stand Bruisend liter einde maand]]-Tabel242567891011[[#This Row],[Stand Bruisend liter vorige maand]]</f>
        <v>81.200000000000045</v>
      </c>
      <c r="AO29" s="2">
        <f>Tabel242567891011[[#This Row],[Verbruik Bruisend liter deze maand]]/0.15</f>
        <v>541.33333333333371</v>
      </c>
      <c r="AP29" s="11">
        <v>683.8</v>
      </c>
      <c r="AQ29" s="11">
        <v>607.1</v>
      </c>
      <c r="AR29">
        <f>Tabel242567891011[[#This Row],[Stand licht bruisend liter einde maand]]-Tabel242567891011[[#This Row],[Stand licht bruisend liter vorige maand]]</f>
        <v>76.699999999999932</v>
      </c>
      <c r="AS29" s="2">
        <f>Tabel242567891011[[#This Row],[Verbruik licht bruisend liter deze maand]]/0.15</f>
        <v>511.33333333333292</v>
      </c>
      <c r="AT29" s="11">
        <v>2427.4</v>
      </c>
      <c r="AU29" s="11">
        <v>2150.1999999999998</v>
      </c>
      <c r="AV29">
        <f>Tabel242567891011[[#This Row],[Stand heet water liter einde maand]]-Tabel242567891011[[#This Row],[Stand heet water liter vorige maand]]</f>
        <v>277.20000000000027</v>
      </c>
      <c r="AW29" s="20">
        <f>Tabel242567891011[[#This Row],[Verbruik heet Water liter deze maand ]]/0.15</f>
        <v>1848.0000000000018</v>
      </c>
      <c r="AX29" s="4">
        <f>Tabel242567891011[[#This Row],[Aantal consumpties heet water deze maand]]+Tabel242567891011[[#This Row],[Aantal consumpties licht bruisend water deze maand]]+Tabel242567891011[[#This Row],[aantal consumpties Bruisend water deze maand]]+Tabel242567891011[[#This Row],[Aantal consumpties gekoeld water deze maand]]+Tabel242567891011[[#This Row],[Aantal consumpties Kamertemp deze maand]]</f>
        <v>3790.0000000000023</v>
      </c>
      <c r="AY29" s="4">
        <f>Tabel242567891011[[#This Row],[Subtotaal waterbar in consumpties]]+Tabel242567891011[[#This Row],[Subtotaal koffieautomaten]]</f>
        <v>4467.0000000000018</v>
      </c>
    </row>
    <row r="30" spans="1:51" x14ac:dyDescent="0.25">
      <c r="A30" t="s">
        <v>43</v>
      </c>
      <c r="B30" t="s">
        <v>79</v>
      </c>
      <c r="C30" t="s">
        <v>31</v>
      </c>
      <c r="E30" s="11">
        <v>4482</v>
      </c>
      <c r="F30" s="11">
        <v>4047</v>
      </c>
      <c r="G30" s="12">
        <f>Tabel242567891011[[#This Row],[Stand Coffee einde maand]]-Tabel242567891011[[#This Row],[Coffee vorige maand]]</f>
        <v>435</v>
      </c>
      <c r="H30" s="11">
        <v>1370</v>
      </c>
      <c r="I30" s="11">
        <v>1288</v>
      </c>
      <c r="J30" s="12">
        <f>Tabel242567891011[[#This Row],[Stand Espresso Einde maand]]-Tabel242567891011[[#This Row],[Espresso vorige maand]]</f>
        <v>82</v>
      </c>
      <c r="K30" s="11">
        <v>130</v>
      </c>
      <c r="L30" s="11">
        <v>10</v>
      </c>
      <c r="M30">
        <f>Tabel242567891011[[#This Row],[Stand Latte Macchiato einde maand]]-Tabel242567891011[[#This Row],[Latte Macchiato vorige maand]]</f>
        <v>120</v>
      </c>
      <c r="N30" s="11">
        <v>96</v>
      </c>
      <c r="O30" s="11">
        <v>91</v>
      </c>
      <c r="P30">
        <f>Tabel242567891011[[#This Row],[Stand Coffee Latte einde maand]]-Tabel242567891011[[#This Row],[Coffee Latte vorige maand]]</f>
        <v>5</v>
      </c>
      <c r="Q30" s="11">
        <v>3451</v>
      </c>
      <c r="R30" s="11">
        <v>3010</v>
      </c>
      <c r="S30">
        <f>Tabel242567891011[[#This Row],[Stand Hot Water einde maand]]-Tabel242567891011[[#This Row],[Hot Water vorige maand]]</f>
        <v>441</v>
      </c>
      <c r="T30" s="11">
        <v>2026</v>
      </c>
      <c r="U30" s="11">
        <v>1777</v>
      </c>
      <c r="V30">
        <f>Tabel242567891011[[#This Row],[Stand Cappucino einde maand]]-Tabel242567891011[[#This Row],[Stand Cappucino vorige maand]]</f>
        <v>249</v>
      </c>
      <c r="W30" s="11">
        <v>130</v>
      </c>
      <c r="X30" s="11">
        <v>120</v>
      </c>
      <c r="Y30">
        <f>Tabel242567891011[[#This Row],[Stand Cappucino Plantaardig einde maand]]-Tabel242567891011[[#This Row],[Stand Cappucino Plantaardig vorige maand]]</f>
        <v>10</v>
      </c>
      <c r="Z30" s="11">
        <v>16</v>
      </c>
      <c r="AA30" s="11">
        <v>14</v>
      </c>
      <c r="AB30" s="12">
        <f>Tabel242567891011[[#This Row],[Stand Latte Macchiato Plantaardig einde maand]]-Tabel242567891011[[#This Row],[Stand Latte Macchiato Plantaardig vorige maand]]</f>
        <v>2</v>
      </c>
      <c r="AC30" s="3">
        <f>Tabel242567891011[[#This Row],[Verbruik Stand Latte Macchiato Plantaardig deze maand]]+Tabel242567891011[[#This Row],[Verbruik  Cappucino Plantaardig deze maand]]+Tabel242567891011[[#This Row],[Verbruik Cappucino deze maand]]+Tabel242567891011[[#This Row],[Verbruik Hot Water deze maand]]+Tabel242567891011[[#This Row],[Verbruik Coffee Latte deze maand]]+Tabel242567891011[[#This Row],[Verbruik Latte Macchiato deze maand]]+Tabel242567891011[[#This Row],[Verbruik Espresso deze maand]]+Tabel242567891011[[#This Row],[Verbruik Coffee deze maand]]</f>
        <v>1344</v>
      </c>
      <c r="AD30" s="26"/>
      <c r="AE30" s="26"/>
      <c r="AF30" s="5"/>
      <c r="AG30" s="5"/>
      <c r="AH30" s="26"/>
      <c r="AI30" s="26"/>
      <c r="AJ30" s="5"/>
      <c r="AK30" s="7"/>
      <c r="AL30" s="26"/>
      <c r="AM30" s="26"/>
      <c r="AN30" s="5"/>
      <c r="AO30" s="7"/>
      <c r="AP30" s="26"/>
      <c r="AQ30" s="26"/>
      <c r="AR30" s="5"/>
      <c r="AS30" s="7"/>
      <c r="AT30" s="26"/>
      <c r="AU30" s="26"/>
      <c r="AV30" s="5"/>
      <c r="AW30" s="21"/>
      <c r="AX30" s="8"/>
      <c r="AY30" s="4">
        <f>Tabel242567891011[[#This Row],[Subtotaal waterbar in consumpties]]+Tabel242567891011[[#This Row],[Subtotaal koffieautomaten]]</f>
        <v>1344</v>
      </c>
    </row>
    <row r="31" spans="1:51" x14ac:dyDescent="0.25">
      <c r="A31" t="s">
        <v>45</v>
      </c>
      <c r="B31" t="s">
        <v>80</v>
      </c>
      <c r="C31" t="s">
        <v>36</v>
      </c>
      <c r="E31" s="42"/>
      <c r="F31" s="42"/>
      <c r="G31" s="43"/>
      <c r="H31" s="42"/>
      <c r="I31" s="42"/>
      <c r="J31" s="43"/>
      <c r="K31" s="42"/>
      <c r="L31" s="42"/>
      <c r="M31" s="43"/>
      <c r="N31" s="42"/>
      <c r="O31" s="42"/>
      <c r="P31" s="43"/>
      <c r="Q31" s="42"/>
      <c r="R31" s="42"/>
      <c r="S31" s="43"/>
      <c r="T31" s="42"/>
      <c r="U31" s="42"/>
      <c r="V31" s="43"/>
      <c r="W31" s="42"/>
      <c r="X31" s="42"/>
      <c r="Y31" s="43"/>
      <c r="Z31" s="42"/>
      <c r="AA31" s="42"/>
      <c r="AB31" s="43"/>
      <c r="AC31" s="43"/>
      <c r="AD31" s="11">
        <v>78.2</v>
      </c>
      <c r="AE31" s="11">
        <v>57.9</v>
      </c>
      <c r="AF31">
        <f>Tabel242567891011[[#This Row],[Stand Kamertemp liter einde maand]]-Tabel242567891011[[#This Row],[Stand Kamertemp liter vorige maand]]</f>
        <v>20.300000000000004</v>
      </c>
      <c r="AG31" s="2">
        <f>Tabel242567891011[[#This Row],[Verbruik Kamertemp liter deze maand]]/0.15</f>
        <v>135.33333333333337</v>
      </c>
      <c r="AH31" s="26">
        <v>370.6</v>
      </c>
      <c r="AI31" s="26">
        <v>328.3</v>
      </c>
      <c r="AJ31">
        <f>Tabel242567891011[[#This Row],[Stand Gekoeld liter einde maand]]-Tabel242567891011[[#This Row],[Stand Gekoeld liter vorige maand]]</f>
        <v>42.300000000000011</v>
      </c>
      <c r="AK31" s="2">
        <f>Tabel242567891011[[#This Row],[Verbruik Gekoeld liter deze maand]]/0.15</f>
        <v>282.00000000000011</v>
      </c>
      <c r="AL31" s="26">
        <v>393.6</v>
      </c>
      <c r="AM31" s="26">
        <v>352.4</v>
      </c>
      <c r="AN31">
        <f>Tabel242567891011[[#This Row],[Stand Bruisend liter einde maand]]-Tabel242567891011[[#This Row],[Stand Bruisend liter vorige maand]]</f>
        <v>41.200000000000045</v>
      </c>
      <c r="AO31" s="2">
        <f>Tabel242567891011[[#This Row],[Verbruik Bruisend liter deze maand]]/0.15</f>
        <v>274.66666666666697</v>
      </c>
      <c r="AP31" s="25">
        <v>283.10000000000002</v>
      </c>
      <c r="AQ31" s="25">
        <v>259.89999999999998</v>
      </c>
      <c r="AR31">
        <f>Tabel242567891011[[#This Row],[Stand licht bruisend liter einde maand]]-Tabel242567891011[[#This Row],[Stand licht bruisend liter vorige maand]]</f>
        <v>23.200000000000045</v>
      </c>
      <c r="AS31" s="2">
        <f>Tabel242567891011[[#This Row],[Verbruik licht bruisend liter deze maand]]/0.15</f>
        <v>154.66666666666697</v>
      </c>
      <c r="AT31" s="25">
        <v>1422.4</v>
      </c>
      <c r="AU31" s="25">
        <v>1242.7</v>
      </c>
      <c r="AV31">
        <f>Tabel242567891011[[#This Row],[Stand heet water liter einde maand]]-Tabel242567891011[[#This Row],[Stand heet water liter vorige maand]]</f>
        <v>179.70000000000005</v>
      </c>
      <c r="AW31" s="20">
        <f>Tabel242567891011[[#This Row],[Verbruik heet Water liter deze maand ]]/0.15</f>
        <v>1198.0000000000005</v>
      </c>
      <c r="AX31" s="4">
        <f>Tabel242567891011[[#This Row],[Aantal consumpties heet water deze maand]]+Tabel242567891011[[#This Row],[Aantal consumpties licht bruisend water deze maand]]+Tabel242567891011[[#This Row],[aantal consumpties Bruisend water deze maand]]+Tabel242567891011[[#This Row],[Aantal consumpties gekoeld water deze maand]]+Tabel242567891011[[#This Row],[Aantal consumpties Kamertemp deze maand]]</f>
        <v>2044.6666666666679</v>
      </c>
      <c r="AY31" s="4">
        <f>Tabel242567891011[[#This Row],[Subtotaal waterbar in consumpties]]+Tabel242567891011[[#This Row],[Subtotaal koffieautomaten]]</f>
        <v>2044.6666666666679</v>
      </c>
    </row>
    <row r="32" spans="1:51" x14ac:dyDescent="0.25">
      <c r="A32" t="s">
        <v>48</v>
      </c>
      <c r="B32" t="s">
        <v>81</v>
      </c>
      <c r="C32" t="s">
        <v>31</v>
      </c>
      <c r="E32" s="11">
        <v>3703</v>
      </c>
      <c r="F32" s="11">
        <v>3373</v>
      </c>
      <c r="G32" s="12">
        <f>Tabel242567891011[[#This Row],[Stand Coffee einde maand]]-Tabel242567891011[[#This Row],[Coffee vorige maand]]</f>
        <v>330</v>
      </c>
      <c r="H32" s="11">
        <v>238</v>
      </c>
      <c r="I32" s="11">
        <v>237</v>
      </c>
      <c r="J32" s="12">
        <f>Tabel242567891011[[#This Row],[Stand Espresso Einde maand]]-Tabel242567891011[[#This Row],[Espresso vorige maand]]</f>
        <v>1</v>
      </c>
      <c r="K32" s="11">
        <v>248</v>
      </c>
      <c r="L32" s="11">
        <v>216</v>
      </c>
      <c r="M32">
        <f>Tabel242567891011[[#This Row],[Stand Latte Macchiato einde maand]]-Tabel242567891011[[#This Row],[Latte Macchiato vorige maand]]</f>
        <v>32</v>
      </c>
      <c r="N32" s="11">
        <v>168</v>
      </c>
      <c r="O32" s="11">
        <v>143</v>
      </c>
      <c r="P32">
        <f>Tabel242567891011[[#This Row],[Stand Coffee Latte einde maand]]-Tabel242567891011[[#This Row],[Coffee Latte vorige maand]]</f>
        <v>25</v>
      </c>
      <c r="Q32" s="11">
        <v>7721</v>
      </c>
      <c r="R32" s="11">
        <v>6746</v>
      </c>
      <c r="S32">
        <f>Tabel242567891011[[#This Row],[Stand Hot Water einde maand]]-Tabel242567891011[[#This Row],[Hot Water vorige maand]]</f>
        <v>975</v>
      </c>
      <c r="T32" s="11">
        <v>1537</v>
      </c>
      <c r="U32" s="11">
        <v>1368</v>
      </c>
      <c r="V32">
        <f>Tabel242567891011[[#This Row],[Stand Cappucino einde maand]]-Tabel242567891011[[#This Row],[Stand Cappucino vorige maand]]</f>
        <v>169</v>
      </c>
      <c r="W32" s="11">
        <v>77</v>
      </c>
      <c r="X32" s="11">
        <v>73</v>
      </c>
      <c r="Y32">
        <f>Tabel242567891011[[#This Row],[Stand Cappucino Plantaardig einde maand]]-Tabel242567891011[[#This Row],[Stand Cappucino Plantaardig vorige maand]]</f>
        <v>4</v>
      </c>
      <c r="Z32" s="11">
        <v>16</v>
      </c>
      <c r="AA32" s="11">
        <v>12</v>
      </c>
      <c r="AB32" s="12">
        <f>Tabel242567891011[[#This Row],[Stand Latte Macchiato Plantaardig einde maand]]-Tabel242567891011[[#This Row],[Stand Latte Macchiato Plantaardig vorige maand]]</f>
        <v>4</v>
      </c>
      <c r="AC32" s="3">
        <f>Tabel242567891011[[#This Row],[Verbruik Stand Latte Macchiato Plantaardig deze maand]]+Tabel242567891011[[#This Row],[Verbruik  Cappucino Plantaardig deze maand]]+Tabel242567891011[[#This Row],[Verbruik Cappucino deze maand]]+Tabel242567891011[[#This Row],[Verbruik Hot Water deze maand]]+Tabel242567891011[[#This Row],[Verbruik Coffee Latte deze maand]]+Tabel242567891011[[#This Row],[Verbruik Latte Macchiato deze maand]]+Tabel242567891011[[#This Row],[Verbruik Espresso deze maand]]+Tabel242567891011[[#This Row],[Verbruik Coffee deze maand]]</f>
        <v>1540</v>
      </c>
      <c r="AD32" s="26"/>
      <c r="AE32" s="26"/>
      <c r="AF32" s="5"/>
      <c r="AG32" s="5"/>
      <c r="AH32" s="26"/>
      <c r="AI32" s="26"/>
      <c r="AJ32" s="5"/>
      <c r="AK32" s="7"/>
      <c r="AL32" s="26"/>
      <c r="AM32" s="26"/>
      <c r="AN32" s="5"/>
      <c r="AO32" s="7"/>
      <c r="AP32" s="26"/>
      <c r="AQ32" s="26"/>
      <c r="AR32" s="5"/>
      <c r="AS32" s="7"/>
      <c r="AT32" s="26"/>
      <c r="AU32" s="26"/>
      <c r="AV32" s="5"/>
      <c r="AW32" s="21"/>
      <c r="AX32" s="8"/>
      <c r="AY32" s="4">
        <f>Tabel242567891011[[#This Row],[Subtotaal waterbar in consumpties]]+Tabel242567891011[[#This Row],[Subtotaal koffieautomaten]]</f>
        <v>1540</v>
      </c>
    </row>
    <row r="33" spans="1:51" x14ac:dyDescent="0.25">
      <c r="A33" t="s">
        <v>50</v>
      </c>
      <c r="B33" t="s">
        <v>82</v>
      </c>
      <c r="C33" t="s">
        <v>47</v>
      </c>
      <c r="E33" s="11">
        <v>2590</v>
      </c>
      <c r="F33" s="11">
        <v>2318</v>
      </c>
      <c r="G33" s="12">
        <f>Tabel242567891011[[#This Row],[Stand Coffee einde maand]]-Tabel242567891011[[#This Row],[Coffee vorige maand]]</f>
        <v>272</v>
      </c>
      <c r="H33" s="11">
        <v>243</v>
      </c>
      <c r="I33" s="11">
        <v>205</v>
      </c>
      <c r="J33" s="12">
        <f>Tabel242567891011[[#This Row],[Stand Espresso Einde maand]]-Tabel242567891011[[#This Row],[Espresso vorige maand]]</f>
        <v>38</v>
      </c>
      <c r="K33" s="11">
        <v>590</v>
      </c>
      <c r="L33" s="11">
        <v>528</v>
      </c>
      <c r="M33">
        <f>Tabel242567891011[[#This Row],[Stand Latte Macchiato einde maand]]-Tabel242567891011[[#This Row],[Latte Macchiato vorige maand]]</f>
        <v>62</v>
      </c>
      <c r="N33" s="11">
        <v>364</v>
      </c>
      <c r="O33" s="11">
        <v>324</v>
      </c>
      <c r="P33">
        <f>Tabel242567891011[[#This Row],[Stand Coffee Latte einde maand]]-Tabel242567891011[[#This Row],[Coffee Latte vorige maand]]</f>
        <v>40</v>
      </c>
      <c r="Q33" s="11">
        <v>1</v>
      </c>
      <c r="R33" s="11">
        <v>1</v>
      </c>
      <c r="S33">
        <f>Tabel242567891011[[#This Row],[Stand Hot Water einde maand]]-Tabel242567891011[[#This Row],[Hot Water vorige maand]]</f>
        <v>0</v>
      </c>
      <c r="T33" s="11">
        <v>1431</v>
      </c>
      <c r="U33" s="11">
        <v>1264</v>
      </c>
      <c r="V33">
        <f>Tabel242567891011[[#This Row],[Stand Cappucino einde maand]]-Tabel242567891011[[#This Row],[Stand Cappucino vorige maand]]</f>
        <v>167</v>
      </c>
      <c r="W33" s="11">
        <v>203</v>
      </c>
      <c r="X33" s="11">
        <v>178</v>
      </c>
      <c r="Y33">
        <f>Tabel242567891011[[#This Row],[Stand Cappucino Plantaardig einde maand]]-Tabel242567891011[[#This Row],[Stand Cappucino Plantaardig vorige maand]]</f>
        <v>25</v>
      </c>
      <c r="Z33" s="11">
        <v>34</v>
      </c>
      <c r="AA33" s="11">
        <v>32</v>
      </c>
      <c r="AB33" s="12">
        <f>Tabel242567891011[[#This Row],[Stand Latte Macchiato Plantaardig einde maand]]-Tabel242567891011[[#This Row],[Stand Latte Macchiato Plantaardig vorige maand]]</f>
        <v>2</v>
      </c>
      <c r="AC33" s="3">
        <f>Tabel242567891011[[#This Row],[Verbruik Stand Latte Macchiato Plantaardig deze maand]]+Tabel242567891011[[#This Row],[Verbruik  Cappucino Plantaardig deze maand]]+Tabel242567891011[[#This Row],[Verbruik Cappucino deze maand]]+Tabel242567891011[[#This Row],[Verbruik Hot Water deze maand]]+Tabel242567891011[[#This Row],[Verbruik Coffee Latte deze maand]]+Tabel242567891011[[#This Row],[Verbruik Latte Macchiato deze maand]]+Tabel242567891011[[#This Row],[Verbruik Espresso deze maand]]+Tabel242567891011[[#This Row],[Verbruik Coffee deze maand]]</f>
        <v>606</v>
      </c>
      <c r="AD33" s="11">
        <v>77.2</v>
      </c>
      <c r="AE33" s="11">
        <v>63.3</v>
      </c>
      <c r="AF33">
        <f>Tabel242567891011[[#This Row],[Stand Kamertemp liter einde maand]]-Tabel242567891011[[#This Row],[Stand Kamertemp liter vorige maand]]</f>
        <v>13.900000000000006</v>
      </c>
      <c r="AG33" s="2">
        <f>Tabel242567891011[[#This Row],[Verbruik Kamertemp liter deze maand]]/0.15</f>
        <v>92.666666666666714</v>
      </c>
      <c r="AH33" s="11">
        <v>316.2</v>
      </c>
      <c r="AI33" s="11">
        <v>281.39999999999998</v>
      </c>
      <c r="AJ33">
        <f>Tabel242567891011[[#This Row],[Stand Gekoeld liter einde maand]]-Tabel242567891011[[#This Row],[Stand Gekoeld liter vorige maand]]</f>
        <v>34.800000000000011</v>
      </c>
      <c r="AK33" s="2">
        <f>Tabel242567891011[[#This Row],[Verbruik Gekoeld liter deze maand]]/0.15</f>
        <v>232.00000000000009</v>
      </c>
      <c r="AL33" s="11">
        <v>420.6</v>
      </c>
      <c r="AM33" s="11">
        <v>385.4</v>
      </c>
      <c r="AN33">
        <f>Tabel242567891011[[#This Row],[Stand Bruisend liter einde maand]]-Tabel242567891011[[#This Row],[Stand Bruisend liter vorige maand]]</f>
        <v>35.200000000000045</v>
      </c>
      <c r="AO33" s="2">
        <f>Tabel242567891011[[#This Row],[Verbruik Bruisend liter deze maand]]/0.15</f>
        <v>234.66666666666697</v>
      </c>
      <c r="AP33" s="11">
        <v>113</v>
      </c>
      <c r="AQ33" s="11">
        <v>104.2</v>
      </c>
      <c r="AR33">
        <f>Tabel242567891011[[#This Row],[Stand licht bruisend liter einde maand]]-Tabel242567891011[[#This Row],[Stand licht bruisend liter vorige maand]]</f>
        <v>8.7999999999999972</v>
      </c>
      <c r="AS33" s="2">
        <f>Tabel242567891011[[#This Row],[Verbruik licht bruisend liter deze maand]]/0.15</f>
        <v>58.66666666666665</v>
      </c>
      <c r="AT33" s="11">
        <v>1107.9000000000001</v>
      </c>
      <c r="AU33" s="11">
        <v>1020.1</v>
      </c>
      <c r="AV33">
        <f>Tabel242567891011[[#This Row],[Stand heet water liter einde maand]]-Tabel242567891011[[#This Row],[Stand heet water liter vorige maand]]</f>
        <v>87.800000000000068</v>
      </c>
      <c r="AW33" s="20">
        <f>Tabel242567891011[[#This Row],[Verbruik heet Water liter deze maand ]]/0.15</f>
        <v>585.33333333333383</v>
      </c>
      <c r="AX33" s="4">
        <f>Tabel242567891011[[#This Row],[Aantal consumpties heet water deze maand]]+Tabel242567891011[[#This Row],[Aantal consumpties licht bruisend water deze maand]]+Tabel242567891011[[#This Row],[aantal consumpties Bruisend water deze maand]]+Tabel242567891011[[#This Row],[Aantal consumpties gekoeld water deze maand]]+Tabel242567891011[[#This Row],[Aantal consumpties Kamertemp deze maand]]</f>
        <v>1203.3333333333342</v>
      </c>
      <c r="AY33" s="4">
        <f>Tabel242567891011[[#This Row],[Subtotaal waterbar in consumpties]]+Tabel242567891011[[#This Row],[Subtotaal koffieautomaten]]</f>
        <v>1809.3333333333342</v>
      </c>
    </row>
    <row r="34" spans="1:51" x14ac:dyDescent="0.25">
      <c r="A34" t="s">
        <v>52</v>
      </c>
      <c r="B34" t="s">
        <v>83</v>
      </c>
      <c r="C34" t="s">
        <v>47</v>
      </c>
      <c r="E34" s="11">
        <v>2886</v>
      </c>
      <c r="F34" s="11">
        <v>2585</v>
      </c>
      <c r="G34" s="12">
        <f>Tabel242567891011[[#This Row],[Stand Coffee einde maand]]-Tabel242567891011[[#This Row],[Coffee vorige maand]]</f>
        <v>301</v>
      </c>
      <c r="H34" s="11">
        <v>1288</v>
      </c>
      <c r="I34" s="11">
        <v>1061</v>
      </c>
      <c r="J34" s="12">
        <f>Tabel242567891011[[#This Row],[Stand Espresso Einde maand]]-Tabel242567891011[[#This Row],[Espresso vorige maand]]</f>
        <v>227</v>
      </c>
      <c r="K34" s="11">
        <v>472</v>
      </c>
      <c r="L34" s="11">
        <v>424</v>
      </c>
      <c r="M34">
        <f>Tabel242567891011[[#This Row],[Stand Latte Macchiato einde maand]]-Tabel242567891011[[#This Row],[Latte Macchiato vorige maand]]</f>
        <v>48</v>
      </c>
      <c r="N34" s="11">
        <v>154</v>
      </c>
      <c r="O34" s="11">
        <v>142</v>
      </c>
      <c r="P34">
        <f>Tabel242567891011[[#This Row],[Stand Coffee Latte einde maand]]-Tabel242567891011[[#This Row],[Coffee Latte vorige maand]]</f>
        <v>12</v>
      </c>
      <c r="Q34" s="11">
        <v>1</v>
      </c>
      <c r="R34" s="11">
        <v>1</v>
      </c>
      <c r="S34">
        <f>Tabel242567891011[[#This Row],[Stand Hot Water einde maand]]-Tabel242567891011[[#This Row],[Hot Water vorige maand]]</f>
        <v>0</v>
      </c>
      <c r="T34" s="11">
        <v>908</v>
      </c>
      <c r="U34" s="11">
        <v>803</v>
      </c>
      <c r="V34">
        <f>Tabel242567891011[[#This Row],[Stand Cappucino einde maand]]-Tabel242567891011[[#This Row],[Stand Cappucino vorige maand]]</f>
        <v>105</v>
      </c>
      <c r="W34" s="11">
        <v>367</v>
      </c>
      <c r="X34" s="11">
        <v>335</v>
      </c>
      <c r="Y34">
        <f>Tabel242567891011[[#This Row],[Stand Cappucino Plantaardig einde maand]]-Tabel242567891011[[#This Row],[Stand Cappucino Plantaardig vorige maand]]</f>
        <v>32</v>
      </c>
      <c r="Z34" s="11">
        <v>408</v>
      </c>
      <c r="AA34" s="11">
        <v>376</v>
      </c>
      <c r="AB34" s="12">
        <f>Tabel242567891011[[#This Row],[Stand Latte Macchiato Plantaardig einde maand]]-Tabel242567891011[[#This Row],[Stand Latte Macchiato Plantaardig vorige maand]]</f>
        <v>32</v>
      </c>
      <c r="AC34" s="3">
        <f>Tabel242567891011[[#This Row],[Verbruik Stand Latte Macchiato Plantaardig deze maand]]+Tabel242567891011[[#This Row],[Verbruik  Cappucino Plantaardig deze maand]]+Tabel242567891011[[#This Row],[Verbruik Cappucino deze maand]]+Tabel242567891011[[#This Row],[Verbruik Hot Water deze maand]]+Tabel242567891011[[#This Row],[Verbruik Coffee Latte deze maand]]+Tabel242567891011[[#This Row],[Verbruik Latte Macchiato deze maand]]+Tabel242567891011[[#This Row],[Verbruik Espresso deze maand]]+Tabel242567891011[[#This Row],[Verbruik Coffee deze maand]]</f>
        <v>757</v>
      </c>
      <c r="AD34" s="11">
        <v>76.599999999999994</v>
      </c>
      <c r="AE34" s="11">
        <v>70.099999999999994</v>
      </c>
      <c r="AF34">
        <f>Tabel242567891011[[#This Row],[Stand Kamertemp liter einde maand]]-Tabel242567891011[[#This Row],[Stand Kamertemp liter vorige maand]]</f>
        <v>6.5</v>
      </c>
      <c r="AG34" s="2">
        <f>Tabel242567891011[[#This Row],[Verbruik Kamertemp liter deze maand]]/0.15</f>
        <v>43.333333333333336</v>
      </c>
      <c r="AH34" s="11">
        <v>427.9</v>
      </c>
      <c r="AI34" s="11">
        <v>380.3</v>
      </c>
      <c r="AJ34">
        <f>Tabel242567891011[[#This Row],[Stand Gekoeld liter einde maand]]-Tabel242567891011[[#This Row],[Stand Gekoeld liter vorige maand]]</f>
        <v>47.599999999999966</v>
      </c>
      <c r="AK34" s="2">
        <f>Tabel242567891011[[#This Row],[Verbruik Gekoeld liter deze maand]]/0.15</f>
        <v>317.33333333333314</v>
      </c>
      <c r="AL34" s="11">
        <v>322</v>
      </c>
      <c r="AM34" s="11">
        <v>269.39999999999998</v>
      </c>
      <c r="AN34">
        <f>Tabel242567891011[[#This Row],[Stand Bruisend liter einde maand]]-Tabel242567891011[[#This Row],[Stand Bruisend liter vorige maand]]</f>
        <v>52.600000000000023</v>
      </c>
      <c r="AO34" s="2">
        <f>Tabel242567891011[[#This Row],[Verbruik Bruisend liter deze maand]]/0.15</f>
        <v>350.66666666666686</v>
      </c>
      <c r="AP34" s="11">
        <v>116.9</v>
      </c>
      <c r="AQ34" s="11">
        <v>109.6</v>
      </c>
      <c r="AR34">
        <f>Tabel242567891011[[#This Row],[Stand licht bruisend liter einde maand]]-Tabel242567891011[[#This Row],[Stand licht bruisend liter vorige maand]]</f>
        <v>7.3000000000000114</v>
      </c>
      <c r="AS34" s="2">
        <f>Tabel242567891011[[#This Row],[Verbruik licht bruisend liter deze maand]]/0.15</f>
        <v>48.666666666666742</v>
      </c>
      <c r="AT34" s="11">
        <v>2045.6</v>
      </c>
      <c r="AU34" s="11">
        <v>1812</v>
      </c>
      <c r="AV34">
        <f>Tabel242567891011[[#This Row],[Stand heet water liter einde maand]]-Tabel242567891011[[#This Row],[Stand heet water liter vorige maand]]</f>
        <v>233.59999999999991</v>
      </c>
      <c r="AW34" s="20">
        <f>Tabel242567891011[[#This Row],[Verbruik heet Water liter deze maand ]]/0.15</f>
        <v>1557.3333333333328</v>
      </c>
      <c r="AX34" s="4">
        <f>Tabel242567891011[[#This Row],[Aantal consumpties heet water deze maand]]+Tabel242567891011[[#This Row],[Aantal consumpties licht bruisend water deze maand]]+Tabel242567891011[[#This Row],[aantal consumpties Bruisend water deze maand]]+Tabel242567891011[[#This Row],[Aantal consumpties gekoeld water deze maand]]+Tabel242567891011[[#This Row],[Aantal consumpties Kamertemp deze maand]]</f>
        <v>2317.333333333333</v>
      </c>
      <c r="AY34" s="4">
        <f>Tabel242567891011[[#This Row],[Subtotaal waterbar in consumpties]]+Tabel242567891011[[#This Row],[Subtotaal koffieautomaten]]</f>
        <v>3074.333333333333</v>
      </c>
    </row>
    <row r="35" spans="1:51" x14ac:dyDescent="0.25">
      <c r="A35" t="s">
        <v>54</v>
      </c>
      <c r="B35" t="s">
        <v>84</v>
      </c>
      <c r="C35" t="s">
        <v>31</v>
      </c>
      <c r="E35" s="11">
        <v>3253</v>
      </c>
      <c r="F35" s="11">
        <v>2892</v>
      </c>
      <c r="G35" s="12">
        <f>Tabel242567891011[[#This Row],[Stand Coffee einde maand]]-Tabel242567891011[[#This Row],[Coffee vorige maand]]</f>
        <v>361</v>
      </c>
      <c r="H35" s="11">
        <v>625</v>
      </c>
      <c r="I35" s="11">
        <v>563</v>
      </c>
      <c r="J35" s="12">
        <f>Tabel242567891011[[#This Row],[Stand Espresso Einde maand]]-Tabel242567891011[[#This Row],[Espresso vorige maand]]</f>
        <v>62</v>
      </c>
      <c r="K35" s="11">
        <v>346</v>
      </c>
      <c r="L35" s="11">
        <v>330</v>
      </c>
      <c r="M35">
        <f>Tabel242567891011[[#This Row],[Stand Latte Macchiato einde maand]]-Tabel242567891011[[#This Row],[Latte Macchiato vorige maand]]</f>
        <v>16</v>
      </c>
      <c r="N35" s="11">
        <v>118</v>
      </c>
      <c r="O35" s="11">
        <v>104</v>
      </c>
      <c r="P35">
        <f>Tabel242567891011[[#This Row],[Stand Coffee Latte einde maand]]-Tabel242567891011[[#This Row],[Coffee Latte vorige maand]]</f>
        <v>14</v>
      </c>
      <c r="Q35" s="11">
        <v>5268</v>
      </c>
      <c r="R35" s="11">
        <v>4632</v>
      </c>
      <c r="S35">
        <f>Tabel242567891011[[#This Row],[Stand Hot Water einde maand]]-Tabel242567891011[[#This Row],[Hot Water vorige maand]]</f>
        <v>636</v>
      </c>
      <c r="T35" s="11">
        <v>1155</v>
      </c>
      <c r="U35" s="11">
        <v>1044</v>
      </c>
      <c r="V35">
        <f>Tabel242567891011[[#This Row],[Stand Cappucino einde maand]]-Tabel242567891011[[#This Row],[Stand Cappucino vorige maand]]</f>
        <v>111</v>
      </c>
      <c r="W35" s="11">
        <v>155</v>
      </c>
      <c r="X35" s="11">
        <v>137</v>
      </c>
      <c r="Y35">
        <f>Tabel242567891011[[#This Row],[Stand Cappucino Plantaardig einde maand]]-Tabel242567891011[[#This Row],[Stand Cappucino Plantaardig vorige maand]]</f>
        <v>18</v>
      </c>
      <c r="Z35" s="11">
        <v>285</v>
      </c>
      <c r="AA35" s="11">
        <v>247</v>
      </c>
      <c r="AB35" s="12">
        <f>Tabel242567891011[[#This Row],[Stand Latte Macchiato Plantaardig einde maand]]-Tabel242567891011[[#This Row],[Stand Latte Macchiato Plantaardig vorige maand]]</f>
        <v>38</v>
      </c>
      <c r="AC35" s="3">
        <f>Tabel242567891011[[#This Row],[Verbruik Stand Latte Macchiato Plantaardig deze maand]]+Tabel242567891011[[#This Row],[Verbruik  Cappucino Plantaardig deze maand]]+Tabel242567891011[[#This Row],[Verbruik Cappucino deze maand]]+Tabel242567891011[[#This Row],[Verbruik Hot Water deze maand]]+Tabel242567891011[[#This Row],[Verbruik Coffee Latte deze maand]]+Tabel242567891011[[#This Row],[Verbruik Latte Macchiato deze maand]]+Tabel242567891011[[#This Row],[Verbruik Espresso deze maand]]+Tabel242567891011[[#This Row],[Verbruik Coffee deze maand]]</f>
        <v>1256</v>
      </c>
      <c r="AD35" s="26"/>
      <c r="AE35" s="26"/>
      <c r="AF35" s="5"/>
      <c r="AG35" s="5"/>
      <c r="AH35" s="26"/>
      <c r="AI35" s="26"/>
      <c r="AJ35" s="5"/>
      <c r="AK35" s="5"/>
      <c r="AL35" s="26"/>
      <c r="AM35" s="26"/>
      <c r="AN35" s="5"/>
      <c r="AO35" s="7"/>
      <c r="AP35" s="26"/>
      <c r="AQ35" s="26"/>
      <c r="AR35" s="5"/>
      <c r="AS35" s="7"/>
      <c r="AT35" s="26"/>
      <c r="AU35" s="26"/>
      <c r="AV35" s="5"/>
      <c r="AW35" s="21"/>
      <c r="AX35" s="8"/>
      <c r="AY35" s="4">
        <f>Tabel242567891011[[#This Row],[Subtotaal waterbar in consumpties]]+Tabel242567891011[[#This Row],[Subtotaal koffieautomaten]]</f>
        <v>1256</v>
      </c>
    </row>
    <row r="36" spans="1:51" x14ac:dyDescent="0.25">
      <c r="A36" t="s">
        <v>56</v>
      </c>
      <c r="B36" t="s">
        <v>85</v>
      </c>
      <c r="C36" t="s">
        <v>36</v>
      </c>
      <c r="E36" s="42"/>
      <c r="F36" s="42"/>
      <c r="G36" s="43"/>
      <c r="H36" s="42"/>
      <c r="I36" s="42"/>
      <c r="J36" s="43"/>
      <c r="K36" s="42"/>
      <c r="L36" s="42"/>
      <c r="M36" s="43"/>
      <c r="N36" s="42"/>
      <c r="O36" s="42"/>
      <c r="P36" s="43"/>
      <c r="Q36" s="42"/>
      <c r="R36" s="42"/>
      <c r="S36" s="43"/>
      <c r="T36" s="42"/>
      <c r="U36" s="42"/>
      <c r="V36" s="43"/>
      <c r="W36" s="42"/>
      <c r="X36" s="42"/>
      <c r="Y36" s="43"/>
      <c r="Z36" s="42"/>
      <c r="AA36" s="42"/>
      <c r="AB36" s="43"/>
      <c r="AC36" s="43"/>
      <c r="AD36" s="11">
        <v>44.2</v>
      </c>
      <c r="AE36" s="11">
        <v>40.1</v>
      </c>
      <c r="AF36">
        <f>Tabel242567891011[[#This Row],[Stand Kamertemp liter einde maand]]-Tabel242567891011[[#This Row],[Stand Kamertemp liter vorige maand]]</f>
        <v>4.1000000000000014</v>
      </c>
      <c r="AG36" s="2">
        <f>Tabel242567891011[[#This Row],[Verbruik Kamertemp liter deze maand]]/0.15</f>
        <v>27.333333333333343</v>
      </c>
      <c r="AH36" s="11">
        <v>497.1</v>
      </c>
      <c r="AI36" s="11">
        <v>455.8</v>
      </c>
      <c r="AJ36">
        <f>Tabel242567891011[[#This Row],[Stand Gekoeld liter einde maand]]-Tabel242567891011[[#This Row],[Stand Gekoeld liter vorige maand]]</f>
        <v>41.300000000000011</v>
      </c>
      <c r="AK36" s="2">
        <f>Tabel242567891011[[#This Row],[Verbruik Gekoeld liter deze maand]]/0.15</f>
        <v>275.33333333333343</v>
      </c>
      <c r="AL36" s="11">
        <v>226</v>
      </c>
      <c r="AM36" s="11">
        <v>207.5</v>
      </c>
      <c r="AN36">
        <f>Tabel242567891011[[#This Row],[Stand Bruisend liter einde maand]]-Tabel242567891011[[#This Row],[Stand Bruisend liter vorige maand]]</f>
        <v>18.5</v>
      </c>
      <c r="AO36" s="2">
        <f>Tabel242567891011[[#This Row],[Verbruik Bruisend liter deze maand]]/0.15</f>
        <v>123.33333333333334</v>
      </c>
      <c r="AP36" s="11">
        <v>198.8</v>
      </c>
      <c r="AQ36" s="11">
        <v>175.4</v>
      </c>
      <c r="AR36">
        <f>Tabel242567891011[[#This Row],[Stand licht bruisend liter einde maand]]-Tabel242567891011[[#This Row],[Stand licht bruisend liter vorige maand]]</f>
        <v>23.400000000000006</v>
      </c>
      <c r="AS36" s="2">
        <f>Tabel242567891011[[#This Row],[Verbruik licht bruisend liter deze maand]]/0.15</f>
        <v>156.00000000000006</v>
      </c>
      <c r="AT36" s="11">
        <v>1564.3</v>
      </c>
      <c r="AU36" s="11">
        <v>1429.7</v>
      </c>
      <c r="AV36">
        <f>Tabel242567891011[[#This Row],[Stand heet water liter einde maand]]-Tabel242567891011[[#This Row],[Stand heet water liter vorige maand]]</f>
        <v>134.59999999999991</v>
      </c>
      <c r="AW36" s="20">
        <f>Tabel242567891011[[#This Row],[Verbruik heet Water liter deze maand ]]/0.15</f>
        <v>897.3333333333328</v>
      </c>
      <c r="AX36" s="4">
        <f>Tabel242567891011[[#This Row],[Aantal consumpties heet water deze maand]]+Tabel242567891011[[#This Row],[Aantal consumpties licht bruisend water deze maand]]+Tabel242567891011[[#This Row],[aantal consumpties Bruisend water deze maand]]+Tabel242567891011[[#This Row],[Aantal consumpties gekoeld water deze maand]]+Tabel242567891011[[#This Row],[Aantal consumpties Kamertemp deze maand]]</f>
        <v>1479.3333333333328</v>
      </c>
      <c r="AY36" s="4">
        <f>Tabel242567891011[[#This Row],[Subtotaal waterbar in consumpties]]+Tabel242567891011[[#This Row],[Subtotaal koffieautomaten]]</f>
        <v>1479.3333333333328</v>
      </c>
    </row>
    <row r="37" spans="1:51" x14ac:dyDescent="0.25">
      <c r="A37" t="s">
        <v>58</v>
      </c>
      <c r="B37" t="s">
        <v>86</v>
      </c>
      <c r="C37" t="s">
        <v>47</v>
      </c>
      <c r="E37" s="11">
        <v>4648</v>
      </c>
      <c r="F37" s="11">
        <v>4099</v>
      </c>
      <c r="G37" s="12">
        <f>Tabel242567891011[[#This Row],[Stand Coffee einde maand]]-Tabel242567891011[[#This Row],[Coffee vorige maand]]</f>
        <v>549</v>
      </c>
      <c r="H37" s="11">
        <v>1220</v>
      </c>
      <c r="I37" s="11">
        <v>1108</v>
      </c>
      <c r="J37" s="12">
        <f>Tabel242567891011[[#This Row],[Stand Espresso Einde maand]]-Tabel242567891011[[#This Row],[Espresso vorige maand]]</f>
        <v>112</v>
      </c>
      <c r="K37" s="11">
        <v>471</v>
      </c>
      <c r="L37" s="11">
        <v>403</v>
      </c>
      <c r="M37">
        <f>Tabel242567891011[[#This Row],[Stand Latte Macchiato einde maand]]-Tabel242567891011[[#This Row],[Latte Macchiato vorige maand]]</f>
        <v>68</v>
      </c>
      <c r="N37" s="11">
        <v>338</v>
      </c>
      <c r="O37" s="11">
        <v>273</v>
      </c>
      <c r="P37">
        <f>Tabel242567891011[[#This Row],[Stand Coffee Latte einde maand]]-Tabel242567891011[[#This Row],[Coffee Latte vorige maand]]</f>
        <v>65</v>
      </c>
      <c r="Q37" s="11">
        <v>1</v>
      </c>
      <c r="R37" s="11">
        <v>1</v>
      </c>
      <c r="S37">
        <f>Tabel242567891011[[#This Row],[Stand Hot Water einde maand]]-Tabel242567891011[[#This Row],[Hot Water vorige maand]]</f>
        <v>0</v>
      </c>
      <c r="T37" s="11">
        <v>2501</v>
      </c>
      <c r="U37" s="11">
        <v>2161</v>
      </c>
      <c r="V37">
        <f>Tabel242567891011[[#This Row],[Stand Cappucino einde maand]]-Tabel242567891011[[#This Row],[Stand Cappucino vorige maand]]</f>
        <v>340</v>
      </c>
      <c r="W37" s="11">
        <v>378</v>
      </c>
      <c r="X37" s="11">
        <v>328</v>
      </c>
      <c r="Y37">
        <f>Tabel242567891011[[#This Row],[Stand Cappucino Plantaardig einde maand]]-Tabel242567891011[[#This Row],[Stand Cappucino Plantaardig vorige maand]]</f>
        <v>50</v>
      </c>
      <c r="Z37" s="11">
        <v>309</v>
      </c>
      <c r="AA37" s="11">
        <v>285</v>
      </c>
      <c r="AB37" s="12">
        <f>Tabel242567891011[[#This Row],[Stand Latte Macchiato Plantaardig einde maand]]-Tabel242567891011[[#This Row],[Stand Latte Macchiato Plantaardig vorige maand]]</f>
        <v>24</v>
      </c>
      <c r="AC37" s="3">
        <f>Tabel242567891011[[#This Row],[Verbruik Stand Latte Macchiato Plantaardig deze maand]]+Tabel242567891011[[#This Row],[Verbruik  Cappucino Plantaardig deze maand]]+Tabel242567891011[[#This Row],[Verbruik Cappucino deze maand]]+Tabel242567891011[[#This Row],[Verbruik Hot Water deze maand]]+Tabel242567891011[[#This Row],[Verbruik Coffee Latte deze maand]]+Tabel242567891011[[#This Row],[Verbruik Latte Macchiato deze maand]]+Tabel242567891011[[#This Row],[Verbruik Espresso deze maand]]+Tabel242567891011[[#This Row],[Verbruik Coffee deze maand]]</f>
        <v>1208</v>
      </c>
      <c r="AD37" s="11">
        <v>115.5</v>
      </c>
      <c r="AE37" s="11">
        <v>104.5</v>
      </c>
      <c r="AF37">
        <f>Tabel242567891011[[#This Row],[Stand Kamertemp liter einde maand]]-Tabel242567891011[[#This Row],[Stand Kamertemp liter vorige maand]]</f>
        <v>11</v>
      </c>
      <c r="AG37" s="2">
        <f>Tabel242567891011[[#This Row],[Verbruik Kamertemp liter deze maand]]/0.15</f>
        <v>73.333333333333343</v>
      </c>
      <c r="AH37" s="11">
        <v>682.8</v>
      </c>
      <c r="AI37" s="11">
        <v>612.5</v>
      </c>
      <c r="AJ37">
        <f>Tabel242567891011[[#This Row],[Stand Gekoeld liter einde maand]]-Tabel242567891011[[#This Row],[Stand Gekoeld liter vorige maand]]</f>
        <v>70.299999999999955</v>
      </c>
      <c r="AK37" s="2">
        <f>Tabel242567891011[[#This Row],[Verbruik Gekoeld liter deze maand]]/0.15</f>
        <v>468.6666666666664</v>
      </c>
      <c r="AL37" s="11">
        <v>353.9</v>
      </c>
      <c r="AM37" s="11">
        <v>287.10000000000002</v>
      </c>
      <c r="AN37">
        <f>Tabel242567891011[[#This Row],[Stand Bruisend liter einde maand]]-Tabel242567891011[[#This Row],[Stand Bruisend liter vorige maand]]</f>
        <v>66.799999999999955</v>
      </c>
      <c r="AO37" s="2">
        <f>Tabel242567891011[[#This Row],[Verbruik Bruisend liter deze maand]]/0.15</f>
        <v>445.33333333333303</v>
      </c>
      <c r="AP37" s="11">
        <v>109.4</v>
      </c>
      <c r="AQ37" s="11">
        <v>96.1</v>
      </c>
      <c r="AR37">
        <f>Tabel242567891011[[#This Row],[Stand licht bruisend liter einde maand]]-Tabel242567891011[[#This Row],[Stand licht bruisend liter vorige maand]]</f>
        <v>13.300000000000011</v>
      </c>
      <c r="AS37" s="2">
        <f>Tabel242567891011[[#This Row],[Verbruik licht bruisend liter deze maand]]/0.15</f>
        <v>88.666666666666742</v>
      </c>
      <c r="AT37" s="11">
        <v>1678.2</v>
      </c>
      <c r="AU37" s="11">
        <v>1511.8</v>
      </c>
      <c r="AV37">
        <f>Tabel242567891011[[#This Row],[Stand heet water liter einde maand]]-Tabel242567891011[[#This Row],[Stand heet water liter vorige maand]]</f>
        <v>166.40000000000009</v>
      </c>
      <c r="AW37" s="20">
        <f>Tabel242567891011[[#This Row],[Verbruik heet Water liter deze maand ]]/0.15</f>
        <v>1109.3333333333339</v>
      </c>
      <c r="AX37" s="4">
        <f>Tabel242567891011[[#This Row],[Aantal consumpties heet water deze maand]]+Tabel242567891011[[#This Row],[Aantal consumpties licht bruisend water deze maand]]+Tabel242567891011[[#This Row],[aantal consumpties Bruisend water deze maand]]+Tabel242567891011[[#This Row],[Aantal consumpties gekoeld water deze maand]]+Tabel242567891011[[#This Row],[Aantal consumpties Kamertemp deze maand]]</f>
        <v>2185.3333333333335</v>
      </c>
      <c r="AY37" s="4">
        <f>Tabel242567891011[[#This Row],[Subtotaal waterbar in consumpties]]+Tabel242567891011[[#This Row],[Subtotaal koffieautomaten]]</f>
        <v>3393.3333333333335</v>
      </c>
    </row>
    <row r="38" spans="1:51" x14ac:dyDescent="0.25">
      <c r="A38" t="s">
        <v>60</v>
      </c>
      <c r="B38" t="s">
        <v>87</v>
      </c>
      <c r="C38" t="s">
        <v>31</v>
      </c>
      <c r="E38" s="11">
        <v>1745</v>
      </c>
      <c r="F38" s="11">
        <v>1537</v>
      </c>
      <c r="G38" s="12">
        <f>Tabel242567891011[[#This Row],[Stand Coffee einde maand]]-Tabel242567891011[[#This Row],[Coffee vorige maand]]</f>
        <v>208</v>
      </c>
      <c r="H38" s="11">
        <v>362</v>
      </c>
      <c r="I38" s="11">
        <v>327</v>
      </c>
      <c r="J38" s="12">
        <f>Tabel242567891011[[#This Row],[Stand Espresso Einde maand]]-Tabel242567891011[[#This Row],[Espresso vorige maand]]</f>
        <v>35</v>
      </c>
      <c r="K38" s="11">
        <v>396</v>
      </c>
      <c r="L38" s="11">
        <v>340</v>
      </c>
      <c r="M38">
        <f>Tabel242567891011[[#This Row],[Stand Latte Macchiato einde maand]]-Tabel242567891011[[#This Row],[Latte Macchiato vorige maand]]</f>
        <v>56</v>
      </c>
      <c r="N38" s="11">
        <v>278</v>
      </c>
      <c r="O38" s="11">
        <v>251</v>
      </c>
      <c r="P38">
        <f>Tabel242567891011[[#This Row],[Stand Coffee Latte einde maand]]-Tabel242567891011[[#This Row],[Coffee Latte vorige maand]]</f>
        <v>27</v>
      </c>
      <c r="Q38" s="11">
        <v>6678</v>
      </c>
      <c r="R38" s="11">
        <v>6043</v>
      </c>
      <c r="S38">
        <f>Tabel242567891011[[#This Row],[Stand Hot Water einde maand]]-Tabel242567891011[[#This Row],[Hot Water vorige maand]]</f>
        <v>635</v>
      </c>
      <c r="T38" s="11">
        <v>1385</v>
      </c>
      <c r="U38" s="11">
        <v>1217</v>
      </c>
      <c r="V38">
        <f>Tabel242567891011[[#This Row],[Stand Cappucino einde maand]]-Tabel242567891011[[#This Row],[Stand Cappucino vorige maand]]</f>
        <v>168</v>
      </c>
      <c r="W38" s="11">
        <v>200</v>
      </c>
      <c r="X38" s="11">
        <v>186</v>
      </c>
      <c r="Y38">
        <f>Tabel242567891011[[#This Row],[Stand Cappucino Plantaardig einde maand]]-Tabel242567891011[[#This Row],[Stand Cappucino Plantaardig vorige maand]]</f>
        <v>14</v>
      </c>
      <c r="Z38" s="11">
        <v>127</v>
      </c>
      <c r="AA38" s="11">
        <v>120</v>
      </c>
      <c r="AB38" s="12">
        <f>Tabel242567891011[[#This Row],[Stand Latte Macchiato Plantaardig einde maand]]-Tabel242567891011[[#This Row],[Stand Latte Macchiato Plantaardig vorige maand]]</f>
        <v>7</v>
      </c>
      <c r="AC38" s="3">
        <f>Tabel242567891011[[#This Row],[Verbruik Stand Latte Macchiato Plantaardig deze maand]]+Tabel242567891011[[#This Row],[Verbruik  Cappucino Plantaardig deze maand]]+Tabel242567891011[[#This Row],[Verbruik Cappucino deze maand]]+Tabel242567891011[[#This Row],[Verbruik Hot Water deze maand]]+Tabel242567891011[[#This Row],[Verbruik Coffee Latte deze maand]]+Tabel242567891011[[#This Row],[Verbruik Latte Macchiato deze maand]]+Tabel242567891011[[#This Row],[Verbruik Espresso deze maand]]+Tabel242567891011[[#This Row],[Verbruik Coffee deze maand]]</f>
        <v>1150</v>
      </c>
      <c r="AD38" s="26"/>
      <c r="AE38" s="26"/>
      <c r="AF38" s="5"/>
      <c r="AG38" s="5"/>
      <c r="AH38" s="26"/>
      <c r="AI38" s="26"/>
      <c r="AJ38" s="5"/>
      <c r="AK38" s="5"/>
      <c r="AL38" s="26"/>
      <c r="AM38" s="26"/>
      <c r="AN38" s="5"/>
      <c r="AO38" s="5"/>
      <c r="AP38" s="26"/>
      <c r="AQ38" s="26"/>
      <c r="AR38" s="5"/>
      <c r="AS38" s="5"/>
      <c r="AT38" s="26"/>
      <c r="AU38" s="26"/>
      <c r="AV38" s="5"/>
      <c r="AW38" s="16"/>
      <c r="AX38" s="6"/>
      <c r="AY38" s="4">
        <f>Tabel242567891011[[#This Row],[Subtotaal waterbar in consumpties]]+Tabel242567891011[[#This Row],[Subtotaal koffieautomaten]]</f>
        <v>1150</v>
      </c>
    </row>
    <row r="39" spans="1:51" x14ac:dyDescent="0.25">
      <c r="A39" s="3" t="s">
        <v>88</v>
      </c>
      <c r="F39" s="11"/>
      <c r="H39" s="11"/>
      <c r="I39" s="11"/>
      <c r="J39" s="12"/>
      <c r="K39" s="11"/>
      <c r="L39" s="11"/>
      <c r="O39" s="11"/>
      <c r="R39" s="11"/>
      <c r="U39" s="11"/>
      <c r="X39" s="11"/>
      <c r="AA39" s="11"/>
      <c r="AC39" s="3">
        <f>Tabel242567891011[[#This Row],[Verbruik Stand Latte Macchiato Plantaardig deze maand]]+Tabel242567891011[[#This Row],[Verbruik  Cappucino Plantaardig deze maand]]+Tabel242567891011[[#This Row],[Verbruik Cappucino deze maand]]+Tabel242567891011[[#This Row],[Verbruik Hot Water deze maand]]+Tabel242567891011[[#This Row],[Verbruik Coffee Latte deze maand]]+Tabel242567891011[[#This Row],[Verbruik Latte Macchiato deze maand]]+Tabel242567891011[[#This Row],[Verbruik Espresso deze maand]]+Tabel242567891011[[#This Row],[Verbruik Coffee deze maand]]</f>
        <v>0</v>
      </c>
      <c r="AE39" s="11"/>
      <c r="AG39" s="2"/>
      <c r="AI39" s="11"/>
      <c r="AK39" s="2"/>
      <c r="AM39" s="11"/>
      <c r="AO39" s="2"/>
      <c r="AQ39" s="11"/>
      <c r="AS39" s="2"/>
      <c r="AU39" s="11"/>
      <c r="AW39" s="20"/>
      <c r="AX39" s="4"/>
      <c r="AY39" s="4">
        <f>Tabel242567891011[[#This Row],[Subtotaal waterbar in consumpties]]+Tabel242567891011[[#This Row],[Subtotaal koffieautomaten]]</f>
        <v>0</v>
      </c>
    </row>
    <row r="40" spans="1:51" x14ac:dyDescent="0.25">
      <c r="A40" s="28" t="s">
        <v>39</v>
      </c>
      <c r="B40" s="28" t="s">
        <v>89</v>
      </c>
      <c r="C40" s="28" t="s">
        <v>36</v>
      </c>
      <c r="D40" s="28"/>
      <c r="E40" s="42"/>
      <c r="F40" s="42"/>
      <c r="G40" s="43"/>
      <c r="H40" s="42"/>
      <c r="I40" s="42"/>
      <c r="J40" s="43"/>
      <c r="K40" s="42"/>
      <c r="L40" s="42"/>
      <c r="M40" s="43"/>
      <c r="N40" s="42"/>
      <c r="O40" s="42"/>
      <c r="P40" s="43"/>
      <c r="Q40" s="42"/>
      <c r="R40" s="42"/>
      <c r="S40" s="43"/>
      <c r="T40" s="42"/>
      <c r="U40" s="42"/>
      <c r="V40" s="43"/>
      <c r="W40" s="42"/>
      <c r="X40" s="42"/>
      <c r="Y40" s="43"/>
      <c r="Z40" s="42"/>
      <c r="AA40" s="42"/>
      <c r="AB40" s="43"/>
      <c r="AC40" s="43"/>
      <c r="AD40" s="11">
        <v>141.30000000000001</v>
      </c>
      <c r="AE40" s="11">
        <v>141.30000000000001</v>
      </c>
      <c r="AF40">
        <f>Tabel242567891011[[#This Row],[Stand Kamertemp liter einde maand]]-Tabel242567891011[[#This Row],[Stand Kamertemp liter vorige maand]]</f>
        <v>0</v>
      </c>
      <c r="AG40" s="2">
        <f>Tabel242567891011[[#This Row],[Verbruik Kamertemp liter deze maand]]/0.15</f>
        <v>0</v>
      </c>
      <c r="AH40" s="11">
        <v>1291.0999999999999</v>
      </c>
      <c r="AI40" s="11">
        <v>1291.0999999999999</v>
      </c>
      <c r="AJ40">
        <f>Tabel242567891011[[#This Row],[Stand Gekoeld liter einde maand]]-Tabel242567891011[[#This Row],[Stand Gekoeld liter vorige maand]]</f>
        <v>0</v>
      </c>
      <c r="AK40" s="2">
        <f>Tabel242567891011[[#This Row],[Verbruik Gekoeld liter deze maand]]/0.15</f>
        <v>0</v>
      </c>
      <c r="AL40" s="11">
        <v>608.70000000000005</v>
      </c>
      <c r="AM40" s="11">
        <v>608.70000000000005</v>
      </c>
      <c r="AN40">
        <f>Tabel242567891011[[#This Row],[Stand Bruisend liter einde maand]]-Tabel242567891011[[#This Row],[Stand Bruisend liter vorige maand]]</f>
        <v>0</v>
      </c>
      <c r="AO40" s="2">
        <f>Tabel242567891011[[#This Row],[Verbruik Bruisend liter deze maand]]/0.15</f>
        <v>0</v>
      </c>
      <c r="AP40" s="11">
        <v>189.3</v>
      </c>
      <c r="AQ40" s="11">
        <v>189.3</v>
      </c>
      <c r="AR40">
        <f>Tabel242567891011[[#This Row],[Stand licht bruisend liter einde maand]]-Tabel242567891011[[#This Row],[Stand licht bruisend liter vorige maand]]</f>
        <v>0</v>
      </c>
      <c r="AS40" s="2">
        <f>Tabel242567891011[[#This Row],[Verbruik licht bruisend liter deze maand]]/0.15</f>
        <v>0</v>
      </c>
      <c r="AT40" s="11">
        <v>960.8</v>
      </c>
      <c r="AU40" s="11">
        <v>960.8</v>
      </c>
      <c r="AV40">
        <f>Tabel242567891011[[#This Row],[Stand heet water liter einde maand]]-Tabel242567891011[[#This Row],[Stand heet water liter vorige maand]]</f>
        <v>0</v>
      </c>
      <c r="AW40" s="20">
        <f>Tabel242567891011[[#This Row],[Verbruik heet Water liter deze maand ]]/0.15</f>
        <v>0</v>
      </c>
      <c r="AX40" s="4">
        <f>Tabel242567891011[[#This Row],[Aantal consumpties heet water deze maand]]+Tabel242567891011[[#This Row],[Aantal consumpties licht bruisend water deze maand]]+Tabel242567891011[[#This Row],[aantal consumpties Bruisend water deze maand]]+Tabel242567891011[[#This Row],[Aantal consumpties gekoeld water deze maand]]+Tabel242567891011[[#This Row],[Aantal consumpties Kamertemp deze maand]]</f>
        <v>0</v>
      </c>
      <c r="AY40" s="4">
        <f>Tabel242567891011[[#This Row],[Subtotaal waterbar in consumpties]]+Tabel242567891011[[#This Row],[Subtotaal koffieautomaten]]</f>
        <v>0</v>
      </c>
    </row>
    <row r="41" spans="1:51" x14ac:dyDescent="0.25">
      <c r="A41" t="s">
        <v>41</v>
      </c>
      <c r="B41" t="s">
        <v>90</v>
      </c>
      <c r="C41" t="s">
        <v>31</v>
      </c>
      <c r="E41" s="11">
        <v>4388</v>
      </c>
      <c r="F41" s="11">
        <v>3831</v>
      </c>
      <c r="G41" s="12">
        <f>Tabel242567891011[[#This Row],[Stand Coffee einde maand]]-Tabel242567891011[[#This Row],[Coffee vorige maand]]</f>
        <v>557</v>
      </c>
      <c r="H41" s="11">
        <v>1632</v>
      </c>
      <c r="I41" s="11">
        <v>1398</v>
      </c>
      <c r="J41" s="12">
        <f>Tabel242567891011[[#This Row],[Stand Espresso Einde maand]]-Tabel242567891011[[#This Row],[Espresso vorige maand]]</f>
        <v>234</v>
      </c>
      <c r="K41" s="11">
        <v>659</v>
      </c>
      <c r="L41" s="11">
        <v>563</v>
      </c>
      <c r="M41">
        <f>Tabel242567891011[[#This Row],[Stand Latte Macchiato einde maand]]-Tabel242567891011[[#This Row],[Latte Macchiato vorige maand]]</f>
        <v>96</v>
      </c>
      <c r="N41" s="11">
        <v>597</v>
      </c>
      <c r="O41" s="11">
        <v>522</v>
      </c>
      <c r="P41">
        <f>Tabel242567891011[[#This Row],[Stand Coffee Latte einde maand]]-Tabel242567891011[[#This Row],[Coffee Latte vorige maand]]</f>
        <v>75</v>
      </c>
      <c r="Q41" s="11">
        <v>11983</v>
      </c>
      <c r="R41" s="11">
        <v>10498</v>
      </c>
      <c r="S41">
        <f>Tabel242567891011[[#This Row],[Stand Hot Water einde maand]]-Tabel242567891011[[#This Row],[Hot Water vorige maand]]</f>
        <v>1485</v>
      </c>
      <c r="T41" s="11">
        <v>1884</v>
      </c>
      <c r="U41" s="11">
        <v>1662</v>
      </c>
      <c r="V41">
        <f>Tabel242567891011[[#This Row],[Stand Cappucino einde maand]]-Tabel242567891011[[#This Row],[Stand Cappucino vorige maand]]</f>
        <v>222</v>
      </c>
      <c r="W41" s="11">
        <v>212</v>
      </c>
      <c r="X41" s="11">
        <v>196</v>
      </c>
      <c r="Y41">
        <f>Tabel242567891011[[#This Row],[Stand Cappucino Plantaardig einde maand]]-Tabel242567891011[[#This Row],[Stand Cappucino Plantaardig vorige maand]]</f>
        <v>16</v>
      </c>
      <c r="Z41" s="11">
        <v>81</v>
      </c>
      <c r="AA41" s="11">
        <v>75</v>
      </c>
      <c r="AB41" s="12">
        <f>Tabel242567891011[[#This Row],[Stand Latte Macchiato Plantaardig einde maand]]-Tabel242567891011[[#This Row],[Stand Latte Macchiato Plantaardig vorige maand]]</f>
        <v>6</v>
      </c>
      <c r="AC41" s="3">
        <f>Tabel242567891011[[#This Row],[Verbruik Stand Latte Macchiato Plantaardig deze maand]]+Tabel242567891011[[#This Row],[Verbruik  Cappucino Plantaardig deze maand]]+Tabel242567891011[[#This Row],[Verbruik Cappucino deze maand]]+Tabel242567891011[[#This Row],[Verbruik Hot Water deze maand]]+Tabel242567891011[[#This Row],[Verbruik Coffee Latte deze maand]]+Tabel242567891011[[#This Row],[Verbruik Latte Macchiato deze maand]]+Tabel242567891011[[#This Row],[Verbruik Espresso deze maand]]+Tabel242567891011[[#This Row],[Verbruik Coffee deze maand]]</f>
        <v>2691</v>
      </c>
      <c r="AD41" s="26"/>
      <c r="AE41" s="26"/>
      <c r="AF41" s="5"/>
      <c r="AG41" s="5"/>
      <c r="AH41" s="26"/>
      <c r="AI41" s="26"/>
      <c r="AJ41" s="5"/>
      <c r="AK41" s="5"/>
      <c r="AL41" s="26"/>
      <c r="AM41" s="26"/>
      <c r="AN41" s="5"/>
      <c r="AO41" s="5"/>
      <c r="AP41" s="26"/>
      <c r="AQ41" s="26"/>
      <c r="AR41" s="5"/>
      <c r="AS41" s="5"/>
      <c r="AT41" s="26"/>
      <c r="AU41" s="26"/>
      <c r="AV41" s="5"/>
      <c r="AW41" s="16"/>
      <c r="AX41" s="6"/>
      <c r="AY41" s="4">
        <f>Tabel242567891011[[#This Row],[Subtotaal waterbar in consumpties]]+Tabel242567891011[[#This Row],[Subtotaal koffieautomaten]]</f>
        <v>2691</v>
      </c>
    </row>
    <row r="42" spans="1:51" x14ac:dyDescent="0.25">
      <c r="A42" t="s">
        <v>43</v>
      </c>
      <c r="B42" t="s">
        <v>91</v>
      </c>
      <c r="C42" t="s">
        <v>47</v>
      </c>
      <c r="E42" s="11">
        <v>5149</v>
      </c>
      <c r="F42" s="11">
        <v>4453</v>
      </c>
      <c r="G42" s="12">
        <f>Tabel242567891011[[#This Row],[Stand Coffee einde maand]]-Tabel242567891011[[#This Row],[Coffee vorige maand]]</f>
        <v>696</v>
      </c>
      <c r="H42" s="11">
        <v>1296</v>
      </c>
      <c r="I42" s="11">
        <v>1166</v>
      </c>
      <c r="J42" s="12">
        <f>Tabel242567891011[[#This Row],[Stand Espresso Einde maand]]-Tabel242567891011[[#This Row],[Espresso vorige maand]]</f>
        <v>130</v>
      </c>
      <c r="K42" s="11">
        <v>267</v>
      </c>
      <c r="L42" s="11">
        <v>233</v>
      </c>
      <c r="M42">
        <f>Tabel242567891011[[#This Row],[Stand Latte Macchiato einde maand]]-Tabel242567891011[[#This Row],[Latte Macchiato vorige maand]]</f>
        <v>34</v>
      </c>
      <c r="N42" s="11">
        <v>291</v>
      </c>
      <c r="O42" s="11">
        <v>244</v>
      </c>
      <c r="P42">
        <f>Tabel242567891011[[#This Row],[Stand Coffee Latte einde maand]]-Tabel242567891011[[#This Row],[Coffee Latte vorige maand]]</f>
        <v>47</v>
      </c>
      <c r="Q42" s="11">
        <v>732</v>
      </c>
      <c r="R42" s="11">
        <v>384</v>
      </c>
      <c r="S42">
        <f>Tabel242567891011[[#This Row],[Stand Hot Water einde maand]]-Tabel242567891011[[#This Row],[Hot Water vorige maand]]</f>
        <v>348</v>
      </c>
      <c r="T42" s="11">
        <v>1921</v>
      </c>
      <c r="U42" s="11">
        <v>1678</v>
      </c>
      <c r="V42">
        <f>Tabel242567891011[[#This Row],[Stand Cappucino einde maand]]-Tabel242567891011[[#This Row],[Stand Cappucino vorige maand]]</f>
        <v>243</v>
      </c>
      <c r="W42" s="11">
        <v>1730</v>
      </c>
      <c r="X42" s="11">
        <v>1526</v>
      </c>
      <c r="Y42">
        <f>Tabel242567891011[[#This Row],[Stand Cappucino Plantaardig einde maand]]-Tabel242567891011[[#This Row],[Stand Cappucino Plantaardig vorige maand]]</f>
        <v>204</v>
      </c>
      <c r="Z42" s="11">
        <v>160</v>
      </c>
      <c r="AA42" s="11">
        <v>140</v>
      </c>
      <c r="AB42" s="12">
        <f>Tabel242567891011[[#This Row],[Stand Latte Macchiato Plantaardig einde maand]]-Tabel242567891011[[#This Row],[Stand Latte Macchiato Plantaardig vorige maand]]</f>
        <v>20</v>
      </c>
      <c r="AC42" s="3">
        <f>Tabel242567891011[[#This Row],[Verbruik Stand Latte Macchiato Plantaardig deze maand]]+Tabel242567891011[[#This Row],[Verbruik  Cappucino Plantaardig deze maand]]+Tabel242567891011[[#This Row],[Verbruik Cappucino deze maand]]+Tabel242567891011[[#This Row],[Verbruik Hot Water deze maand]]+Tabel242567891011[[#This Row],[Verbruik Coffee Latte deze maand]]+Tabel242567891011[[#This Row],[Verbruik Latte Macchiato deze maand]]+Tabel242567891011[[#This Row],[Verbruik Espresso deze maand]]+Tabel242567891011[[#This Row],[Verbruik Coffee deze maand]]</f>
        <v>1722</v>
      </c>
      <c r="AD42" s="11">
        <v>93</v>
      </c>
      <c r="AE42" s="11">
        <v>74.8</v>
      </c>
      <c r="AF42">
        <f>Tabel242567891011[[#This Row],[Stand Kamertemp liter einde maand]]-Tabel242567891011[[#This Row],[Stand Kamertemp liter vorige maand]]</f>
        <v>18.200000000000003</v>
      </c>
      <c r="AG42" s="2">
        <f>Tabel242567891011[[#This Row],[Verbruik Kamertemp liter deze maand]]/0.15</f>
        <v>121.33333333333336</v>
      </c>
      <c r="AH42" s="11">
        <v>1016.4</v>
      </c>
      <c r="AI42" s="11">
        <v>908.3</v>
      </c>
      <c r="AJ42">
        <f>Tabel242567891011[[#This Row],[Stand Gekoeld liter einde maand]]-Tabel242567891011[[#This Row],[Stand Gekoeld liter vorige maand]]</f>
        <v>108.10000000000002</v>
      </c>
      <c r="AK42" s="2">
        <f>Tabel242567891011[[#This Row],[Verbruik Gekoeld liter deze maand]]/0.15</f>
        <v>720.66666666666686</v>
      </c>
      <c r="AL42" s="11">
        <v>1360.3</v>
      </c>
      <c r="AM42" s="11">
        <v>1216</v>
      </c>
      <c r="AN42">
        <f>Tabel242567891011[[#This Row],[Stand Bruisend liter einde maand]]-Tabel242567891011[[#This Row],[Stand Bruisend liter vorige maand]]</f>
        <v>144.29999999999995</v>
      </c>
      <c r="AO42" s="2">
        <f>Tabel242567891011[[#This Row],[Verbruik Bruisend liter deze maand]]/0.15</f>
        <v>961.99999999999977</v>
      </c>
      <c r="AP42" s="11">
        <v>717.7</v>
      </c>
      <c r="AQ42" s="11">
        <v>669.8</v>
      </c>
      <c r="AR42">
        <f>Tabel242567891011[[#This Row],[Stand licht bruisend liter einde maand]]-Tabel242567891011[[#This Row],[Stand licht bruisend liter vorige maand]]</f>
        <v>47.900000000000091</v>
      </c>
      <c r="AS42" s="2">
        <f>Tabel242567891011[[#This Row],[Verbruik licht bruisend liter deze maand]]/0.15</f>
        <v>319.33333333333394</v>
      </c>
      <c r="AT42" s="11">
        <v>4299.7</v>
      </c>
      <c r="AU42" s="11">
        <v>3727.8</v>
      </c>
      <c r="AV42">
        <f>Tabel242567891011[[#This Row],[Stand heet water liter einde maand]]-Tabel242567891011[[#This Row],[Stand heet water liter vorige maand]]</f>
        <v>571.89999999999964</v>
      </c>
      <c r="AW42" s="20">
        <f>Tabel242567891011[[#This Row],[Verbruik heet Water liter deze maand ]]/0.15</f>
        <v>3812.6666666666642</v>
      </c>
      <c r="AX42" s="4">
        <f>Tabel242567891011[[#This Row],[Aantal consumpties heet water deze maand]]+Tabel242567891011[[#This Row],[Aantal consumpties licht bruisend water deze maand]]+Tabel242567891011[[#This Row],[aantal consumpties Bruisend water deze maand]]+Tabel242567891011[[#This Row],[Aantal consumpties gekoeld water deze maand]]+Tabel242567891011[[#This Row],[Aantal consumpties Kamertemp deze maand]]</f>
        <v>5935.9999999999982</v>
      </c>
      <c r="AY42" s="4">
        <f>Tabel242567891011[[#This Row],[Subtotaal waterbar in consumpties]]+Tabel242567891011[[#This Row],[Subtotaal koffieautomaten]]</f>
        <v>7657.9999999999982</v>
      </c>
    </row>
    <row r="43" spans="1:51" x14ac:dyDescent="0.25">
      <c r="A43" t="s">
        <v>45</v>
      </c>
      <c r="B43" t="s">
        <v>92</v>
      </c>
      <c r="C43" t="s">
        <v>36</v>
      </c>
      <c r="E43" s="42"/>
      <c r="F43" s="42"/>
      <c r="G43" s="43"/>
      <c r="H43" s="42"/>
      <c r="I43" s="42"/>
      <c r="J43" s="43"/>
      <c r="K43" s="42"/>
      <c r="L43" s="42"/>
      <c r="M43" s="43"/>
      <c r="N43" s="42"/>
      <c r="O43" s="42"/>
      <c r="P43" s="43"/>
      <c r="Q43" s="42"/>
      <c r="R43" s="42"/>
      <c r="S43" s="43"/>
      <c r="T43" s="42"/>
      <c r="U43" s="42"/>
      <c r="V43" s="43"/>
      <c r="W43" s="42"/>
      <c r="X43" s="42"/>
      <c r="Y43" s="43"/>
      <c r="Z43" s="42"/>
      <c r="AA43" s="42"/>
      <c r="AB43" s="43"/>
      <c r="AC43" s="43"/>
      <c r="AD43" s="11">
        <v>67.400000000000006</v>
      </c>
      <c r="AE43" s="11">
        <v>55.4</v>
      </c>
      <c r="AF43">
        <f>Tabel242567891011[[#This Row],[Stand Kamertemp liter einde maand]]-Tabel242567891011[[#This Row],[Stand Kamertemp liter vorige maand]]</f>
        <v>12.000000000000007</v>
      </c>
      <c r="AG43" s="2">
        <f>Tabel242567891011[[#This Row],[Verbruik Kamertemp liter deze maand]]/0.15</f>
        <v>80.000000000000057</v>
      </c>
      <c r="AH43" s="11">
        <v>502.3</v>
      </c>
      <c r="AI43" s="11">
        <v>456.5</v>
      </c>
      <c r="AJ43">
        <f>Tabel242567891011[[#This Row],[Stand Gekoeld liter einde maand]]-Tabel242567891011[[#This Row],[Stand Gekoeld liter vorige maand]]</f>
        <v>45.800000000000011</v>
      </c>
      <c r="AK43" s="2">
        <f>Tabel242567891011[[#This Row],[Verbruik Gekoeld liter deze maand]]/0.15</f>
        <v>305.33333333333343</v>
      </c>
      <c r="AL43" s="11">
        <v>470.9</v>
      </c>
      <c r="AM43" s="11">
        <v>396.1</v>
      </c>
      <c r="AN43">
        <f>Tabel242567891011[[#This Row],[Stand Bruisend liter einde maand]]-Tabel242567891011[[#This Row],[Stand Bruisend liter vorige maand]]</f>
        <v>74.799999999999955</v>
      </c>
      <c r="AO43" s="2">
        <f>Tabel242567891011[[#This Row],[Verbruik Bruisend liter deze maand]]/0.15</f>
        <v>498.6666666666664</v>
      </c>
      <c r="AP43" s="11">
        <v>121.4</v>
      </c>
      <c r="AQ43" s="11">
        <v>109.4</v>
      </c>
      <c r="AR43">
        <f>Tabel242567891011[[#This Row],[Stand licht bruisend liter einde maand]]-Tabel242567891011[[#This Row],[Stand licht bruisend liter vorige maand]]</f>
        <v>12</v>
      </c>
      <c r="AS43" s="2">
        <f>Tabel242567891011[[#This Row],[Verbruik licht bruisend liter deze maand]]/0.15</f>
        <v>80</v>
      </c>
      <c r="AT43" s="11">
        <v>1576.8</v>
      </c>
      <c r="AU43" s="11">
        <v>1371.4</v>
      </c>
      <c r="AV43">
        <f>Tabel242567891011[[#This Row],[Stand heet water liter einde maand]]-Tabel242567891011[[#This Row],[Stand heet water liter vorige maand]]</f>
        <v>205.39999999999986</v>
      </c>
      <c r="AW43" s="20">
        <f>Tabel242567891011[[#This Row],[Verbruik heet Water liter deze maand ]]/0.15</f>
        <v>1369.3333333333326</v>
      </c>
      <c r="AX43" s="4">
        <f>Tabel242567891011[[#This Row],[Aantal consumpties heet water deze maand]]+Tabel242567891011[[#This Row],[Aantal consumpties licht bruisend water deze maand]]+Tabel242567891011[[#This Row],[aantal consumpties Bruisend water deze maand]]+Tabel242567891011[[#This Row],[Aantal consumpties gekoeld water deze maand]]+Tabel242567891011[[#This Row],[Aantal consumpties Kamertemp deze maand]]</f>
        <v>2333.3333333333326</v>
      </c>
      <c r="AY43" s="4">
        <f>Tabel242567891011[[#This Row],[Subtotaal waterbar in consumpties]]+Tabel242567891011[[#This Row],[Subtotaal koffieautomaten]]</f>
        <v>2333.3333333333326</v>
      </c>
    </row>
    <row r="44" spans="1:51" x14ac:dyDescent="0.25">
      <c r="A44" t="s">
        <v>48</v>
      </c>
      <c r="B44" t="s">
        <v>158</v>
      </c>
      <c r="C44" t="s">
        <v>31</v>
      </c>
      <c r="E44" s="11">
        <v>7104</v>
      </c>
      <c r="F44" s="11">
        <v>6065</v>
      </c>
      <c r="G44" s="12">
        <f>Tabel242567891011[[#This Row],[Stand Coffee einde maand]]-Tabel242567891011[[#This Row],[Coffee vorige maand]]</f>
        <v>1039</v>
      </c>
      <c r="H44" s="11">
        <v>1790</v>
      </c>
      <c r="I44" s="11">
        <v>1484</v>
      </c>
      <c r="J44" s="12">
        <f>Tabel242567891011[[#This Row],[Stand Espresso Einde maand]]-Tabel242567891011[[#This Row],[Espresso vorige maand]]</f>
        <v>306</v>
      </c>
      <c r="K44" s="11">
        <v>859</v>
      </c>
      <c r="L44" s="11">
        <v>742</v>
      </c>
      <c r="M44">
        <f>Tabel242567891011[[#This Row],[Stand Latte Macchiato einde maand]]-Tabel242567891011[[#This Row],[Latte Macchiato vorige maand]]</f>
        <v>117</v>
      </c>
      <c r="N44" s="11">
        <v>198</v>
      </c>
      <c r="O44" s="11">
        <v>180</v>
      </c>
      <c r="P44">
        <f>Tabel242567891011[[#This Row],[Stand Coffee Latte einde maand]]-Tabel242567891011[[#This Row],[Coffee Latte vorige maand]]</f>
        <v>18</v>
      </c>
      <c r="Q44" s="11">
        <v>7251</v>
      </c>
      <c r="R44" s="11">
        <v>6233</v>
      </c>
      <c r="S44">
        <f>Tabel242567891011[[#This Row],[Stand Hot Water einde maand]]-Tabel242567891011[[#This Row],[Hot Water vorige maand]]</f>
        <v>1018</v>
      </c>
      <c r="T44" s="11">
        <v>3018</v>
      </c>
      <c r="U44" s="11">
        <v>2598</v>
      </c>
      <c r="V44">
        <f>Tabel242567891011[[#This Row],[Stand Cappucino einde maand]]-Tabel242567891011[[#This Row],[Stand Cappucino vorige maand]]</f>
        <v>420</v>
      </c>
      <c r="W44" s="11">
        <v>454</v>
      </c>
      <c r="X44" s="11">
        <v>413</v>
      </c>
      <c r="Y44">
        <f>Tabel242567891011[[#This Row],[Stand Cappucino Plantaardig einde maand]]-Tabel242567891011[[#This Row],[Stand Cappucino Plantaardig vorige maand]]</f>
        <v>41</v>
      </c>
      <c r="Z44" s="11">
        <v>400</v>
      </c>
      <c r="AA44" s="11">
        <v>341</v>
      </c>
      <c r="AB44" s="12">
        <f>Tabel242567891011[[#This Row],[Stand Latte Macchiato Plantaardig einde maand]]-Tabel242567891011[[#This Row],[Stand Latte Macchiato Plantaardig vorige maand]]</f>
        <v>59</v>
      </c>
      <c r="AC44" s="3">
        <f>Tabel242567891011[[#This Row],[Verbruik Stand Latte Macchiato Plantaardig deze maand]]+Tabel242567891011[[#This Row],[Verbruik  Cappucino Plantaardig deze maand]]+Tabel242567891011[[#This Row],[Verbruik Cappucino deze maand]]+Tabel242567891011[[#This Row],[Verbruik Hot Water deze maand]]+Tabel242567891011[[#This Row],[Verbruik Coffee Latte deze maand]]+Tabel242567891011[[#This Row],[Verbruik Latte Macchiato deze maand]]+Tabel242567891011[[#This Row],[Verbruik Espresso deze maand]]+Tabel242567891011[[#This Row],[Verbruik Coffee deze maand]]</f>
        <v>3018</v>
      </c>
      <c r="AD44" s="26"/>
      <c r="AE44" s="26"/>
      <c r="AF44" s="5"/>
      <c r="AG44" s="7"/>
      <c r="AH44" s="26"/>
      <c r="AI44" s="26"/>
      <c r="AJ44" s="5"/>
      <c r="AK44" s="7"/>
      <c r="AL44" s="26"/>
      <c r="AM44" s="26"/>
      <c r="AN44" s="5"/>
      <c r="AO44" s="7"/>
      <c r="AP44" s="26"/>
      <c r="AQ44" s="26"/>
      <c r="AR44" s="5"/>
      <c r="AS44" s="7"/>
      <c r="AT44" s="26"/>
      <c r="AU44" s="26"/>
      <c r="AV44" s="5"/>
      <c r="AW44" s="21"/>
      <c r="AX44" s="45">
        <f>Tabel242567891011[[#This Row],[Aantal consumpties heet water deze maand]]+Tabel242567891011[[#This Row],[Aantal consumpties licht bruisend water deze maand]]+Tabel242567891011[[#This Row],[aantal consumpties Bruisend water deze maand]]+Tabel242567891011[[#This Row],[Aantal consumpties gekoeld water deze maand]]+Tabel242567891011[[#This Row],[Aantal consumpties Kamertemp deze maand]]</f>
        <v>0</v>
      </c>
      <c r="AY44" s="4">
        <f>Tabel242567891011[[#This Row],[Subtotaal waterbar in consumpties]]+Tabel242567891011[[#This Row],[Subtotaal koffieautomaten]]</f>
        <v>3018</v>
      </c>
    </row>
    <row r="45" spans="1:51" x14ac:dyDescent="0.25">
      <c r="A45" t="s">
        <v>50</v>
      </c>
      <c r="B45" t="s">
        <v>93</v>
      </c>
      <c r="C45" t="s">
        <v>36</v>
      </c>
      <c r="E45" s="42"/>
      <c r="F45" s="42"/>
      <c r="G45" s="43"/>
      <c r="H45" s="42"/>
      <c r="I45" s="42"/>
      <c r="J45" s="43"/>
      <c r="K45" s="42"/>
      <c r="L45" s="42"/>
      <c r="M45" s="43"/>
      <c r="N45" s="42"/>
      <c r="O45" s="42"/>
      <c r="P45" s="43"/>
      <c r="Q45" s="42"/>
      <c r="R45" s="42"/>
      <c r="S45" s="43"/>
      <c r="T45" s="42"/>
      <c r="U45" s="42"/>
      <c r="V45" s="43"/>
      <c r="W45" s="42"/>
      <c r="X45" s="42"/>
      <c r="Y45" s="43"/>
      <c r="Z45" s="42"/>
      <c r="AA45" s="42"/>
      <c r="AB45" s="43"/>
      <c r="AC45" s="43"/>
      <c r="AD45" s="11">
        <v>78.8</v>
      </c>
      <c r="AE45" s="11">
        <v>66.8</v>
      </c>
      <c r="AF45">
        <f>Tabel242567891011[[#This Row],[Stand Kamertemp liter einde maand]]-Tabel242567891011[[#This Row],[Stand Kamertemp liter vorige maand]]</f>
        <v>12</v>
      </c>
      <c r="AG45" s="2">
        <f>Tabel242567891011[[#This Row],[Verbruik Kamertemp liter deze maand]]/0.15</f>
        <v>80</v>
      </c>
      <c r="AH45" s="25">
        <v>646.6</v>
      </c>
      <c r="AI45" s="25">
        <v>566</v>
      </c>
      <c r="AJ45">
        <f>Tabel242567891011[[#This Row],[Stand Gekoeld liter einde maand]]-Tabel242567891011[[#This Row],[Stand Gekoeld liter vorige maand]]</f>
        <v>80.600000000000023</v>
      </c>
      <c r="AK45" s="2">
        <f>Tabel242567891011[[#This Row],[Verbruik Gekoeld liter deze maand]]/0.15</f>
        <v>537.33333333333348</v>
      </c>
      <c r="AL45" s="25">
        <v>561.1</v>
      </c>
      <c r="AM45" s="25">
        <v>493.4</v>
      </c>
      <c r="AN45">
        <f>Tabel242567891011[[#This Row],[Stand Bruisend liter einde maand]]-Tabel242567891011[[#This Row],[Stand Bruisend liter vorige maand]]</f>
        <v>67.700000000000045</v>
      </c>
      <c r="AO45" s="2">
        <f>Tabel242567891011[[#This Row],[Verbruik Bruisend liter deze maand]]/0.15</f>
        <v>451.33333333333366</v>
      </c>
      <c r="AP45" s="25">
        <v>241.5</v>
      </c>
      <c r="AQ45" s="25">
        <v>222.6</v>
      </c>
      <c r="AR45">
        <f>Tabel242567891011[[#This Row],[Stand licht bruisend liter einde maand]]-Tabel242567891011[[#This Row],[Stand licht bruisend liter vorige maand]]</f>
        <v>18.900000000000006</v>
      </c>
      <c r="AS45" s="2">
        <f>Tabel242567891011[[#This Row],[Verbruik licht bruisend liter deze maand]]/0.15</f>
        <v>126.00000000000004</v>
      </c>
      <c r="AT45" s="25">
        <v>1808.9</v>
      </c>
      <c r="AU45" s="25">
        <v>1606.7</v>
      </c>
      <c r="AV45">
        <f>Tabel242567891011[[#This Row],[Stand heet water liter einde maand]]-Tabel242567891011[[#This Row],[Stand heet water liter vorige maand]]</f>
        <v>202.20000000000005</v>
      </c>
      <c r="AW45" s="20">
        <f>Tabel242567891011[[#This Row],[Verbruik heet Water liter deze maand ]]/0.15</f>
        <v>1348.0000000000005</v>
      </c>
      <c r="AX45" s="4">
        <f>Tabel242567891011[[#This Row],[Aantal consumpties heet water deze maand]]+Tabel242567891011[[#This Row],[Aantal consumpties licht bruisend water deze maand]]+Tabel242567891011[[#This Row],[aantal consumpties Bruisend water deze maand]]+Tabel242567891011[[#This Row],[Aantal consumpties gekoeld water deze maand]]+Tabel242567891011[[#This Row],[Aantal consumpties Kamertemp deze maand]]</f>
        <v>2542.6666666666679</v>
      </c>
      <c r="AY45" s="4">
        <f>Tabel242567891011[[#This Row],[Subtotaal waterbar in consumpties]]+Tabel242567891011[[#This Row],[Subtotaal koffieautomaten]]</f>
        <v>2542.6666666666679</v>
      </c>
    </row>
    <row r="46" spans="1:51" x14ac:dyDescent="0.25">
      <c r="A46" t="s">
        <v>52</v>
      </c>
      <c r="B46" t="s">
        <v>94</v>
      </c>
      <c r="C46" t="s">
        <v>31</v>
      </c>
      <c r="E46" s="11">
        <v>3387</v>
      </c>
      <c r="F46" s="11">
        <v>2932</v>
      </c>
      <c r="G46" s="12">
        <f>Tabel242567891011[[#This Row],[Stand Coffee einde maand]]-Tabel242567891011[[#This Row],[Coffee vorige maand]]</f>
        <v>455</v>
      </c>
      <c r="H46" s="11">
        <v>2021</v>
      </c>
      <c r="I46" s="11">
        <v>1686</v>
      </c>
      <c r="J46" s="12">
        <f>Tabel242567891011[[#This Row],[Stand Espresso Einde maand]]-Tabel242567891011[[#This Row],[Espresso vorige maand]]</f>
        <v>335</v>
      </c>
      <c r="K46" s="11">
        <v>506</v>
      </c>
      <c r="L46" s="11">
        <v>418</v>
      </c>
      <c r="M46">
        <f>Tabel242567891011[[#This Row],[Stand Latte Macchiato einde maand]]-Tabel242567891011[[#This Row],[Latte Macchiato vorige maand]]</f>
        <v>88</v>
      </c>
      <c r="N46" s="11">
        <v>251</v>
      </c>
      <c r="O46" s="11">
        <v>227</v>
      </c>
      <c r="P46">
        <f>Tabel242567891011[[#This Row],[Stand Coffee Latte einde maand]]-Tabel242567891011[[#This Row],[Coffee Latte vorige maand]]</f>
        <v>24</v>
      </c>
      <c r="Q46" s="11">
        <v>6151</v>
      </c>
      <c r="R46" s="11">
        <v>5313</v>
      </c>
      <c r="S46">
        <f>Tabel242567891011[[#This Row],[Stand Hot Water einde maand]]-Tabel242567891011[[#This Row],[Hot Water vorige maand]]</f>
        <v>838</v>
      </c>
      <c r="T46" s="11">
        <v>3109</v>
      </c>
      <c r="U46" s="11">
        <v>2631</v>
      </c>
      <c r="V46">
        <f>Tabel242567891011[[#This Row],[Stand Cappucino einde maand]]-Tabel242567891011[[#This Row],[Stand Cappucino vorige maand]]</f>
        <v>478</v>
      </c>
      <c r="W46" s="11">
        <v>447</v>
      </c>
      <c r="X46" s="11">
        <v>360</v>
      </c>
      <c r="Y46">
        <f>Tabel242567891011[[#This Row],[Stand Cappucino Plantaardig einde maand]]-Tabel242567891011[[#This Row],[Stand Cappucino Plantaardig vorige maand]]</f>
        <v>87</v>
      </c>
      <c r="Z46" s="11">
        <v>66</v>
      </c>
      <c r="AA46" s="11">
        <v>61</v>
      </c>
      <c r="AB46" s="12">
        <f>Tabel242567891011[[#This Row],[Stand Latte Macchiato Plantaardig einde maand]]-Tabel242567891011[[#This Row],[Stand Latte Macchiato Plantaardig vorige maand]]</f>
        <v>5</v>
      </c>
      <c r="AC46" s="3">
        <f>Tabel242567891011[[#This Row],[Verbruik Stand Latte Macchiato Plantaardig deze maand]]+Tabel242567891011[[#This Row],[Verbruik  Cappucino Plantaardig deze maand]]+Tabel242567891011[[#This Row],[Verbruik Cappucino deze maand]]+Tabel242567891011[[#This Row],[Verbruik Hot Water deze maand]]+Tabel242567891011[[#This Row],[Verbruik Coffee Latte deze maand]]+Tabel242567891011[[#This Row],[Verbruik Latte Macchiato deze maand]]+Tabel242567891011[[#This Row],[Verbruik Espresso deze maand]]+Tabel242567891011[[#This Row],[Verbruik Coffee deze maand]]</f>
        <v>2310</v>
      </c>
      <c r="AD46" s="26"/>
      <c r="AE46" s="26"/>
      <c r="AF46" s="5"/>
      <c r="AG46" s="7"/>
      <c r="AH46" s="26"/>
      <c r="AI46" s="26"/>
      <c r="AJ46" s="5"/>
      <c r="AK46" s="7"/>
      <c r="AL46" s="26"/>
      <c r="AM46" s="26"/>
      <c r="AN46" s="5"/>
      <c r="AO46" s="7"/>
      <c r="AP46" s="26"/>
      <c r="AQ46" s="26"/>
      <c r="AR46" s="5"/>
      <c r="AS46" s="7"/>
      <c r="AT46" s="26"/>
      <c r="AU46" s="26"/>
      <c r="AV46" s="5"/>
      <c r="AW46" s="21"/>
      <c r="AX46" s="8">
        <f>Tabel242567891011[[#This Row],[Aantal consumpties heet water deze maand]]+Tabel242567891011[[#This Row],[Aantal consumpties licht bruisend water deze maand]]+Tabel242567891011[[#This Row],[aantal consumpties Bruisend water deze maand]]+Tabel242567891011[[#This Row],[Aantal consumpties gekoeld water deze maand]]+Tabel242567891011[[#This Row],[Aantal consumpties Kamertemp deze maand]]</f>
        <v>0</v>
      </c>
      <c r="AY46" s="4">
        <f>Tabel242567891011[[#This Row],[Subtotaal waterbar in consumpties]]+Tabel242567891011[[#This Row],[Subtotaal koffieautomaten]]</f>
        <v>2310</v>
      </c>
    </row>
    <row r="47" spans="1:51" x14ac:dyDescent="0.25">
      <c r="A47" t="s">
        <v>54</v>
      </c>
      <c r="B47" t="s">
        <v>95</v>
      </c>
      <c r="C47" t="s">
        <v>47</v>
      </c>
      <c r="E47" s="11">
        <v>4467</v>
      </c>
      <c r="F47" s="11">
        <v>3903</v>
      </c>
      <c r="G47" s="12">
        <f>Tabel242567891011[[#This Row],[Stand Coffee einde maand]]-Tabel242567891011[[#This Row],[Coffee vorige maand]]</f>
        <v>564</v>
      </c>
      <c r="H47" s="11">
        <v>1377</v>
      </c>
      <c r="I47" s="11">
        <v>1206</v>
      </c>
      <c r="J47" s="12">
        <f>Tabel242567891011[[#This Row],[Stand Espresso Einde maand]]-Tabel242567891011[[#This Row],[Espresso vorige maand]]</f>
        <v>171</v>
      </c>
      <c r="K47" s="11">
        <v>430</v>
      </c>
      <c r="L47" s="11">
        <v>378</v>
      </c>
      <c r="M47">
        <f>Tabel242567891011[[#This Row],[Stand Latte Macchiato einde maand]]-Tabel242567891011[[#This Row],[Latte Macchiato vorige maand]]</f>
        <v>52</v>
      </c>
      <c r="N47" s="11">
        <v>282</v>
      </c>
      <c r="O47" s="11">
        <v>240</v>
      </c>
      <c r="P47">
        <f>Tabel242567891011[[#This Row],[Stand Coffee Latte einde maand]]-Tabel242567891011[[#This Row],[Coffee Latte vorige maand]]</f>
        <v>42</v>
      </c>
      <c r="Q47" s="11">
        <v>0</v>
      </c>
      <c r="R47" s="11">
        <v>0</v>
      </c>
      <c r="S47">
        <f>Tabel242567891011[[#This Row],[Stand Hot Water einde maand]]-Tabel242567891011[[#This Row],[Hot Water vorige maand]]</f>
        <v>0</v>
      </c>
      <c r="T47" s="11">
        <v>1934</v>
      </c>
      <c r="U47" s="11">
        <v>1732</v>
      </c>
      <c r="V47">
        <f>Tabel242567891011[[#This Row],[Stand Cappucino einde maand]]-Tabel242567891011[[#This Row],[Stand Cappucino vorige maand]]</f>
        <v>202</v>
      </c>
      <c r="W47" s="11">
        <v>645</v>
      </c>
      <c r="X47" s="11">
        <v>577</v>
      </c>
      <c r="Y47">
        <f>Tabel242567891011[[#This Row],[Stand Cappucino Plantaardig einde maand]]-Tabel242567891011[[#This Row],[Stand Cappucino Plantaardig vorige maand]]</f>
        <v>68</v>
      </c>
      <c r="Z47" s="11">
        <v>350</v>
      </c>
      <c r="AA47" s="11">
        <v>326</v>
      </c>
      <c r="AB47" s="12">
        <f>Tabel242567891011[[#This Row],[Stand Latte Macchiato Plantaardig einde maand]]-Tabel242567891011[[#This Row],[Stand Latte Macchiato Plantaardig vorige maand]]</f>
        <v>24</v>
      </c>
      <c r="AC47" s="3">
        <f>Tabel242567891011[[#This Row],[Verbruik Stand Latte Macchiato Plantaardig deze maand]]+Tabel242567891011[[#This Row],[Verbruik  Cappucino Plantaardig deze maand]]+Tabel242567891011[[#This Row],[Verbruik Cappucino deze maand]]+Tabel242567891011[[#This Row],[Verbruik Hot Water deze maand]]+Tabel242567891011[[#This Row],[Verbruik Coffee Latte deze maand]]+Tabel242567891011[[#This Row],[Verbruik Latte Macchiato deze maand]]+Tabel242567891011[[#This Row],[Verbruik Espresso deze maand]]+Tabel242567891011[[#This Row],[Verbruik Coffee deze maand]]</f>
        <v>1123</v>
      </c>
      <c r="AD47" s="11">
        <v>193.9</v>
      </c>
      <c r="AE47" s="11">
        <v>154.6</v>
      </c>
      <c r="AF47">
        <f>Tabel242567891011[[#This Row],[Stand Kamertemp liter einde maand]]-Tabel242567891011[[#This Row],[Stand Kamertemp liter vorige maand]]</f>
        <v>39.300000000000011</v>
      </c>
      <c r="AG47" s="2">
        <f>Tabel242567891011[[#This Row],[Verbruik Kamertemp liter deze maand]]/0.15</f>
        <v>262.00000000000011</v>
      </c>
      <c r="AH47" s="11">
        <v>829.6</v>
      </c>
      <c r="AI47" s="11">
        <v>706.4</v>
      </c>
      <c r="AJ47">
        <f>Tabel242567891011[[#This Row],[Stand Gekoeld liter einde maand]]-Tabel242567891011[[#This Row],[Stand Gekoeld liter vorige maand]]</f>
        <v>123.20000000000005</v>
      </c>
      <c r="AK47" s="2">
        <f>Tabel242567891011[[#This Row],[Verbruik Gekoeld liter deze maand]]/0.15</f>
        <v>821.33333333333371</v>
      </c>
      <c r="AL47" s="11">
        <v>625.20000000000005</v>
      </c>
      <c r="AM47" s="11">
        <v>547</v>
      </c>
      <c r="AN47">
        <f>Tabel242567891011[[#This Row],[Stand Bruisend liter einde maand]]-Tabel242567891011[[#This Row],[Stand Bruisend liter vorige maand]]</f>
        <v>78.200000000000045</v>
      </c>
      <c r="AO47" s="2">
        <f>Tabel242567891011[[#This Row],[Verbruik Bruisend liter deze maand]]/0.15</f>
        <v>521.33333333333371</v>
      </c>
      <c r="AP47" s="11">
        <v>319.8</v>
      </c>
      <c r="AQ47" s="11">
        <v>272</v>
      </c>
      <c r="AR47">
        <f>Tabel242567891011[[#This Row],[Stand licht bruisend liter einde maand]]-Tabel242567891011[[#This Row],[Stand licht bruisend liter vorige maand]]</f>
        <v>47.800000000000011</v>
      </c>
      <c r="AS47" s="2">
        <f>Tabel242567891011[[#This Row],[Verbruik licht bruisend liter deze maand]]/0.15</f>
        <v>318.66666666666674</v>
      </c>
      <c r="AT47" s="11">
        <v>2272.5</v>
      </c>
      <c r="AU47" s="11">
        <v>1945.9</v>
      </c>
      <c r="AV47">
        <f>Tabel242567891011[[#This Row],[Stand heet water liter einde maand]]-Tabel242567891011[[#This Row],[Stand heet water liter vorige maand]]</f>
        <v>326.59999999999991</v>
      </c>
      <c r="AW47" s="20">
        <f>Tabel242567891011[[#This Row],[Verbruik heet Water liter deze maand ]]/0.15</f>
        <v>2177.333333333333</v>
      </c>
      <c r="AX47" s="4">
        <f>Tabel242567891011[[#This Row],[Aantal consumpties heet water deze maand]]+Tabel242567891011[[#This Row],[Aantal consumpties licht bruisend water deze maand]]+Tabel242567891011[[#This Row],[aantal consumpties Bruisend water deze maand]]+Tabel242567891011[[#This Row],[Aantal consumpties gekoeld water deze maand]]+Tabel242567891011[[#This Row],[Aantal consumpties Kamertemp deze maand]]</f>
        <v>4100.6666666666679</v>
      </c>
      <c r="AY47" s="4">
        <f>Tabel242567891011[[#This Row],[Subtotaal waterbar in consumpties]]+Tabel242567891011[[#This Row],[Subtotaal koffieautomaten]]</f>
        <v>5223.6666666666679</v>
      </c>
    </row>
    <row r="48" spans="1:51" x14ac:dyDescent="0.25">
      <c r="A48" t="s">
        <v>56</v>
      </c>
      <c r="B48" t="s">
        <v>96</v>
      </c>
      <c r="C48" t="s">
        <v>36</v>
      </c>
      <c r="E48" s="42"/>
      <c r="F48" s="42"/>
      <c r="G48" s="43"/>
      <c r="H48" s="42"/>
      <c r="I48" s="42"/>
      <c r="J48" s="43"/>
      <c r="K48" s="42"/>
      <c r="L48" s="42"/>
      <c r="M48" s="43"/>
      <c r="N48" s="42"/>
      <c r="O48" s="42"/>
      <c r="P48" s="43"/>
      <c r="Q48" s="42"/>
      <c r="R48" s="42"/>
      <c r="S48" s="43"/>
      <c r="T48" s="42"/>
      <c r="U48" s="42"/>
      <c r="V48" s="43"/>
      <c r="W48" s="42"/>
      <c r="X48" s="42"/>
      <c r="Y48" s="43"/>
      <c r="Z48" s="42"/>
      <c r="AA48" s="42"/>
      <c r="AB48" s="43"/>
      <c r="AC48" s="43"/>
      <c r="AD48" s="11">
        <v>165.4</v>
      </c>
      <c r="AE48" s="11">
        <v>149.9</v>
      </c>
      <c r="AF48">
        <f>Tabel242567891011[[#This Row],[Stand Kamertemp liter einde maand]]-Tabel242567891011[[#This Row],[Stand Kamertemp liter vorige maand]]</f>
        <v>15.5</v>
      </c>
      <c r="AG48" s="2">
        <f>Tabel242567891011[[#This Row],[Verbruik Kamertemp liter deze maand]]/0.15</f>
        <v>103.33333333333334</v>
      </c>
      <c r="AH48" s="11">
        <v>1193.7</v>
      </c>
      <c r="AI48" s="11">
        <v>1027.2</v>
      </c>
      <c r="AJ48">
        <f>Tabel242567891011[[#This Row],[Stand Gekoeld liter einde maand]]-Tabel242567891011[[#This Row],[Stand Gekoeld liter vorige maand]]</f>
        <v>166.5</v>
      </c>
      <c r="AK48" s="2">
        <f>Tabel242567891011[[#This Row],[Verbruik Gekoeld liter deze maand]]/0.15</f>
        <v>1110</v>
      </c>
      <c r="AL48" s="11">
        <v>469.7</v>
      </c>
      <c r="AM48" s="11">
        <v>407</v>
      </c>
      <c r="AN48">
        <f>Tabel242567891011[[#This Row],[Stand Bruisend liter einde maand]]-Tabel242567891011[[#This Row],[Stand Bruisend liter vorige maand]]</f>
        <v>62.699999999999989</v>
      </c>
      <c r="AO48" s="2">
        <f>Tabel242567891011[[#This Row],[Verbruik Bruisend liter deze maand]]/0.15</f>
        <v>417.99999999999994</v>
      </c>
      <c r="AP48" s="11">
        <v>311.7</v>
      </c>
      <c r="AQ48" s="11">
        <v>299.89999999999998</v>
      </c>
      <c r="AR48">
        <f>Tabel242567891011[[#This Row],[Stand licht bruisend liter einde maand]]-Tabel242567891011[[#This Row],[Stand licht bruisend liter vorige maand]]</f>
        <v>11.800000000000011</v>
      </c>
      <c r="AS48" s="2">
        <f>Tabel242567891011[[#This Row],[Verbruik licht bruisend liter deze maand]]/0.15</f>
        <v>78.666666666666742</v>
      </c>
      <c r="AT48" s="11">
        <v>3132.3</v>
      </c>
      <c r="AU48" s="11">
        <v>2783.3</v>
      </c>
      <c r="AV48">
        <f>Tabel242567891011[[#This Row],[Stand heet water liter einde maand]]-Tabel242567891011[[#This Row],[Stand heet water liter vorige maand]]</f>
        <v>349</v>
      </c>
      <c r="AW48" s="20">
        <f>Tabel242567891011[[#This Row],[Verbruik heet Water liter deze maand ]]/0.15</f>
        <v>2326.666666666667</v>
      </c>
      <c r="AX48" s="4">
        <f>Tabel242567891011[[#This Row],[Aantal consumpties heet water deze maand]]+Tabel242567891011[[#This Row],[Aantal consumpties licht bruisend water deze maand]]+Tabel242567891011[[#This Row],[aantal consumpties Bruisend water deze maand]]+Tabel242567891011[[#This Row],[Aantal consumpties gekoeld water deze maand]]+Tabel242567891011[[#This Row],[Aantal consumpties Kamertemp deze maand]]</f>
        <v>4036.6666666666674</v>
      </c>
      <c r="AY48" s="4">
        <f>Tabel242567891011[[#This Row],[Subtotaal waterbar in consumpties]]+Tabel242567891011[[#This Row],[Subtotaal koffieautomaten]]</f>
        <v>4036.6666666666674</v>
      </c>
    </row>
    <row r="49" spans="1:51" x14ac:dyDescent="0.25">
      <c r="A49" t="s">
        <v>58</v>
      </c>
      <c r="B49" t="s">
        <v>97</v>
      </c>
      <c r="C49" t="s">
        <v>31</v>
      </c>
      <c r="E49" s="11">
        <v>4307</v>
      </c>
      <c r="F49" s="11">
        <v>3744</v>
      </c>
      <c r="G49" s="12">
        <f>Tabel242567891011[[#This Row],[Stand Coffee einde maand]]-Tabel242567891011[[#This Row],[Coffee vorige maand]]</f>
        <v>563</v>
      </c>
      <c r="H49" s="11">
        <v>1188</v>
      </c>
      <c r="I49" s="11">
        <v>996</v>
      </c>
      <c r="J49" s="12">
        <f>Tabel242567891011[[#This Row],[Stand Espresso Einde maand]]-Tabel242567891011[[#This Row],[Espresso vorige maand]]</f>
        <v>192</v>
      </c>
      <c r="K49" s="11">
        <v>593</v>
      </c>
      <c r="L49" s="11">
        <v>515</v>
      </c>
      <c r="M49">
        <f>Tabel242567891011[[#This Row],[Stand Latte Macchiato einde maand]]-Tabel242567891011[[#This Row],[Latte Macchiato vorige maand]]</f>
        <v>78</v>
      </c>
      <c r="N49" s="11">
        <v>600</v>
      </c>
      <c r="O49" s="11">
        <v>501</v>
      </c>
      <c r="P49">
        <f>Tabel242567891011[[#This Row],[Stand Coffee Latte einde maand]]-Tabel242567891011[[#This Row],[Coffee Latte vorige maand]]</f>
        <v>99</v>
      </c>
      <c r="Q49" s="11">
        <v>4408</v>
      </c>
      <c r="R49" s="11">
        <v>3765</v>
      </c>
      <c r="S49">
        <f>Tabel242567891011[[#This Row],[Stand Hot Water einde maand]]-Tabel242567891011[[#This Row],[Hot Water vorige maand]]</f>
        <v>643</v>
      </c>
      <c r="T49" s="11">
        <v>2776</v>
      </c>
      <c r="U49" s="11">
        <v>2319</v>
      </c>
      <c r="V49">
        <f>Tabel242567891011[[#This Row],[Stand Cappucino einde maand]]-Tabel242567891011[[#This Row],[Stand Cappucino vorige maand]]</f>
        <v>457</v>
      </c>
      <c r="W49" s="11">
        <v>789</v>
      </c>
      <c r="X49" s="11">
        <v>744</v>
      </c>
      <c r="Y49">
        <f>Tabel242567891011[[#This Row],[Stand Cappucino Plantaardig einde maand]]-Tabel242567891011[[#This Row],[Stand Cappucino Plantaardig vorige maand]]</f>
        <v>45</v>
      </c>
      <c r="Z49" s="11">
        <v>152</v>
      </c>
      <c r="AA49" s="11">
        <v>135</v>
      </c>
      <c r="AB49" s="12">
        <f>Tabel242567891011[[#This Row],[Stand Latte Macchiato Plantaardig einde maand]]-Tabel242567891011[[#This Row],[Stand Latte Macchiato Plantaardig vorige maand]]</f>
        <v>17</v>
      </c>
      <c r="AC49" s="3">
        <f>Tabel242567891011[[#This Row],[Verbruik Stand Latte Macchiato Plantaardig deze maand]]+Tabel242567891011[[#This Row],[Verbruik  Cappucino Plantaardig deze maand]]+Tabel242567891011[[#This Row],[Verbruik Cappucino deze maand]]+Tabel242567891011[[#This Row],[Verbruik Hot Water deze maand]]+Tabel242567891011[[#This Row],[Verbruik Coffee Latte deze maand]]+Tabel242567891011[[#This Row],[Verbruik Latte Macchiato deze maand]]+Tabel242567891011[[#This Row],[Verbruik Espresso deze maand]]+Tabel242567891011[[#This Row],[Verbruik Coffee deze maand]]</f>
        <v>2094</v>
      </c>
      <c r="AD49" s="26"/>
      <c r="AE49" s="26"/>
      <c r="AF49" s="5"/>
      <c r="AG49" s="7"/>
      <c r="AH49" s="26"/>
      <c r="AI49" s="26"/>
      <c r="AJ49" s="5"/>
      <c r="AK49" s="7"/>
      <c r="AL49" s="26"/>
      <c r="AM49" s="26"/>
      <c r="AN49" s="5"/>
      <c r="AO49" s="7"/>
      <c r="AP49" s="26"/>
      <c r="AQ49" s="26"/>
      <c r="AR49" s="5"/>
      <c r="AS49" s="7"/>
      <c r="AT49" s="26"/>
      <c r="AU49" s="26"/>
      <c r="AV49" s="5"/>
      <c r="AW49" s="21"/>
      <c r="AX49" s="8">
        <f>Tabel242567891011[[#This Row],[Aantal consumpties heet water deze maand]]+Tabel242567891011[[#This Row],[Aantal consumpties licht bruisend water deze maand]]+Tabel242567891011[[#This Row],[aantal consumpties Bruisend water deze maand]]+Tabel242567891011[[#This Row],[Aantal consumpties gekoeld water deze maand]]+Tabel242567891011[[#This Row],[Aantal consumpties Kamertemp deze maand]]</f>
        <v>0</v>
      </c>
      <c r="AY49" s="4">
        <f>Tabel242567891011[[#This Row],[Subtotaal waterbar in consumpties]]+Tabel242567891011[[#This Row],[Subtotaal koffieautomaten]]</f>
        <v>2094</v>
      </c>
    </row>
    <row r="50" spans="1:51" x14ac:dyDescent="0.25">
      <c r="A50" t="s">
        <v>60</v>
      </c>
      <c r="B50" t="s">
        <v>98</v>
      </c>
      <c r="C50" t="s">
        <v>47</v>
      </c>
      <c r="E50" s="11">
        <v>1967</v>
      </c>
      <c r="F50" s="11">
        <v>1752</v>
      </c>
      <c r="G50" s="12">
        <f>Tabel242567891011[[#This Row],[Stand Coffee einde maand]]-Tabel242567891011[[#This Row],[Coffee vorige maand]]</f>
        <v>215</v>
      </c>
      <c r="H50" s="11">
        <v>623</v>
      </c>
      <c r="I50" s="11">
        <v>534</v>
      </c>
      <c r="J50" s="12">
        <f>Tabel242567891011[[#This Row],[Stand Espresso Einde maand]]-Tabel242567891011[[#This Row],[Espresso vorige maand]]</f>
        <v>89</v>
      </c>
      <c r="K50" s="11">
        <v>394</v>
      </c>
      <c r="L50" s="11">
        <v>363</v>
      </c>
      <c r="M50">
        <f>Tabel242567891011[[#This Row],[Stand Latte Macchiato einde maand]]-Tabel242567891011[[#This Row],[Latte Macchiato vorige maand]]</f>
        <v>31</v>
      </c>
      <c r="N50" s="11">
        <v>237</v>
      </c>
      <c r="O50" s="11">
        <v>206</v>
      </c>
      <c r="P50">
        <f>Tabel242567891011[[#This Row],[Stand Coffee Latte einde maand]]-Tabel242567891011[[#This Row],[Coffee Latte vorige maand]]</f>
        <v>31</v>
      </c>
      <c r="Q50" s="11">
        <v>1</v>
      </c>
      <c r="R50" s="11">
        <v>1</v>
      </c>
      <c r="S50">
        <f>Tabel242567891011[[#This Row],[Stand Hot Water einde maand]]-Tabel242567891011[[#This Row],[Hot Water vorige maand]]</f>
        <v>0</v>
      </c>
      <c r="T50" s="11">
        <v>1358</v>
      </c>
      <c r="U50" s="11">
        <v>1193</v>
      </c>
      <c r="V50">
        <f>Tabel242567891011[[#This Row],[Stand Cappucino einde maand]]-Tabel242567891011[[#This Row],[Stand Cappucino vorige maand]]</f>
        <v>165</v>
      </c>
      <c r="W50" s="11">
        <v>336</v>
      </c>
      <c r="X50" s="11">
        <v>302</v>
      </c>
      <c r="Y50">
        <f>Tabel242567891011[[#This Row],[Stand Cappucino Plantaardig einde maand]]-Tabel242567891011[[#This Row],[Stand Cappucino Plantaardig vorige maand]]</f>
        <v>34</v>
      </c>
      <c r="Z50" s="11">
        <v>97</v>
      </c>
      <c r="AA50" s="11">
        <v>91</v>
      </c>
      <c r="AB50" s="12">
        <f>Tabel242567891011[[#This Row],[Stand Latte Macchiato Plantaardig einde maand]]-Tabel242567891011[[#This Row],[Stand Latte Macchiato Plantaardig vorige maand]]</f>
        <v>6</v>
      </c>
      <c r="AC50" s="3">
        <f>Tabel242567891011[[#This Row],[Verbruik Stand Latte Macchiato Plantaardig deze maand]]+Tabel242567891011[[#This Row],[Verbruik  Cappucino Plantaardig deze maand]]+Tabel242567891011[[#This Row],[Verbruik Cappucino deze maand]]+Tabel242567891011[[#This Row],[Verbruik Hot Water deze maand]]+Tabel242567891011[[#This Row],[Verbruik Coffee Latte deze maand]]+Tabel242567891011[[#This Row],[Verbruik Latte Macchiato deze maand]]+Tabel242567891011[[#This Row],[Verbruik Espresso deze maand]]+Tabel242567891011[[#This Row],[Verbruik Coffee deze maand]]</f>
        <v>571</v>
      </c>
      <c r="AD50" s="11">
        <v>117.3</v>
      </c>
      <c r="AE50" s="11">
        <v>107.7</v>
      </c>
      <c r="AF50">
        <f>Tabel242567891011[[#This Row],[Stand Kamertemp liter einde maand]]-Tabel242567891011[[#This Row],[Stand Kamertemp liter vorige maand]]</f>
        <v>9.5999999999999943</v>
      </c>
      <c r="AG50" s="2">
        <f>Tabel242567891011[[#This Row],[Verbruik Kamertemp liter deze maand]]/0.15</f>
        <v>63.999999999999964</v>
      </c>
      <c r="AH50" s="11">
        <v>751.4</v>
      </c>
      <c r="AI50" s="11">
        <v>626.9</v>
      </c>
      <c r="AJ50">
        <f>Tabel242567891011[[#This Row],[Stand Gekoeld liter einde maand]]-Tabel242567891011[[#This Row],[Stand Gekoeld liter vorige maand]]</f>
        <v>124.5</v>
      </c>
      <c r="AK50" s="2">
        <f>Tabel242567891011[[#This Row],[Verbruik Gekoeld liter deze maand]]/0.15</f>
        <v>830</v>
      </c>
      <c r="AL50" s="11">
        <v>321.60000000000002</v>
      </c>
      <c r="AM50" s="11">
        <v>295.3</v>
      </c>
      <c r="AN50">
        <f>Tabel242567891011[[#This Row],[Stand Bruisend liter einde maand]]-Tabel242567891011[[#This Row],[Stand Bruisend liter vorige maand]]</f>
        <v>26.300000000000011</v>
      </c>
      <c r="AO50" s="2">
        <f>Tabel242567891011[[#This Row],[Verbruik Bruisend liter deze maand]]/0.15</f>
        <v>175.33333333333343</v>
      </c>
      <c r="AP50" s="11">
        <v>186.9</v>
      </c>
      <c r="AQ50" s="11">
        <v>137.69999999999999</v>
      </c>
      <c r="AR50">
        <f>Tabel242567891011[[#This Row],[Stand licht bruisend liter einde maand]]-Tabel242567891011[[#This Row],[Stand licht bruisend liter vorige maand]]</f>
        <v>49.200000000000017</v>
      </c>
      <c r="AS50" s="2">
        <f>Tabel242567891011[[#This Row],[Verbruik licht bruisend liter deze maand]]/0.15</f>
        <v>328.00000000000011</v>
      </c>
      <c r="AT50" s="11">
        <v>2010.9</v>
      </c>
      <c r="AU50" s="11">
        <v>1694.1</v>
      </c>
      <c r="AV50">
        <f>Tabel242567891011[[#This Row],[Stand heet water liter einde maand]]-Tabel242567891011[[#This Row],[Stand heet water liter vorige maand]]</f>
        <v>316.80000000000018</v>
      </c>
      <c r="AW50" s="20">
        <f>Tabel242567891011[[#This Row],[Verbruik heet Water liter deze maand ]]/0.15</f>
        <v>2112.0000000000014</v>
      </c>
      <c r="AX50" s="4">
        <f>Tabel242567891011[[#This Row],[Aantal consumpties heet water deze maand]]+Tabel242567891011[[#This Row],[Aantal consumpties licht bruisend water deze maand]]+Tabel242567891011[[#This Row],[aantal consumpties Bruisend water deze maand]]+Tabel242567891011[[#This Row],[Aantal consumpties gekoeld water deze maand]]+Tabel242567891011[[#This Row],[Aantal consumpties Kamertemp deze maand]]</f>
        <v>3509.3333333333348</v>
      </c>
      <c r="AY50" s="4">
        <f>Tabel242567891011[[#This Row],[Subtotaal waterbar in consumpties]]+Tabel242567891011[[#This Row],[Subtotaal koffieautomaten]]</f>
        <v>4080.3333333333348</v>
      </c>
    </row>
    <row r="51" spans="1:51" x14ac:dyDescent="0.25">
      <c r="A51" s="3" t="s">
        <v>99</v>
      </c>
      <c r="F51" s="11"/>
      <c r="H51" s="11"/>
      <c r="I51" s="11"/>
      <c r="J51" s="12"/>
      <c r="K51" s="11"/>
      <c r="L51" s="11"/>
      <c r="O51" s="11"/>
      <c r="R51" s="11"/>
      <c r="U51" s="11"/>
      <c r="X51" s="11"/>
      <c r="AA51" s="11"/>
      <c r="AC51" s="3">
        <f>Tabel242567891011[[#This Row],[Verbruik Stand Latte Macchiato Plantaardig deze maand]]+Tabel242567891011[[#This Row],[Verbruik  Cappucino Plantaardig deze maand]]+Tabel242567891011[[#This Row],[Verbruik Cappucino deze maand]]+Tabel242567891011[[#This Row],[Verbruik Hot Water deze maand]]+Tabel242567891011[[#This Row],[Verbruik Coffee Latte deze maand]]+Tabel242567891011[[#This Row],[Verbruik Latte Macchiato deze maand]]+Tabel242567891011[[#This Row],[Verbruik Espresso deze maand]]+Tabel242567891011[[#This Row],[Verbruik Coffee deze maand]]</f>
        <v>0</v>
      </c>
      <c r="AE51" s="11"/>
      <c r="AG51" s="2"/>
      <c r="AI51" s="11"/>
      <c r="AK51" s="2"/>
      <c r="AM51" s="11"/>
      <c r="AO51" s="2"/>
      <c r="AQ51" s="11"/>
      <c r="AS51" s="2"/>
      <c r="AU51" s="11"/>
      <c r="AV51">
        <f>Tabel242567891011[[#This Row],[Stand heet water liter einde maand]]-Tabel242567891011[[#This Row],[Stand heet water liter vorige maand]]</f>
        <v>0</v>
      </c>
      <c r="AW51" s="20">
        <f>Tabel242567891011[[#This Row],[Verbruik heet Water liter deze maand ]]/0.15</f>
        <v>0</v>
      </c>
      <c r="AX51" s="4"/>
      <c r="AY51" s="4">
        <f>Tabel242567891011[[#This Row],[Subtotaal waterbar in consumpties]]+Tabel242567891011[[#This Row],[Subtotaal koffieautomaten]]</f>
        <v>0</v>
      </c>
    </row>
    <row r="52" spans="1:51" x14ac:dyDescent="0.25">
      <c r="A52" t="s">
        <v>43</v>
      </c>
      <c r="B52" t="s">
        <v>100</v>
      </c>
      <c r="C52" t="s">
        <v>31</v>
      </c>
      <c r="E52" s="11">
        <v>3921</v>
      </c>
      <c r="F52" s="11">
        <v>3342</v>
      </c>
      <c r="G52" s="12">
        <f>Tabel242567891011[[#This Row],[Stand Coffee einde maand]]-Tabel242567891011[[#This Row],[Coffee vorige maand]]</f>
        <v>579</v>
      </c>
      <c r="H52" s="11">
        <v>824</v>
      </c>
      <c r="I52" s="11">
        <v>824</v>
      </c>
      <c r="J52" s="12">
        <f>Tabel242567891011[[#This Row],[Stand Espresso Einde maand]]-Tabel242567891011[[#This Row],[Espresso vorige maand]]</f>
        <v>0</v>
      </c>
      <c r="K52" s="11">
        <v>513</v>
      </c>
      <c r="L52" s="11">
        <v>465</v>
      </c>
      <c r="M52">
        <f>Tabel242567891011[[#This Row],[Stand Latte Macchiato einde maand]]-Tabel242567891011[[#This Row],[Latte Macchiato vorige maand]]</f>
        <v>48</v>
      </c>
      <c r="N52" s="11">
        <v>254</v>
      </c>
      <c r="O52" s="11">
        <v>235</v>
      </c>
      <c r="P52">
        <f>Tabel242567891011[[#This Row],[Stand Coffee Latte einde maand]]-Tabel242567891011[[#This Row],[Coffee Latte vorige maand]]</f>
        <v>19</v>
      </c>
      <c r="Q52" s="11">
        <v>9789</v>
      </c>
      <c r="R52" s="11">
        <v>8585</v>
      </c>
      <c r="S52">
        <f>Tabel242567891011[[#This Row],[Stand Hot Water einde maand]]-Tabel242567891011[[#This Row],[Hot Water vorige maand]]</f>
        <v>1204</v>
      </c>
      <c r="T52" s="11">
        <v>1209</v>
      </c>
      <c r="U52" s="11">
        <v>1061</v>
      </c>
      <c r="V52">
        <f>Tabel242567891011[[#This Row],[Stand Cappucino einde maand]]-Tabel242567891011[[#This Row],[Stand Cappucino vorige maand]]</f>
        <v>148</v>
      </c>
      <c r="W52" s="11">
        <v>359</v>
      </c>
      <c r="X52" s="11">
        <v>292</v>
      </c>
      <c r="Y52">
        <f>Tabel242567891011[[#This Row],[Stand Cappucino Plantaardig einde maand]]-Tabel242567891011[[#This Row],[Stand Cappucino Plantaardig vorige maand]]</f>
        <v>67</v>
      </c>
      <c r="Z52" s="11">
        <v>112</v>
      </c>
      <c r="AA52" s="11">
        <v>100</v>
      </c>
      <c r="AB52" s="12">
        <f>Tabel242567891011[[#This Row],[Stand Latte Macchiato Plantaardig einde maand]]-Tabel242567891011[[#This Row],[Stand Latte Macchiato Plantaardig vorige maand]]</f>
        <v>12</v>
      </c>
      <c r="AC52" s="3">
        <f>Tabel242567891011[[#This Row],[Verbruik Stand Latte Macchiato Plantaardig deze maand]]+Tabel242567891011[[#This Row],[Verbruik  Cappucino Plantaardig deze maand]]+Tabel242567891011[[#This Row],[Verbruik Cappucino deze maand]]+Tabel242567891011[[#This Row],[Verbruik Hot Water deze maand]]+Tabel242567891011[[#This Row],[Verbruik Coffee Latte deze maand]]+Tabel242567891011[[#This Row],[Verbruik Latte Macchiato deze maand]]+Tabel242567891011[[#This Row],[Verbruik Espresso deze maand]]+Tabel242567891011[[#This Row],[Verbruik Coffee deze maand]]</f>
        <v>2077</v>
      </c>
      <c r="AD52" s="26"/>
      <c r="AE52" s="26"/>
      <c r="AF52" s="5"/>
      <c r="AG52" s="7"/>
      <c r="AH52" s="26"/>
      <c r="AI52" s="26"/>
      <c r="AJ52" s="5"/>
      <c r="AK52" s="7"/>
      <c r="AL52" s="26"/>
      <c r="AM52" s="26"/>
      <c r="AN52" s="5"/>
      <c r="AO52" s="7"/>
      <c r="AP52" s="26"/>
      <c r="AQ52" s="26"/>
      <c r="AR52" s="5"/>
      <c r="AS52" s="7"/>
      <c r="AT52" s="26"/>
      <c r="AU52" s="26"/>
      <c r="AV52" s="5"/>
      <c r="AW52" s="21"/>
      <c r="AX52" s="8"/>
      <c r="AY52" s="4">
        <f>Tabel242567891011[[#This Row],[Subtotaal waterbar in consumpties]]+Tabel242567891011[[#This Row],[Subtotaal koffieautomaten]]</f>
        <v>2077</v>
      </c>
    </row>
    <row r="53" spans="1:51" x14ac:dyDescent="0.25">
      <c r="A53" t="s">
        <v>45</v>
      </c>
      <c r="B53" t="s">
        <v>101</v>
      </c>
      <c r="C53" t="s">
        <v>47</v>
      </c>
      <c r="E53" s="11">
        <v>3498</v>
      </c>
      <c r="F53" s="11">
        <v>3136</v>
      </c>
      <c r="G53" s="12">
        <f>Tabel242567891011[[#This Row],[Stand Coffee einde maand]]-Tabel242567891011[[#This Row],[Coffee vorige maand]]</f>
        <v>362</v>
      </c>
      <c r="H53" s="11">
        <v>1281</v>
      </c>
      <c r="I53" s="11">
        <v>1109</v>
      </c>
      <c r="J53" s="12">
        <f>Tabel242567891011[[#This Row],[Stand Espresso Einde maand]]-Tabel242567891011[[#This Row],[Espresso vorige maand]]</f>
        <v>172</v>
      </c>
      <c r="K53" s="11">
        <v>323</v>
      </c>
      <c r="L53" s="11">
        <v>272</v>
      </c>
      <c r="M53">
        <f>Tabel242567891011[[#This Row],[Stand Latte Macchiato einde maand]]-Tabel242567891011[[#This Row],[Latte Macchiato vorige maand]]</f>
        <v>51</v>
      </c>
      <c r="N53" s="11">
        <v>273</v>
      </c>
      <c r="O53" s="11">
        <v>264</v>
      </c>
      <c r="P53">
        <f>Tabel242567891011[[#This Row],[Stand Coffee Latte einde maand]]-Tabel242567891011[[#This Row],[Coffee Latte vorige maand]]</f>
        <v>9</v>
      </c>
      <c r="Q53" s="11">
        <v>1</v>
      </c>
      <c r="R53" s="11">
        <v>1</v>
      </c>
      <c r="S53">
        <f>Tabel242567891011[[#This Row],[Stand Hot Water einde maand]]-Tabel242567891011[[#This Row],[Hot Water vorige maand]]</f>
        <v>0</v>
      </c>
      <c r="T53" s="11">
        <v>1653</v>
      </c>
      <c r="U53" s="11">
        <v>1461</v>
      </c>
      <c r="V53">
        <f>Tabel242567891011[[#This Row],[Stand Cappucino einde maand]]-Tabel242567891011[[#This Row],[Stand Cappucino vorige maand]]</f>
        <v>192</v>
      </c>
      <c r="W53" s="11">
        <v>362</v>
      </c>
      <c r="X53" s="11">
        <v>335</v>
      </c>
      <c r="Y53">
        <f>Tabel242567891011[[#This Row],[Stand Cappucino Plantaardig einde maand]]-Tabel242567891011[[#This Row],[Stand Cappucino Plantaardig vorige maand]]</f>
        <v>27</v>
      </c>
      <c r="Z53" s="11">
        <v>154</v>
      </c>
      <c r="AA53" s="11">
        <v>131</v>
      </c>
      <c r="AB53" s="12">
        <f>Tabel242567891011[[#This Row],[Stand Latte Macchiato Plantaardig einde maand]]-Tabel242567891011[[#This Row],[Stand Latte Macchiato Plantaardig vorige maand]]</f>
        <v>23</v>
      </c>
      <c r="AC53" s="3">
        <f>Tabel242567891011[[#This Row],[Verbruik Stand Latte Macchiato Plantaardig deze maand]]+Tabel242567891011[[#This Row],[Verbruik  Cappucino Plantaardig deze maand]]+Tabel242567891011[[#This Row],[Verbruik Cappucino deze maand]]+Tabel242567891011[[#This Row],[Verbruik Hot Water deze maand]]+Tabel242567891011[[#This Row],[Verbruik Coffee Latte deze maand]]+Tabel242567891011[[#This Row],[Verbruik Latte Macchiato deze maand]]+Tabel242567891011[[#This Row],[Verbruik Espresso deze maand]]+Tabel242567891011[[#This Row],[Verbruik Coffee deze maand]]</f>
        <v>836</v>
      </c>
      <c r="AD53" s="11">
        <v>208.6</v>
      </c>
      <c r="AE53" s="11">
        <v>181.6</v>
      </c>
      <c r="AF53">
        <f>Tabel242567891011[[#This Row],[Stand Kamertemp liter einde maand]]-Tabel242567891011[[#This Row],[Stand Kamertemp liter vorige maand]]</f>
        <v>27</v>
      </c>
      <c r="AG53" s="2">
        <f>Tabel242567891011[[#This Row],[Verbruik Kamertemp liter deze maand]]/0.15</f>
        <v>180</v>
      </c>
      <c r="AH53" s="11">
        <v>887.1</v>
      </c>
      <c r="AI53" s="11">
        <v>787.8</v>
      </c>
      <c r="AJ53">
        <f>Tabel242567891011[[#This Row],[Stand Gekoeld liter einde maand]]-Tabel242567891011[[#This Row],[Stand Gekoeld liter vorige maand]]</f>
        <v>99.300000000000068</v>
      </c>
      <c r="AK53" s="2">
        <f>Tabel242567891011[[#This Row],[Verbruik Gekoeld liter deze maand]]/0.15</f>
        <v>662.00000000000045</v>
      </c>
      <c r="AL53" s="11">
        <v>1201.3</v>
      </c>
      <c r="AM53" s="11">
        <v>1084.7</v>
      </c>
      <c r="AN53">
        <f>Tabel242567891011[[#This Row],[Stand Bruisend liter einde maand]]-Tabel242567891011[[#This Row],[Stand Bruisend liter vorige maand]]</f>
        <v>116.59999999999991</v>
      </c>
      <c r="AO53" s="2">
        <f>Tabel242567891011[[#This Row],[Verbruik Bruisend liter deze maand]]/0.15</f>
        <v>777.3333333333328</v>
      </c>
      <c r="AP53" s="11">
        <v>401.3</v>
      </c>
      <c r="AQ53" s="11">
        <v>384.8</v>
      </c>
      <c r="AR53">
        <f>Tabel242567891011[[#This Row],[Stand licht bruisend liter einde maand]]-Tabel242567891011[[#This Row],[Stand licht bruisend liter vorige maand]]</f>
        <v>16.5</v>
      </c>
      <c r="AS53" s="2">
        <f>Tabel242567891011[[#This Row],[Verbruik licht bruisend liter deze maand]]/0.15</f>
        <v>110</v>
      </c>
      <c r="AT53" s="11">
        <v>2738.4</v>
      </c>
      <c r="AU53" s="11">
        <v>2381.8000000000002</v>
      </c>
      <c r="AV53">
        <f>Tabel242567891011[[#This Row],[Stand heet water liter einde maand]]-Tabel242567891011[[#This Row],[Stand heet water liter vorige maand]]</f>
        <v>356.59999999999991</v>
      </c>
      <c r="AW53" s="20">
        <f>Tabel242567891011[[#This Row],[Verbruik heet Water liter deze maand ]]/0.15</f>
        <v>2377.333333333333</v>
      </c>
      <c r="AX53" s="4">
        <f>Tabel242567891011[[#This Row],[Aantal consumpties heet water deze maand]]+Tabel242567891011[[#This Row],[Aantal consumpties licht bruisend water deze maand]]+Tabel242567891011[[#This Row],[aantal consumpties Bruisend water deze maand]]+Tabel242567891011[[#This Row],[Aantal consumpties gekoeld water deze maand]]+Tabel242567891011[[#This Row],[Aantal consumpties Kamertemp deze maand]]</f>
        <v>4106.6666666666661</v>
      </c>
      <c r="AY53" s="4">
        <f>Tabel242567891011[[#This Row],[Subtotaal waterbar in consumpties]]+Tabel242567891011[[#This Row],[Subtotaal koffieautomaten]]</f>
        <v>4942.6666666666661</v>
      </c>
    </row>
    <row r="54" spans="1:51" x14ac:dyDescent="0.25">
      <c r="A54" t="s">
        <v>48</v>
      </c>
      <c r="B54" t="s">
        <v>102</v>
      </c>
      <c r="C54" t="s">
        <v>31</v>
      </c>
      <c r="E54" s="11">
        <v>2662</v>
      </c>
      <c r="F54" s="11">
        <v>2276</v>
      </c>
      <c r="G54" s="12">
        <f>Tabel242567891011[[#This Row],[Stand Coffee einde maand]]-Tabel242567891011[[#This Row],[Coffee vorige maand]]</f>
        <v>386</v>
      </c>
      <c r="H54" s="11">
        <v>763</v>
      </c>
      <c r="I54" s="11">
        <v>545</v>
      </c>
      <c r="J54" s="12">
        <f>Tabel242567891011[[#This Row],[Stand Espresso Einde maand]]-Tabel242567891011[[#This Row],[Espresso vorige maand]]</f>
        <v>218</v>
      </c>
      <c r="K54" s="11">
        <v>119</v>
      </c>
      <c r="L54" s="11">
        <v>91</v>
      </c>
      <c r="M54">
        <f>Tabel242567891011[[#This Row],[Stand Latte Macchiato einde maand]]-Tabel242567891011[[#This Row],[Latte Macchiato vorige maand]]</f>
        <v>28</v>
      </c>
      <c r="N54" s="11">
        <v>185</v>
      </c>
      <c r="O54" s="11">
        <v>162</v>
      </c>
      <c r="P54">
        <f>Tabel242567891011[[#This Row],[Stand Coffee Latte einde maand]]-Tabel242567891011[[#This Row],[Coffee Latte vorige maand]]</f>
        <v>23</v>
      </c>
      <c r="Q54" s="11">
        <v>6105</v>
      </c>
      <c r="R54" s="11">
        <v>5203</v>
      </c>
      <c r="S54">
        <f>Tabel242567891011[[#This Row],[Stand Hot Water einde maand]]-Tabel242567891011[[#This Row],[Hot Water vorige maand]]</f>
        <v>902</v>
      </c>
      <c r="T54" s="11">
        <v>1125</v>
      </c>
      <c r="U54" s="11">
        <v>1001</v>
      </c>
      <c r="V54">
        <f>Tabel242567891011[[#This Row],[Stand Cappucino einde maand]]-Tabel242567891011[[#This Row],[Stand Cappucino vorige maand]]</f>
        <v>124</v>
      </c>
      <c r="W54" s="11">
        <v>798</v>
      </c>
      <c r="X54" s="11">
        <v>753</v>
      </c>
      <c r="Y54">
        <f>Tabel242567891011[[#This Row],[Stand Cappucino Plantaardig einde maand]]-Tabel242567891011[[#This Row],[Stand Cappucino Plantaardig vorige maand]]</f>
        <v>45</v>
      </c>
      <c r="Z54" s="11">
        <v>70</v>
      </c>
      <c r="AA54" s="11">
        <v>67</v>
      </c>
      <c r="AB54" s="12">
        <f>Tabel242567891011[[#This Row],[Stand Latte Macchiato Plantaardig einde maand]]-Tabel242567891011[[#This Row],[Stand Latte Macchiato Plantaardig vorige maand]]</f>
        <v>3</v>
      </c>
      <c r="AC54" s="3">
        <f>Tabel242567891011[[#This Row],[Verbruik Stand Latte Macchiato Plantaardig deze maand]]+Tabel242567891011[[#This Row],[Verbruik  Cappucino Plantaardig deze maand]]+Tabel242567891011[[#This Row],[Verbruik Cappucino deze maand]]+Tabel242567891011[[#This Row],[Verbruik Hot Water deze maand]]+Tabel242567891011[[#This Row],[Verbruik Coffee Latte deze maand]]+Tabel242567891011[[#This Row],[Verbruik Latte Macchiato deze maand]]+Tabel242567891011[[#This Row],[Verbruik Espresso deze maand]]+Tabel242567891011[[#This Row],[Verbruik Coffee deze maand]]</f>
        <v>1729</v>
      </c>
      <c r="AD54" s="26"/>
      <c r="AE54" s="26"/>
      <c r="AF54" s="5"/>
      <c r="AG54" s="7"/>
      <c r="AH54" s="26"/>
      <c r="AI54" s="26"/>
      <c r="AJ54" s="5"/>
      <c r="AK54" s="7"/>
      <c r="AL54" s="26"/>
      <c r="AM54" s="26"/>
      <c r="AN54" s="5"/>
      <c r="AO54" s="7"/>
      <c r="AP54" s="26"/>
      <c r="AQ54" s="26"/>
      <c r="AR54" s="5"/>
      <c r="AS54" s="7"/>
      <c r="AT54" s="26"/>
      <c r="AU54" s="26"/>
      <c r="AV54" s="5"/>
      <c r="AW54" s="21"/>
      <c r="AX54" s="8"/>
      <c r="AY54" s="4">
        <f>Tabel242567891011[[#This Row],[Subtotaal waterbar in consumpties]]+Tabel242567891011[[#This Row],[Subtotaal koffieautomaten]]</f>
        <v>1729</v>
      </c>
    </row>
    <row r="55" spans="1:51" x14ac:dyDescent="0.25">
      <c r="A55" t="s">
        <v>50</v>
      </c>
      <c r="B55" t="s">
        <v>103</v>
      </c>
      <c r="C55" t="s">
        <v>47</v>
      </c>
      <c r="E55" s="11">
        <v>4023</v>
      </c>
      <c r="F55" s="11">
        <v>3573</v>
      </c>
      <c r="G55" s="12">
        <f>Tabel242567891011[[#This Row],[Stand Coffee einde maand]]-Tabel242567891011[[#This Row],[Coffee vorige maand]]</f>
        <v>450</v>
      </c>
      <c r="H55" s="11">
        <v>1774</v>
      </c>
      <c r="I55" s="11">
        <v>1677</v>
      </c>
      <c r="J55" s="12">
        <f>Tabel242567891011[[#This Row],[Stand Espresso Einde maand]]-Tabel242567891011[[#This Row],[Espresso vorige maand]]</f>
        <v>97</v>
      </c>
      <c r="K55" s="11">
        <v>181</v>
      </c>
      <c r="L55" s="11">
        <v>169</v>
      </c>
      <c r="M55">
        <f>Tabel242567891011[[#This Row],[Stand Latte Macchiato einde maand]]-Tabel242567891011[[#This Row],[Latte Macchiato vorige maand]]</f>
        <v>12</v>
      </c>
      <c r="N55" s="11">
        <v>66</v>
      </c>
      <c r="O55" s="11">
        <v>55</v>
      </c>
      <c r="P55">
        <f>Tabel242567891011[[#This Row],[Stand Coffee Latte einde maand]]-Tabel242567891011[[#This Row],[Coffee Latte vorige maand]]</f>
        <v>11</v>
      </c>
      <c r="Q55" s="11">
        <v>1</v>
      </c>
      <c r="R55" s="11">
        <v>1</v>
      </c>
      <c r="S55">
        <f>Tabel242567891011[[#This Row],[Stand Hot Water einde maand]]-Tabel242567891011[[#This Row],[Hot Water vorige maand]]</f>
        <v>0</v>
      </c>
      <c r="T55" s="11">
        <v>3898</v>
      </c>
      <c r="U55" s="11">
        <v>3526</v>
      </c>
      <c r="V55">
        <f>Tabel242567891011[[#This Row],[Stand Cappucino einde maand]]-Tabel242567891011[[#This Row],[Stand Cappucino vorige maand]]</f>
        <v>372</v>
      </c>
      <c r="W55" s="11">
        <v>322</v>
      </c>
      <c r="X55" s="11">
        <v>292</v>
      </c>
      <c r="Y55">
        <f>Tabel242567891011[[#This Row],[Stand Cappucino Plantaardig einde maand]]-Tabel242567891011[[#This Row],[Stand Cappucino Plantaardig vorige maand]]</f>
        <v>30</v>
      </c>
      <c r="Z55" s="11">
        <v>90</v>
      </c>
      <c r="AA55" s="11">
        <v>69</v>
      </c>
      <c r="AB55" s="12">
        <f>Tabel242567891011[[#This Row],[Stand Latte Macchiato Plantaardig einde maand]]-Tabel242567891011[[#This Row],[Stand Latte Macchiato Plantaardig vorige maand]]</f>
        <v>21</v>
      </c>
      <c r="AC55" s="3">
        <f>Tabel242567891011[[#This Row],[Verbruik Stand Latte Macchiato Plantaardig deze maand]]+Tabel242567891011[[#This Row],[Verbruik  Cappucino Plantaardig deze maand]]+Tabel242567891011[[#This Row],[Verbruik Cappucino deze maand]]+Tabel242567891011[[#This Row],[Verbruik Hot Water deze maand]]+Tabel242567891011[[#This Row],[Verbruik Coffee Latte deze maand]]+Tabel242567891011[[#This Row],[Verbruik Latte Macchiato deze maand]]+Tabel242567891011[[#This Row],[Verbruik Espresso deze maand]]+Tabel242567891011[[#This Row],[Verbruik Coffee deze maand]]</f>
        <v>993</v>
      </c>
      <c r="AD55" s="11">
        <v>144.19999999999999</v>
      </c>
      <c r="AE55" s="11">
        <v>133.69999999999999</v>
      </c>
      <c r="AF55">
        <f>Tabel242567891011[[#This Row],[Stand Kamertemp liter einde maand]]-Tabel242567891011[[#This Row],[Stand Kamertemp liter vorige maand]]</f>
        <v>10.5</v>
      </c>
      <c r="AG55" s="2">
        <f>Tabel242567891011[[#This Row],[Verbruik Kamertemp liter deze maand]]/0.15</f>
        <v>70</v>
      </c>
      <c r="AH55" s="11">
        <v>491.3</v>
      </c>
      <c r="AI55" s="11">
        <v>425.4</v>
      </c>
      <c r="AJ55">
        <f>Tabel242567891011[[#This Row],[Stand Gekoeld liter einde maand]]-Tabel242567891011[[#This Row],[Stand Gekoeld liter vorige maand]]</f>
        <v>65.900000000000034</v>
      </c>
      <c r="AK55" s="2">
        <f>Tabel242567891011[[#This Row],[Verbruik Gekoeld liter deze maand]]/0.15</f>
        <v>439.3333333333336</v>
      </c>
      <c r="AL55" s="11">
        <v>967.7</v>
      </c>
      <c r="AM55" s="11">
        <v>862.1</v>
      </c>
      <c r="AN55">
        <f>Tabel242567891011[[#This Row],[Stand Bruisend liter einde maand]]-Tabel242567891011[[#This Row],[Stand Bruisend liter vorige maand]]</f>
        <v>105.60000000000002</v>
      </c>
      <c r="AO55" s="2">
        <f>Tabel242567891011[[#This Row],[Verbruik Bruisend liter deze maand]]/0.15</f>
        <v>704.00000000000023</v>
      </c>
      <c r="AP55" s="11">
        <v>330.8</v>
      </c>
      <c r="AQ55" s="11">
        <v>306.3</v>
      </c>
      <c r="AR55">
        <f>Tabel242567891011[[#This Row],[Stand licht bruisend liter einde maand]]-Tabel242567891011[[#This Row],[Stand licht bruisend liter vorige maand]]</f>
        <v>24.5</v>
      </c>
      <c r="AS55" s="2">
        <f>Tabel242567891011[[#This Row],[Verbruik licht bruisend liter deze maand]]/0.15</f>
        <v>163.33333333333334</v>
      </c>
      <c r="AT55" s="11">
        <v>2405.1</v>
      </c>
      <c r="AU55" s="11">
        <v>2061.1</v>
      </c>
      <c r="AV55">
        <f>Tabel242567891011[[#This Row],[Stand heet water liter einde maand]]-Tabel242567891011[[#This Row],[Stand heet water liter vorige maand]]</f>
        <v>344</v>
      </c>
      <c r="AW55" s="20">
        <f>Tabel242567891011[[#This Row],[Verbruik heet Water liter deze maand ]]/0.15</f>
        <v>2293.3333333333335</v>
      </c>
      <c r="AX55" s="4">
        <f>Tabel242567891011[[#This Row],[Aantal consumpties heet water deze maand]]+Tabel242567891011[[#This Row],[Aantal consumpties licht bruisend water deze maand]]+Tabel242567891011[[#This Row],[aantal consumpties Bruisend water deze maand]]+Tabel242567891011[[#This Row],[Aantal consumpties gekoeld water deze maand]]+Tabel242567891011[[#This Row],[Aantal consumpties Kamertemp deze maand]]</f>
        <v>3670.0000000000005</v>
      </c>
      <c r="AY55" s="4">
        <f>Tabel242567891011[[#This Row],[Subtotaal waterbar in consumpties]]+Tabel242567891011[[#This Row],[Subtotaal koffieautomaten]]</f>
        <v>4663</v>
      </c>
    </row>
    <row r="56" spans="1:51" x14ac:dyDescent="0.25">
      <c r="A56" t="s">
        <v>52</v>
      </c>
      <c r="B56" t="s">
        <v>104</v>
      </c>
      <c r="C56" t="s">
        <v>36</v>
      </c>
      <c r="E56" s="42"/>
      <c r="F56" s="42"/>
      <c r="G56" s="43"/>
      <c r="H56" s="42"/>
      <c r="I56" s="42"/>
      <c r="J56" s="43"/>
      <c r="K56" s="42"/>
      <c r="L56" s="42"/>
      <c r="M56" s="43"/>
      <c r="N56" s="42"/>
      <c r="O56" s="42"/>
      <c r="P56" s="43"/>
      <c r="Q56" s="42"/>
      <c r="R56" s="42"/>
      <c r="S56" s="43"/>
      <c r="T56" s="42"/>
      <c r="U56" s="42"/>
      <c r="V56" s="43"/>
      <c r="W56" s="42"/>
      <c r="X56" s="42"/>
      <c r="Y56" s="43"/>
      <c r="Z56" s="42"/>
      <c r="AA56" s="42"/>
      <c r="AB56" s="43"/>
      <c r="AC56" s="43"/>
      <c r="AD56" s="11">
        <v>64.7</v>
      </c>
      <c r="AE56" s="11">
        <v>61.9</v>
      </c>
      <c r="AF56">
        <f>Tabel242567891011[[#This Row],[Stand Kamertemp liter einde maand]]-Tabel242567891011[[#This Row],[Stand Kamertemp liter vorige maand]]</f>
        <v>2.8000000000000043</v>
      </c>
      <c r="AG56" s="2">
        <f>Tabel242567891011[[#This Row],[Verbruik Kamertemp liter deze maand]]/0.15</f>
        <v>18.666666666666696</v>
      </c>
      <c r="AH56" s="11">
        <v>537.29999999999995</v>
      </c>
      <c r="AI56" s="11">
        <v>488.4</v>
      </c>
      <c r="AJ56">
        <f>Tabel242567891011[[#This Row],[Stand Gekoeld liter einde maand]]-Tabel242567891011[[#This Row],[Stand Gekoeld liter vorige maand]]</f>
        <v>48.899999999999977</v>
      </c>
      <c r="AK56" s="2">
        <f>Tabel242567891011[[#This Row],[Verbruik Gekoeld liter deze maand]]/0.15</f>
        <v>325.99999999999989</v>
      </c>
      <c r="AL56" s="11">
        <v>619.4</v>
      </c>
      <c r="AM56" s="11">
        <v>564.20000000000005</v>
      </c>
      <c r="AN56">
        <f>Tabel242567891011[[#This Row],[Stand Bruisend liter einde maand]]-Tabel242567891011[[#This Row],[Stand Bruisend liter vorige maand]]</f>
        <v>55.199999999999932</v>
      </c>
      <c r="AO56" s="2">
        <f>Tabel242567891011[[#This Row],[Verbruik Bruisend liter deze maand]]/0.15</f>
        <v>367.99999999999955</v>
      </c>
      <c r="AP56" s="11">
        <v>575.20000000000005</v>
      </c>
      <c r="AQ56" s="11">
        <v>524.9</v>
      </c>
      <c r="AR56">
        <f>Tabel242567891011[[#This Row],[Stand licht bruisend liter einde maand]]-Tabel242567891011[[#This Row],[Stand licht bruisend liter vorige maand]]</f>
        <v>50.300000000000068</v>
      </c>
      <c r="AS56" s="2">
        <f>Tabel242567891011[[#This Row],[Verbruik licht bruisend liter deze maand]]/0.15</f>
        <v>335.33333333333383</v>
      </c>
      <c r="AT56" s="11">
        <v>2977</v>
      </c>
      <c r="AU56" s="11">
        <v>2721.1</v>
      </c>
      <c r="AV56">
        <f>Tabel242567891011[[#This Row],[Stand heet water liter einde maand]]-Tabel242567891011[[#This Row],[Stand heet water liter vorige maand]]</f>
        <v>255.90000000000009</v>
      </c>
      <c r="AW56" s="20">
        <f>Tabel242567891011[[#This Row],[Verbruik heet Water liter deze maand ]]/0.15</f>
        <v>1706.0000000000007</v>
      </c>
      <c r="AX56" s="4">
        <f>Tabel242567891011[[#This Row],[Aantal consumpties heet water deze maand]]+Tabel242567891011[[#This Row],[Aantal consumpties licht bruisend water deze maand]]+Tabel242567891011[[#This Row],[aantal consumpties Bruisend water deze maand]]+Tabel242567891011[[#This Row],[Aantal consumpties gekoeld water deze maand]]+Tabel242567891011[[#This Row],[Aantal consumpties Kamertemp deze maand]]</f>
        <v>2754.0000000000005</v>
      </c>
      <c r="AY56" s="4">
        <f>Tabel242567891011[[#This Row],[Subtotaal waterbar in consumpties]]+Tabel242567891011[[#This Row],[Subtotaal koffieautomaten]]</f>
        <v>2754.0000000000005</v>
      </c>
    </row>
    <row r="57" spans="1:51" x14ac:dyDescent="0.25">
      <c r="A57" t="s">
        <v>54</v>
      </c>
      <c r="B57" t="s">
        <v>105</v>
      </c>
      <c r="C57" t="s">
        <v>31</v>
      </c>
      <c r="E57" s="11">
        <v>3031</v>
      </c>
      <c r="F57" s="11">
        <v>2663</v>
      </c>
      <c r="G57" s="12">
        <f>Tabel242567891011[[#This Row],[Stand Coffee einde maand]]-Tabel242567891011[[#This Row],[Coffee vorige maand]]</f>
        <v>368</v>
      </c>
      <c r="H57" s="11">
        <v>1653</v>
      </c>
      <c r="I57" s="11">
        <v>1497</v>
      </c>
      <c r="J57" s="12">
        <f>Tabel242567891011[[#This Row],[Stand Espresso Einde maand]]-Tabel242567891011[[#This Row],[Espresso vorige maand]]</f>
        <v>156</v>
      </c>
      <c r="K57" s="11">
        <v>1135</v>
      </c>
      <c r="L57" s="11">
        <v>955</v>
      </c>
      <c r="M57">
        <f>Tabel242567891011[[#This Row],[Stand Latte Macchiato einde maand]]-Tabel242567891011[[#This Row],[Latte Macchiato vorige maand]]</f>
        <v>180</v>
      </c>
      <c r="N57" s="11">
        <v>112</v>
      </c>
      <c r="O57" s="11">
        <v>109</v>
      </c>
      <c r="P57">
        <f>Tabel242567891011[[#This Row],[Stand Coffee Latte einde maand]]-Tabel242567891011[[#This Row],[Coffee Latte vorige maand]]</f>
        <v>3</v>
      </c>
      <c r="Q57" s="11">
        <v>10757</v>
      </c>
      <c r="R57" s="11">
        <v>9254</v>
      </c>
      <c r="S57">
        <f>Tabel242567891011[[#This Row],[Stand Hot Water einde maand]]-Tabel242567891011[[#This Row],[Hot Water vorige maand]]</f>
        <v>1503</v>
      </c>
      <c r="T57" s="11">
        <v>2589</v>
      </c>
      <c r="U57" s="11">
        <v>2280</v>
      </c>
      <c r="V57">
        <f>Tabel242567891011[[#This Row],[Stand Cappucino einde maand]]-Tabel242567891011[[#This Row],[Stand Cappucino vorige maand]]</f>
        <v>309</v>
      </c>
      <c r="W57" s="11">
        <v>537</v>
      </c>
      <c r="X57" s="11">
        <v>484</v>
      </c>
      <c r="Y57">
        <f>Tabel242567891011[[#This Row],[Stand Cappucino Plantaardig einde maand]]-Tabel242567891011[[#This Row],[Stand Cappucino Plantaardig vorige maand]]</f>
        <v>53</v>
      </c>
      <c r="Z57" s="11">
        <v>56</v>
      </c>
      <c r="AA57" s="11">
        <v>51</v>
      </c>
      <c r="AB57" s="12">
        <f>Tabel242567891011[[#This Row],[Stand Latte Macchiato Plantaardig einde maand]]-Tabel242567891011[[#This Row],[Stand Latte Macchiato Plantaardig vorige maand]]</f>
        <v>5</v>
      </c>
      <c r="AC57" s="3">
        <f>Tabel242567891011[[#This Row],[Verbruik Stand Latte Macchiato Plantaardig deze maand]]+Tabel242567891011[[#This Row],[Verbruik  Cappucino Plantaardig deze maand]]+Tabel242567891011[[#This Row],[Verbruik Cappucino deze maand]]+Tabel242567891011[[#This Row],[Verbruik Hot Water deze maand]]+Tabel242567891011[[#This Row],[Verbruik Coffee Latte deze maand]]+Tabel242567891011[[#This Row],[Verbruik Latte Macchiato deze maand]]+Tabel242567891011[[#This Row],[Verbruik Espresso deze maand]]+Tabel242567891011[[#This Row],[Verbruik Coffee deze maand]]</f>
        <v>2577</v>
      </c>
      <c r="AD57" s="26"/>
      <c r="AE57" s="26"/>
      <c r="AF57" s="5"/>
      <c r="AG57" s="7"/>
      <c r="AH57" s="26"/>
      <c r="AI57" s="26"/>
      <c r="AJ57" s="5"/>
      <c r="AK57" s="7"/>
      <c r="AL57" s="26"/>
      <c r="AM57" s="26"/>
      <c r="AN57" s="5"/>
      <c r="AO57" s="7"/>
      <c r="AP57" s="26"/>
      <c r="AQ57" s="26"/>
      <c r="AR57" s="5"/>
      <c r="AS57" s="7"/>
      <c r="AT57" s="26"/>
      <c r="AU57" s="26"/>
      <c r="AV57" s="5"/>
      <c r="AW57" s="21"/>
      <c r="AX57" s="8"/>
      <c r="AY57" s="4">
        <f>Tabel242567891011[[#This Row],[Subtotaal waterbar in consumpties]]+Tabel242567891011[[#This Row],[Subtotaal koffieautomaten]]</f>
        <v>2577</v>
      </c>
    </row>
    <row r="58" spans="1:51" x14ac:dyDescent="0.25">
      <c r="A58" t="s">
        <v>56</v>
      </c>
      <c r="B58" t="s">
        <v>106</v>
      </c>
      <c r="C58" t="s">
        <v>47</v>
      </c>
      <c r="E58" s="11">
        <v>4355</v>
      </c>
      <c r="F58" s="11">
        <v>3824</v>
      </c>
      <c r="G58" s="12">
        <f>Tabel242567891011[[#This Row],[Stand Coffee einde maand]]-Tabel242567891011[[#This Row],[Coffee vorige maand]]</f>
        <v>531</v>
      </c>
      <c r="H58" s="11">
        <v>1205</v>
      </c>
      <c r="I58" s="11">
        <v>1072</v>
      </c>
      <c r="J58" s="12">
        <f>Tabel242567891011[[#This Row],[Stand Espresso Einde maand]]-Tabel242567891011[[#This Row],[Espresso vorige maand]]</f>
        <v>133</v>
      </c>
      <c r="K58" s="11">
        <v>1358</v>
      </c>
      <c r="L58" s="11">
        <v>1251</v>
      </c>
      <c r="M58">
        <f>Tabel242567891011[[#This Row],[Stand Latte Macchiato einde maand]]-Tabel242567891011[[#This Row],[Latte Macchiato vorige maand]]</f>
        <v>107</v>
      </c>
      <c r="N58" s="11">
        <v>111</v>
      </c>
      <c r="O58" s="11">
        <v>106</v>
      </c>
      <c r="P58">
        <f>Tabel242567891011[[#This Row],[Stand Coffee Latte einde maand]]-Tabel242567891011[[#This Row],[Coffee Latte vorige maand]]</f>
        <v>5</v>
      </c>
      <c r="Q58" s="11">
        <v>1</v>
      </c>
      <c r="R58" s="11">
        <v>1</v>
      </c>
      <c r="S58">
        <f>Tabel242567891011[[#This Row],[Stand Hot Water einde maand]]-Tabel242567891011[[#This Row],[Hot Water vorige maand]]</f>
        <v>0</v>
      </c>
      <c r="T58" s="11">
        <v>2396</v>
      </c>
      <c r="U58" s="11">
        <v>2127</v>
      </c>
      <c r="V58">
        <f>Tabel242567891011[[#This Row],[Stand Cappucino einde maand]]-Tabel242567891011[[#This Row],[Stand Cappucino vorige maand]]</f>
        <v>269</v>
      </c>
      <c r="W58" s="11">
        <v>656</v>
      </c>
      <c r="X58" s="11">
        <v>629</v>
      </c>
      <c r="Y58">
        <f>Tabel242567891011[[#This Row],[Stand Cappucino Plantaardig einde maand]]-Tabel242567891011[[#This Row],[Stand Cappucino Plantaardig vorige maand]]</f>
        <v>27</v>
      </c>
      <c r="Z58" s="11">
        <v>88</v>
      </c>
      <c r="AA58" s="11">
        <v>72</v>
      </c>
      <c r="AB58" s="12">
        <f>Tabel242567891011[[#This Row],[Stand Latte Macchiato Plantaardig einde maand]]-Tabel242567891011[[#This Row],[Stand Latte Macchiato Plantaardig vorige maand]]</f>
        <v>16</v>
      </c>
      <c r="AC58" s="3">
        <f>Tabel242567891011[[#This Row],[Verbruik Stand Latte Macchiato Plantaardig deze maand]]+Tabel242567891011[[#This Row],[Verbruik  Cappucino Plantaardig deze maand]]+Tabel242567891011[[#This Row],[Verbruik Cappucino deze maand]]+Tabel242567891011[[#This Row],[Verbruik Hot Water deze maand]]+Tabel242567891011[[#This Row],[Verbruik Coffee Latte deze maand]]+Tabel242567891011[[#This Row],[Verbruik Latte Macchiato deze maand]]+Tabel242567891011[[#This Row],[Verbruik Espresso deze maand]]+Tabel242567891011[[#This Row],[Verbruik Coffee deze maand]]</f>
        <v>1088</v>
      </c>
      <c r="AD58" s="11">
        <v>97.3</v>
      </c>
      <c r="AE58" s="11">
        <v>80.599999999999994</v>
      </c>
      <c r="AF58">
        <f>Tabel242567891011[[#This Row],[Stand Kamertemp liter einde maand]]-Tabel242567891011[[#This Row],[Stand Kamertemp liter vorige maand]]</f>
        <v>16.700000000000003</v>
      </c>
      <c r="AG58" s="2">
        <f>Tabel242567891011[[#This Row],[Verbruik Kamertemp liter deze maand]]/0.15</f>
        <v>111.33333333333336</v>
      </c>
      <c r="AH58" s="11">
        <v>863.7</v>
      </c>
      <c r="AI58" s="11">
        <v>750.8</v>
      </c>
      <c r="AJ58">
        <f>Tabel242567891011[[#This Row],[Stand Gekoeld liter einde maand]]-Tabel242567891011[[#This Row],[Stand Gekoeld liter vorige maand]]</f>
        <v>112.90000000000009</v>
      </c>
      <c r="AK58" s="2">
        <f>Tabel242567891011[[#This Row],[Verbruik Gekoeld liter deze maand]]/0.15</f>
        <v>752.66666666666731</v>
      </c>
      <c r="AL58" s="11">
        <v>781.8</v>
      </c>
      <c r="AM58" s="11">
        <v>701.5</v>
      </c>
      <c r="AN58">
        <f>Tabel242567891011[[#This Row],[Stand Bruisend liter einde maand]]-Tabel242567891011[[#This Row],[Stand Bruisend liter vorige maand]]</f>
        <v>80.299999999999955</v>
      </c>
      <c r="AO58" s="2">
        <f>Tabel242567891011[[#This Row],[Verbruik Bruisend liter deze maand]]/0.15</f>
        <v>535.33333333333303</v>
      </c>
      <c r="AP58" s="11">
        <v>431.6</v>
      </c>
      <c r="AQ58" s="11">
        <v>369.7</v>
      </c>
      <c r="AR58">
        <f>Tabel242567891011[[#This Row],[Stand licht bruisend liter einde maand]]-Tabel242567891011[[#This Row],[Stand licht bruisend liter vorige maand]]</f>
        <v>61.900000000000034</v>
      </c>
      <c r="AS58" s="2">
        <f>Tabel242567891011[[#This Row],[Verbruik licht bruisend liter deze maand]]/0.15</f>
        <v>412.66666666666691</v>
      </c>
      <c r="AT58" s="11">
        <v>3041.6</v>
      </c>
      <c r="AU58" s="11">
        <v>2707.6</v>
      </c>
      <c r="AV58">
        <f>Tabel242567891011[[#This Row],[Stand heet water liter einde maand]]-Tabel242567891011[[#This Row],[Stand heet water liter vorige maand]]</f>
        <v>334</v>
      </c>
      <c r="AW58" s="20">
        <f>Tabel242567891011[[#This Row],[Verbruik heet Water liter deze maand ]]/0.15</f>
        <v>2226.666666666667</v>
      </c>
      <c r="AX58" s="4">
        <f>Tabel242567891011[[#This Row],[Aantal consumpties heet water deze maand]]+Tabel242567891011[[#This Row],[Aantal consumpties licht bruisend water deze maand]]+Tabel242567891011[[#This Row],[aantal consumpties Bruisend water deze maand]]+Tabel242567891011[[#This Row],[Aantal consumpties gekoeld water deze maand]]+Tabel242567891011[[#This Row],[Aantal consumpties Kamertemp deze maand]]</f>
        <v>4038.6666666666679</v>
      </c>
      <c r="AY58" s="4">
        <f>Tabel242567891011[[#This Row],[Subtotaal waterbar in consumpties]]+Tabel242567891011[[#This Row],[Subtotaal koffieautomaten]]</f>
        <v>5126.6666666666679</v>
      </c>
    </row>
    <row r="59" spans="1:51" x14ac:dyDescent="0.25">
      <c r="A59" t="s">
        <v>58</v>
      </c>
      <c r="B59" t="s">
        <v>107</v>
      </c>
      <c r="C59" t="s">
        <v>31</v>
      </c>
      <c r="E59" s="11">
        <v>3111</v>
      </c>
      <c r="F59" s="11">
        <v>2626</v>
      </c>
      <c r="G59" s="12">
        <f>Tabel242567891011[[#This Row],[Stand Coffee einde maand]]-Tabel242567891011[[#This Row],[Coffee vorige maand]]</f>
        <v>485</v>
      </c>
      <c r="H59" s="11">
        <v>736</v>
      </c>
      <c r="I59" s="11">
        <v>616</v>
      </c>
      <c r="J59" s="12">
        <f>Tabel242567891011[[#This Row],[Stand Espresso Einde maand]]-Tabel242567891011[[#This Row],[Espresso vorige maand]]</f>
        <v>120</v>
      </c>
      <c r="K59" s="11">
        <v>328</v>
      </c>
      <c r="L59" s="11">
        <v>227</v>
      </c>
      <c r="M59">
        <f>Tabel242567891011[[#This Row],[Stand Latte Macchiato einde maand]]-Tabel242567891011[[#This Row],[Latte Macchiato vorige maand]]</f>
        <v>101</v>
      </c>
      <c r="N59" s="11">
        <v>119</v>
      </c>
      <c r="O59" s="11">
        <v>113</v>
      </c>
      <c r="P59">
        <f>Tabel242567891011[[#This Row],[Stand Coffee Latte einde maand]]-Tabel242567891011[[#This Row],[Coffee Latte vorige maand]]</f>
        <v>6</v>
      </c>
      <c r="Q59" s="11">
        <v>7138</v>
      </c>
      <c r="R59" s="11">
        <v>6244</v>
      </c>
      <c r="S59">
        <f>Tabel242567891011[[#This Row],[Stand Hot Water einde maand]]-Tabel242567891011[[#This Row],[Hot Water vorige maand]]</f>
        <v>894</v>
      </c>
      <c r="T59" s="11">
        <v>1037</v>
      </c>
      <c r="U59" s="11">
        <v>891</v>
      </c>
      <c r="V59">
        <f>Tabel242567891011[[#This Row],[Stand Cappucino einde maand]]-Tabel242567891011[[#This Row],[Stand Cappucino vorige maand]]</f>
        <v>146</v>
      </c>
      <c r="W59" s="11">
        <v>726</v>
      </c>
      <c r="X59" s="11">
        <v>613</v>
      </c>
      <c r="Y59">
        <f>Tabel242567891011[[#This Row],[Stand Cappucino Plantaardig einde maand]]-Tabel242567891011[[#This Row],[Stand Cappucino Plantaardig vorige maand]]</f>
        <v>113</v>
      </c>
      <c r="Z59" s="11">
        <v>310</v>
      </c>
      <c r="AA59" s="11">
        <v>303</v>
      </c>
      <c r="AB59" s="12">
        <f>Tabel242567891011[[#This Row],[Stand Latte Macchiato Plantaardig einde maand]]-Tabel242567891011[[#This Row],[Stand Latte Macchiato Plantaardig vorige maand]]</f>
        <v>7</v>
      </c>
      <c r="AC59" s="3">
        <f>Tabel242567891011[[#This Row],[Verbruik Stand Latte Macchiato Plantaardig deze maand]]+Tabel242567891011[[#This Row],[Verbruik  Cappucino Plantaardig deze maand]]+Tabel242567891011[[#This Row],[Verbruik Cappucino deze maand]]+Tabel242567891011[[#This Row],[Verbruik Hot Water deze maand]]+Tabel242567891011[[#This Row],[Verbruik Coffee Latte deze maand]]+Tabel242567891011[[#This Row],[Verbruik Latte Macchiato deze maand]]+Tabel242567891011[[#This Row],[Verbruik Espresso deze maand]]+Tabel242567891011[[#This Row],[Verbruik Coffee deze maand]]</f>
        <v>1872</v>
      </c>
      <c r="AD59" s="26" t="s">
        <v>159</v>
      </c>
      <c r="AE59" s="26" t="s">
        <v>159</v>
      </c>
      <c r="AF59" s="5"/>
      <c r="AG59" s="7"/>
      <c r="AH59" s="26"/>
      <c r="AI59" s="26"/>
      <c r="AJ59" s="5"/>
      <c r="AK59" s="7"/>
      <c r="AL59" s="26"/>
      <c r="AM59" s="26"/>
      <c r="AN59" s="5"/>
      <c r="AO59" s="7"/>
      <c r="AP59" s="26"/>
      <c r="AQ59" s="26"/>
      <c r="AR59" s="5"/>
      <c r="AS59" s="7"/>
      <c r="AT59" s="26"/>
      <c r="AU59" s="26"/>
      <c r="AV59" s="5"/>
      <c r="AW59" s="21"/>
      <c r="AX59" s="8"/>
      <c r="AY59" s="4">
        <f>Tabel242567891011[[#This Row],[Subtotaal waterbar in consumpties]]+Tabel242567891011[[#This Row],[Subtotaal koffieautomaten]]</f>
        <v>1872</v>
      </c>
    </row>
    <row r="60" spans="1:51" x14ac:dyDescent="0.25">
      <c r="A60" t="s">
        <v>60</v>
      </c>
      <c r="B60" t="s">
        <v>108</v>
      </c>
      <c r="C60" t="s">
        <v>36</v>
      </c>
      <c r="E60" s="42"/>
      <c r="F60" s="42"/>
      <c r="G60" s="43"/>
      <c r="H60" s="42"/>
      <c r="I60" s="42"/>
      <c r="J60" s="43"/>
      <c r="K60" s="42"/>
      <c r="L60" s="42"/>
      <c r="M60" s="43"/>
      <c r="N60" s="42"/>
      <c r="O60" s="42"/>
      <c r="P60" s="43"/>
      <c r="Q60" s="42"/>
      <c r="R60" s="42"/>
      <c r="S60" s="43"/>
      <c r="T60" s="42"/>
      <c r="U60" s="42"/>
      <c r="V60" s="43"/>
      <c r="W60" s="42"/>
      <c r="X60" s="42"/>
      <c r="Y60" s="43"/>
      <c r="Z60" s="42"/>
      <c r="AA60" s="42"/>
      <c r="AB60" s="43"/>
      <c r="AC60" s="43"/>
      <c r="AD60" s="11">
        <v>122.2</v>
      </c>
      <c r="AE60" s="11">
        <v>110.4</v>
      </c>
      <c r="AF60">
        <f>Tabel242567891011[[#This Row],[Stand Kamertemp liter einde maand]]-Tabel242567891011[[#This Row],[Stand Kamertemp liter vorige maand]]</f>
        <v>11.799999999999997</v>
      </c>
      <c r="AG60" s="2">
        <f>Tabel242567891011[[#This Row],[Verbruik Kamertemp liter deze maand]]/0.15</f>
        <v>78.666666666666657</v>
      </c>
      <c r="AH60" s="11">
        <v>521.79999999999995</v>
      </c>
      <c r="AI60" s="11">
        <v>479.1</v>
      </c>
      <c r="AJ60">
        <f>Tabel242567891011[[#This Row],[Stand Gekoeld liter einde maand]]-Tabel242567891011[[#This Row],[Stand Gekoeld liter vorige maand]]</f>
        <v>42.699999999999932</v>
      </c>
      <c r="AK60" s="2">
        <f>Tabel242567891011[[#This Row],[Verbruik Gekoeld liter deze maand]]/0.15</f>
        <v>284.66666666666623</v>
      </c>
      <c r="AL60" s="11">
        <v>371.6</v>
      </c>
      <c r="AM60" s="11">
        <v>339.9</v>
      </c>
      <c r="AN60">
        <f>Tabel242567891011[[#This Row],[Stand Bruisend liter einde maand]]-Tabel242567891011[[#This Row],[Stand Bruisend liter vorige maand]]</f>
        <v>31.700000000000045</v>
      </c>
      <c r="AO60" s="2">
        <f>Tabel242567891011[[#This Row],[Verbruik Bruisend liter deze maand]]/0.15</f>
        <v>211.33333333333366</v>
      </c>
      <c r="AP60" s="11">
        <v>418.3</v>
      </c>
      <c r="AQ60" s="11">
        <v>355.9</v>
      </c>
      <c r="AR60">
        <f>Tabel242567891011[[#This Row],[Stand licht bruisend liter einde maand]]-Tabel242567891011[[#This Row],[Stand licht bruisend liter vorige maand]]</f>
        <v>62.400000000000034</v>
      </c>
      <c r="AS60" s="2">
        <f>Tabel242567891011[[#This Row],[Verbruik licht bruisend liter deze maand]]/0.15</f>
        <v>416.00000000000023</v>
      </c>
      <c r="AT60" s="11">
        <v>1358.1</v>
      </c>
      <c r="AU60" s="11">
        <v>1208.2</v>
      </c>
      <c r="AV60">
        <f>Tabel242567891011[[#This Row],[Stand heet water liter einde maand]]-Tabel242567891011[[#This Row],[Stand heet water liter vorige maand]]</f>
        <v>149.89999999999986</v>
      </c>
      <c r="AW60" s="20">
        <f>Tabel242567891011[[#This Row],[Verbruik heet Water liter deze maand ]]/0.15</f>
        <v>999.33333333333246</v>
      </c>
      <c r="AX60" s="4">
        <f>Tabel242567891011[[#This Row],[Aantal consumpties heet water deze maand]]+Tabel242567891011[[#This Row],[Aantal consumpties licht bruisend water deze maand]]+Tabel242567891011[[#This Row],[aantal consumpties Bruisend water deze maand]]+Tabel242567891011[[#This Row],[Aantal consumpties gekoeld water deze maand]]+Tabel242567891011[[#This Row],[Aantal consumpties Kamertemp deze maand]]</f>
        <v>1989.9999999999993</v>
      </c>
      <c r="AY60" s="4">
        <f>Tabel242567891011[[#This Row],[Subtotaal waterbar in consumpties]]+Tabel242567891011[[#This Row],[Subtotaal koffieautomaten]]</f>
        <v>1989.9999999999993</v>
      </c>
    </row>
    <row r="61" spans="1:51" x14ac:dyDescent="0.25">
      <c r="A61" s="3" t="s">
        <v>109</v>
      </c>
      <c r="F61" s="11"/>
      <c r="H61" s="11"/>
      <c r="I61" s="11"/>
      <c r="J61" s="12"/>
      <c r="K61" s="11"/>
      <c r="L61" s="11"/>
      <c r="O61" s="11"/>
      <c r="R61" s="11"/>
      <c r="U61" s="11"/>
      <c r="X61" s="11"/>
      <c r="AA61" s="11"/>
      <c r="AC61" s="3">
        <f>Tabel242567891011[[#This Row],[Verbruik Stand Latte Macchiato Plantaardig deze maand]]+Tabel242567891011[[#This Row],[Verbruik  Cappucino Plantaardig deze maand]]+Tabel242567891011[[#This Row],[Verbruik Cappucino deze maand]]+Tabel242567891011[[#This Row],[Verbruik Hot Water deze maand]]+Tabel242567891011[[#This Row],[Verbruik Coffee Latte deze maand]]+Tabel242567891011[[#This Row],[Verbruik Latte Macchiato deze maand]]+Tabel242567891011[[#This Row],[Verbruik Espresso deze maand]]+Tabel242567891011[[#This Row],[Verbruik Coffee deze maand]]</f>
        <v>0</v>
      </c>
      <c r="AD61" s="25"/>
      <c r="AE61" s="25"/>
      <c r="AG61" s="2"/>
      <c r="AH61" s="25"/>
      <c r="AI61" s="25"/>
      <c r="AK61" s="2"/>
      <c r="AL61" s="25"/>
      <c r="AM61" s="25"/>
      <c r="AO61" s="2"/>
      <c r="AP61" s="25"/>
      <c r="AQ61" s="25"/>
      <c r="AS61" s="2"/>
      <c r="AT61" s="25"/>
      <c r="AU61" s="25"/>
      <c r="AW61" s="20"/>
      <c r="AX61" s="4"/>
      <c r="AY61" s="4">
        <f>Tabel242567891011[[#This Row],[Subtotaal waterbar in consumpties]]+Tabel242567891011[[#This Row],[Subtotaal koffieautomaten]]</f>
        <v>0</v>
      </c>
    </row>
    <row r="62" spans="1:51" x14ac:dyDescent="0.25">
      <c r="A62">
        <v>1</v>
      </c>
      <c r="B62" t="s">
        <v>110</v>
      </c>
      <c r="C62" t="s">
        <v>31</v>
      </c>
      <c r="E62" s="11">
        <v>4511</v>
      </c>
      <c r="F62" s="11">
        <v>4116</v>
      </c>
      <c r="G62" s="12">
        <f>Tabel242567891011[[#This Row],[Stand Coffee einde maand]]-Tabel242567891011[[#This Row],[Coffee vorige maand]]</f>
        <v>395</v>
      </c>
      <c r="H62" s="11">
        <v>446</v>
      </c>
      <c r="I62" s="11">
        <v>390</v>
      </c>
      <c r="J62" s="12">
        <f>Tabel242567891011[[#This Row],[Stand Espresso Einde maand]]-Tabel242567891011[[#This Row],[Espresso vorige maand]]</f>
        <v>56</v>
      </c>
      <c r="K62" s="11">
        <v>574</v>
      </c>
      <c r="L62" s="11">
        <v>517</v>
      </c>
      <c r="M62">
        <f>Tabel242567891011[[#This Row],[Stand Latte Macchiato einde maand]]-Tabel242567891011[[#This Row],[Latte Macchiato vorige maand]]</f>
        <v>57</v>
      </c>
      <c r="N62" s="11">
        <v>376</v>
      </c>
      <c r="O62" s="11">
        <v>366</v>
      </c>
      <c r="P62">
        <f>Tabel242567891011[[#This Row],[Stand Coffee Latte einde maand]]-Tabel242567891011[[#This Row],[Coffee Latte vorige maand]]</f>
        <v>10</v>
      </c>
      <c r="Q62" s="11">
        <v>2498</v>
      </c>
      <c r="R62" s="11">
        <v>2315</v>
      </c>
      <c r="S62">
        <f>Tabel242567891011[[#This Row],[Stand Hot Water einde maand]]-Tabel242567891011[[#This Row],[Hot Water vorige maand]]</f>
        <v>183</v>
      </c>
      <c r="T62" s="11">
        <v>1231</v>
      </c>
      <c r="U62" s="11">
        <v>1130</v>
      </c>
      <c r="V62">
        <f>Tabel242567891011[[#This Row],[Stand Cappucino einde maand]]-Tabel242567891011[[#This Row],[Stand Cappucino vorige maand]]</f>
        <v>101</v>
      </c>
      <c r="W62" s="11">
        <v>28</v>
      </c>
      <c r="X62" s="11">
        <v>27</v>
      </c>
      <c r="Y62">
        <f>Tabel242567891011[[#This Row],[Stand Cappucino Plantaardig einde maand]]-Tabel242567891011[[#This Row],[Stand Cappucino Plantaardig vorige maand]]</f>
        <v>1</v>
      </c>
      <c r="Z62" s="11">
        <v>159</v>
      </c>
      <c r="AA62" s="11">
        <v>152</v>
      </c>
      <c r="AB62" s="12">
        <f>Tabel242567891011[[#This Row],[Stand Latte Macchiato Plantaardig einde maand]]-Tabel242567891011[[#This Row],[Stand Latte Macchiato Plantaardig vorige maand]]</f>
        <v>7</v>
      </c>
      <c r="AC62" s="3">
        <f>Tabel242567891011[[#This Row],[Verbruik Stand Latte Macchiato Plantaardig deze maand]]+Tabel242567891011[[#This Row],[Verbruik  Cappucino Plantaardig deze maand]]+Tabel242567891011[[#This Row],[Verbruik Cappucino deze maand]]+Tabel242567891011[[#This Row],[Verbruik Hot Water deze maand]]+Tabel242567891011[[#This Row],[Verbruik Coffee Latte deze maand]]+Tabel242567891011[[#This Row],[Verbruik Latte Macchiato deze maand]]+Tabel242567891011[[#This Row],[Verbruik Espresso deze maand]]+Tabel242567891011[[#This Row],[Verbruik Coffee deze maand]]</f>
        <v>810</v>
      </c>
      <c r="AD62" s="26"/>
      <c r="AE62" s="26"/>
      <c r="AF62" s="5"/>
      <c r="AG62" s="5"/>
      <c r="AH62" s="26"/>
      <c r="AI62" s="26"/>
      <c r="AJ62" s="5"/>
      <c r="AK62" s="5"/>
      <c r="AL62" s="26"/>
      <c r="AM62" s="26"/>
      <c r="AN62" s="5"/>
      <c r="AO62" s="5"/>
      <c r="AP62" s="26"/>
      <c r="AQ62" s="26"/>
      <c r="AR62" s="5"/>
      <c r="AS62" s="5"/>
      <c r="AT62" s="26"/>
      <c r="AU62" s="26"/>
      <c r="AV62" s="5"/>
      <c r="AW62" s="21"/>
      <c r="AX62" s="8"/>
      <c r="AY62" s="4">
        <f>Tabel242567891011[[#This Row],[Subtotaal waterbar in consumpties]]+Tabel242567891011[[#This Row],[Subtotaal koffieautomaten]]</f>
        <v>810</v>
      </c>
    </row>
    <row r="63" spans="1:51" x14ac:dyDescent="0.25">
      <c r="A63">
        <v>1</v>
      </c>
      <c r="B63" t="s">
        <v>111</v>
      </c>
      <c r="C63" t="s">
        <v>31</v>
      </c>
      <c r="E63" s="11">
        <v>4527</v>
      </c>
      <c r="F63" s="11">
        <v>4059</v>
      </c>
      <c r="G63" s="12">
        <f>Tabel242567891011[[#This Row],[Stand Coffee einde maand]]-Tabel242567891011[[#This Row],[Coffee vorige maand]]</f>
        <v>468</v>
      </c>
      <c r="H63" s="11">
        <v>229</v>
      </c>
      <c r="I63" s="11">
        <v>218</v>
      </c>
      <c r="J63" s="12">
        <f>Tabel242567891011[[#This Row],[Stand Espresso Einde maand]]-Tabel242567891011[[#This Row],[Espresso vorige maand]]</f>
        <v>11</v>
      </c>
      <c r="K63" s="11">
        <v>1026</v>
      </c>
      <c r="L63" s="11">
        <v>960</v>
      </c>
      <c r="M63">
        <f>Tabel242567891011[[#This Row],[Stand Latte Macchiato einde maand]]-Tabel242567891011[[#This Row],[Latte Macchiato vorige maand]]</f>
        <v>66</v>
      </c>
      <c r="N63" s="11">
        <v>777</v>
      </c>
      <c r="O63" s="11">
        <v>727</v>
      </c>
      <c r="P63">
        <f>Tabel242567891011[[#This Row],[Stand Coffee Latte einde maand]]-Tabel242567891011[[#This Row],[Coffee Latte vorige maand]]</f>
        <v>50</v>
      </c>
      <c r="Q63" s="11">
        <v>3397</v>
      </c>
      <c r="R63" s="11">
        <v>3089</v>
      </c>
      <c r="S63">
        <f>Tabel242567891011[[#This Row],[Stand Hot Water einde maand]]-Tabel242567891011[[#This Row],[Hot Water vorige maand]]</f>
        <v>308</v>
      </c>
      <c r="T63" s="11">
        <v>1097</v>
      </c>
      <c r="U63" s="11">
        <v>982</v>
      </c>
      <c r="V63">
        <f>Tabel242567891011[[#This Row],[Stand Cappucino einde maand]]-Tabel242567891011[[#This Row],[Stand Cappucino vorige maand]]</f>
        <v>115</v>
      </c>
      <c r="W63" s="11">
        <v>122</v>
      </c>
      <c r="X63" s="11">
        <v>109</v>
      </c>
      <c r="Y63">
        <f>Tabel242567891011[[#This Row],[Stand Cappucino Plantaardig einde maand]]-Tabel242567891011[[#This Row],[Stand Cappucino Plantaardig vorige maand]]</f>
        <v>13</v>
      </c>
      <c r="Z63" s="11">
        <v>248</v>
      </c>
      <c r="AA63" s="11">
        <v>243</v>
      </c>
      <c r="AB63" s="12">
        <f>Tabel242567891011[[#This Row],[Stand Latte Macchiato Plantaardig einde maand]]-Tabel242567891011[[#This Row],[Stand Latte Macchiato Plantaardig vorige maand]]</f>
        <v>5</v>
      </c>
      <c r="AC63" s="3">
        <f>Tabel242567891011[[#This Row],[Verbruik Stand Latte Macchiato Plantaardig deze maand]]+Tabel242567891011[[#This Row],[Verbruik  Cappucino Plantaardig deze maand]]+Tabel242567891011[[#This Row],[Verbruik Cappucino deze maand]]+Tabel242567891011[[#This Row],[Verbruik Hot Water deze maand]]+Tabel242567891011[[#This Row],[Verbruik Coffee Latte deze maand]]+Tabel242567891011[[#This Row],[Verbruik Latte Macchiato deze maand]]+Tabel242567891011[[#This Row],[Verbruik Espresso deze maand]]+Tabel242567891011[[#This Row],[Verbruik Coffee deze maand]]</f>
        <v>1036</v>
      </c>
      <c r="AD63" s="26"/>
      <c r="AE63" s="26"/>
      <c r="AF63" s="5"/>
      <c r="AG63" s="5"/>
      <c r="AH63" s="26"/>
      <c r="AI63" s="26"/>
      <c r="AJ63" s="5"/>
      <c r="AK63" s="5"/>
      <c r="AL63" s="26"/>
      <c r="AM63" s="26"/>
      <c r="AN63" s="5"/>
      <c r="AO63" s="5"/>
      <c r="AP63" s="26"/>
      <c r="AQ63" s="26"/>
      <c r="AR63" s="5"/>
      <c r="AS63" s="5"/>
      <c r="AT63" s="26"/>
      <c r="AU63" s="26"/>
      <c r="AV63" s="5"/>
      <c r="AW63" s="21"/>
      <c r="AX63" s="8"/>
      <c r="AY63" s="4">
        <f>Tabel242567891011[[#This Row],[Subtotaal waterbar in consumpties]]+Tabel242567891011[[#This Row],[Subtotaal koffieautomaten]]</f>
        <v>1036</v>
      </c>
    </row>
    <row r="64" spans="1:51" x14ac:dyDescent="0.25">
      <c r="A64" s="3" t="s">
        <v>112</v>
      </c>
      <c r="F64" s="24">
        <f>SUM(E3:E63)</f>
        <v>224535</v>
      </c>
      <c r="G64" s="24">
        <f t="shared" ref="G64" si="0">SUM(G3:G63)</f>
        <v>25991</v>
      </c>
      <c r="H64" s="11"/>
      <c r="I64" s="24">
        <f>SUM(H3:H63)</f>
        <v>55802</v>
      </c>
      <c r="J64" s="24">
        <f t="shared" ref="J64" si="1">SUM(J3:J63)</f>
        <v>6540</v>
      </c>
      <c r="K64" s="11"/>
      <c r="L64" s="24">
        <f>SUM(K3:K63)</f>
        <v>29702</v>
      </c>
      <c r="M64" s="24">
        <f t="shared" ref="M64" si="2">SUM(M3:M63)</f>
        <v>3774</v>
      </c>
      <c r="O64" s="24">
        <f>SUM(N3:N63)</f>
        <v>16364</v>
      </c>
      <c r="P64" s="24">
        <f t="shared" ref="P64" si="3">SUM(P3:P63)</f>
        <v>1820</v>
      </c>
      <c r="R64" s="24">
        <f>SUM(Q3:Q63)</f>
        <v>256641</v>
      </c>
      <c r="S64" s="24">
        <f t="shared" ref="S64" si="4">SUM(S3:S63)</f>
        <v>32565</v>
      </c>
      <c r="U64" s="24">
        <f>SUM(T3:T63)</f>
        <v>129628</v>
      </c>
      <c r="V64" s="24">
        <f t="shared" ref="V64" si="5">SUM(V3:V63)</f>
        <v>15647</v>
      </c>
      <c r="X64" s="24">
        <f>SUM(W3:W63)</f>
        <v>29031</v>
      </c>
      <c r="Y64" s="24">
        <f t="shared" ref="Y64" si="6">SUM(Y3:Y63)</f>
        <v>2868</v>
      </c>
      <c r="AA64" s="24">
        <f>SUM(Z3:Z63)</f>
        <v>10140</v>
      </c>
      <c r="AB64" s="24">
        <f t="shared" ref="AB64" si="7">SUM(AB3:AB63)</f>
        <v>986</v>
      </c>
      <c r="AC64" s="3">
        <f>SUM(AC3:AC63)</f>
        <v>90191</v>
      </c>
      <c r="AD64" s="24">
        <f>SUM(AD3:AD63)</f>
        <v>3608.3</v>
      </c>
      <c r="AE64" s="24">
        <f>SUM(AE3:AE63)</f>
        <v>3170.5</v>
      </c>
      <c r="AF64" s="4">
        <f t="shared" ref="AF64:AW64" si="8">SUM(AF3:AF63)</f>
        <v>437.8</v>
      </c>
      <c r="AG64" s="4">
        <f>SUM(AG3:AG63)</f>
        <v>2918.6666666666665</v>
      </c>
      <c r="AH64" s="23">
        <f t="shared" si="8"/>
        <v>24686.999999999996</v>
      </c>
      <c r="AI64" s="23">
        <f t="shared" si="8"/>
        <v>21612</v>
      </c>
      <c r="AJ64" s="4">
        <f t="shared" si="8"/>
        <v>3075.0000000000005</v>
      </c>
      <c r="AK64" s="4">
        <f t="shared" si="8"/>
        <v>20500.000000000004</v>
      </c>
      <c r="AL64" s="23">
        <f t="shared" si="8"/>
        <v>21952</v>
      </c>
      <c r="AM64" s="23">
        <f t="shared" si="8"/>
        <v>19391.100000000002</v>
      </c>
      <c r="AN64" s="4">
        <f t="shared" si="8"/>
        <v>2560.8999999999996</v>
      </c>
      <c r="AO64" s="4">
        <f t="shared" si="8"/>
        <v>17072.666666666664</v>
      </c>
      <c r="AP64" s="23">
        <f t="shared" si="8"/>
        <v>10117.099999999999</v>
      </c>
      <c r="AQ64" s="23">
        <f t="shared" si="8"/>
        <v>9140.9000000000015</v>
      </c>
      <c r="AR64" s="3">
        <f>SUM(AR4:AR63)</f>
        <v>976.2</v>
      </c>
      <c r="AS64" s="4">
        <f t="shared" si="8"/>
        <v>6508.0000000000009</v>
      </c>
      <c r="AT64" s="23">
        <f t="shared" si="8"/>
        <v>62585.100000000006</v>
      </c>
      <c r="AU64" s="23">
        <f t="shared" si="8"/>
        <v>55084.1</v>
      </c>
      <c r="AV64" s="3">
        <f>SUM(AV4:AV63)</f>
        <v>7500.9999999999982</v>
      </c>
      <c r="AW64" s="22">
        <f t="shared" si="8"/>
        <v>50006.666666666672</v>
      </c>
      <c r="AX64" s="4">
        <f>SUM(AX3:AX63)</f>
        <v>97006.000000000029</v>
      </c>
      <c r="AY64" s="4">
        <f>Tabel242567891011[[#This Row],[Subtotaal waterbar in consumpties]]+Tabel242567891011[[#This Row],[Subtotaal koffieautomaten]]</f>
        <v>187197.00000000003</v>
      </c>
    </row>
    <row r="65" spans="1:52" x14ac:dyDescent="0.25">
      <c r="H65" s="13"/>
      <c r="I65" s="14"/>
      <c r="J65" s="15"/>
      <c r="K65" s="13"/>
      <c r="L65" s="14"/>
      <c r="M65" s="14"/>
      <c r="AQ65" s="11"/>
      <c r="AU65" s="11"/>
      <c r="AX65" s="3"/>
      <c r="AY65" s="3"/>
    </row>
    <row r="67" spans="1:52" x14ac:dyDescent="0.25">
      <c r="AY67" s="2"/>
      <c r="AZ67" s="2"/>
    </row>
    <row r="68" spans="1:52" x14ac:dyDescent="0.25">
      <c r="A68" s="28" t="s">
        <v>160</v>
      </c>
      <c r="AY68" s="2"/>
    </row>
    <row r="71" spans="1:52" x14ac:dyDescent="0.25">
      <c r="AY71" s="2"/>
    </row>
  </sheetData>
  <mergeCells count="3">
    <mergeCell ref="A1:D1"/>
    <mergeCell ref="E1:AC1"/>
    <mergeCell ref="AD1:AY1"/>
  </mergeCells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E88BF-9431-4A0F-A96F-ACFEC54821E0}">
  <dimension ref="A1:AZ71"/>
  <sheetViews>
    <sheetView topLeftCell="A49" workbookViewId="0">
      <pane xSplit="1" topLeftCell="AM1" activePane="topRight" state="frozen"/>
      <selection activeCell="G19" sqref="G19"/>
      <selection pane="topRight" activeCell="G19" sqref="G19"/>
    </sheetView>
  </sheetViews>
  <sheetFormatPr defaultRowHeight="15" x14ac:dyDescent="0.25"/>
  <cols>
    <col min="1" max="1" width="32.140625" bestFit="1" customWidth="1"/>
    <col min="2" max="2" width="21.42578125" bestFit="1" customWidth="1"/>
    <col min="3" max="3" width="25.42578125" bestFit="1" customWidth="1"/>
    <col min="4" max="4" width="18.5703125" customWidth="1"/>
    <col min="5" max="5" width="10.140625" style="11" customWidth="1"/>
    <col min="6" max="6" width="10.42578125" customWidth="1"/>
    <col min="7" max="7" width="10.5703125" style="12" customWidth="1"/>
    <col min="8" max="8" width="11.85546875" customWidth="1"/>
    <col min="9" max="9" width="11.7109375" customWidth="1"/>
    <col min="10" max="10" width="12.42578125" customWidth="1"/>
    <col min="11" max="11" width="17.140625" customWidth="1"/>
    <col min="12" max="12" width="13.5703125" customWidth="1"/>
    <col min="13" max="13" width="13.42578125" bestFit="1" customWidth="1"/>
    <col min="14" max="14" width="14" style="11" customWidth="1"/>
    <col min="15" max="16" width="14" customWidth="1"/>
    <col min="17" max="17" width="14.140625" style="11" customWidth="1"/>
    <col min="18" max="19" width="12.28515625" customWidth="1"/>
    <col min="20" max="20" width="12.42578125" style="11" customWidth="1"/>
    <col min="21" max="22" width="12.42578125" customWidth="1"/>
    <col min="23" max="23" width="17" style="11" customWidth="1"/>
    <col min="24" max="25" width="17" customWidth="1"/>
    <col min="26" max="26" width="20.7109375" style="11" customWidth="1"/>
    <col min="27" max="27" width="20.7109375" customWidth="1"/>
    <col min="28" max="28" width="20.7109375" style="12" customWidth="1"/>
    <col min="29" max="29" width="13.85546875" customWidth="1"/>
    <col min="30" max="30" width="17.5703125" style="11" customWidth="1"/>
    <col min="31" max="32" width="17.5703125" customWidth="1"/>
    <col min="33" max="33" width="20.28515625" customWidth="1"/>
    <col min="34" max="34" width="14.42578125" style="11" customWidth="1"/>
    <col min="35" max="36" width="14.42578125" customWidth="1"/>
    <col min="37" max="37" width="21.28515625" customWidth="1"/>
    <col min="38" max="38" width="15.140625" style="11" customWidth="1"/>
    <col min="39" max="40" width="15.140625" customWidth="1"/>
    <col min="41" max="41" width="21.28515625" customWidth="1"/>
    <col min="42" max="42" width="19.42578125" style="11" customWidth="1"/>
    <col min="43" max="44" width="19.42578125" customWidth="1"/>
    <col min="45" max="45" width="21.28515625" customWidth="1"/>
    <col min="46" max="46" width="17" style="11" customWidth="1"/>
    <col min="47" max="48" width="17" customWidth="1"/>
    <col min="49" max="49" width="21.28515625" style="12" customWidth="1"/>
    <col min="50" max="50" width="20" customWidth="1"/>
    <col min="51" max="51" width="14.140625" customWidth="1"/>
  </cols>
  <sheetData>
    <row r="1" spans="1:51" x14ac:dyDescent="0.25">
      <c r="A1" s="172" t="s">
        <v>0</v>
      </c>
      <c r="B1" s="172"/>
      <c r="C1" s="172"/>
      <c r="D1" s="172"/>
      <c r="E1" s="172" t="s">
        <v>1</v>
      </c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 t="s">
        <v>2</v>
      </c>
      <c r="AE1" s="172"/>
      <c r="AF1" s="172"/>
      <c r="AG1" s="172"/>
      <c r="AH1" s="172"/>
      <c r="AI1" s="172"/>
      <c r="AJ1" s="172"/>
      <c r="AK1" s="172"/>
      <c r="AL1" s="172"/>
      <c r="AM1" s="172"/>
      <c r="AN1" s="172"/>
      <c r="AO1" s="172"/>
      <c r="AP1" s="172"/>
      <c r="AQ1" s="172"/>
      <c r="AR1" s="172"/>
      <c r="AS1" s="172"/>
      <c r="AT1" s="172"/>
      <c r="AU1" s="172"/>
      <c r="AV1" s="172"/>
      <c r="AW1" s="172"/>
      <c r="AX1" s="172"/>
      <c r="AY1" s="172"/>
    </row>
    <row r="2" spans="1:51" ht="60" x14ac:dyDescent="0.25">
      <c r="A2" t="s">
        <v>3</v>
      </c>
      <c r="B2" t="s">
        <v>4</v>
      </c>
      <c r="C2" t="s">
        <v>5</v>
      </c>
      <c r="D2" t="s">
        <v>6</v>
      </c>
      <c r="E2" s="9" t="s">
        <v>113</v>
      </c>
      <c r="F2" s="1" t="s">
        <v>114</v>
      </c>
      <c r="G2" s="10" t="s">
        <v>115</v>
      </c>
      <c r="H2" s="1" t="s">
        <v>116</v>
      </c>
      <c r="I2" s="1" t="s">
        <v>117</v>
      </c>
      <c r="J2" s="1" t="s">
        <v>118</v>
      </c>
      <c r="K2" s="1" t="s">
        <v>119</v>
      </c>
      <c r="L2" s="1" t="s">
        <v>120</v>
      </c>
      <c r="M2" s="1" t="s">
        <v>121</v>
      </c>
      <c r="N2" s="9" t="s">
        <v>122</v>
      </c>
      <c r="O2" s="1" t="s">
        <v>123</v>
      </c>
      <c r="P2" s="1" t="s">
        <v>124</v>
      </c>
      <c r="Q2" s="9" t="s">
        <v>125</v>
      </c>
      <c r="R2" s="1" t="s">
        <v>126</v>
      </c>
      <c r="S2" s="1" t="s">
        <v>127</v>
      </c>
      <c r="T2" s="9" t="s">
        <v>128</v>
      </c>
      <c r="U2" s="1" t="s">
        <v>129</v>
      </c>
      <c r="V2" s="1" t="s">
        <v>130</v>
      </c>
      <c r="W2" s="9" t="s">
        <v>131</v>
      </c>
      <c r="X2" s="1" t="s">
        <v>132</v>
      </c>
      <c r="Y2" s="1" t="s">
        <v>133</v>
      </c>
      <c r="Z2" s="9" t="s">
        <v>134</v>
      </c>
      <c r="AA2" s="1" t="s">
        <v>135</v>
      </c>
      <c r="AB2" s="10" t="s">
        <v>136</v>
      </c>
      <c r="AC2" s="1" t="s">
        <v>15</v>
      </c>
      <c r="AD2" s="9" t="s">
        <v>137</v>
      </c>
      <c r="AE2" s="1" t="s">
        <v>138</v>
      </c>
      <c r="AF2" s="1" t="s">
        <v>139</v>
      </c>
      <c r="AG2" s="1" t="s">
        <v>140</v>
      </c>
      <c r="AH2" s="9" t="s">
        <v>141</v>
      </c>
      <c r="AI2" s="1" t="s">
        <v>142</v>
      </c>
      <c r="AJ2" s="1" t="s">
        <v>143</v>
      </c>
      <c r="AK2" s="1" t="s">
        <v>144</v>
      </c>
      <c r="AL2" s="9" t="s">
        <v>145</v>
      </c>
      <c r="AM2" s="1" t="s">
        <v>146</v>
      </c>
      <c r="AN2" s="1" t="s">
        <v>147</v>
      </c>
      <c r="AO2" s="1" t="s">
        <v>148</v>
      </c>
      <c r="AP2" s="9" t="s">
        <v>149</v>
      </c>
      <c r="AQ2" s="1" t="s">
        <v>150</v>
      </c>
      <c r="AR2" s="1" t="s">
        <v>151</v>
      </c>
      <c r="AS2" s="1" t="s">
        <v>152</v>
      </c>
      <c r="AT2" s="9" t="s">
        <v>153</v>
      </c>
      <c r="AU2" s="1" t="s">
        <v>154</v>
      </c>
      <c r="AV2" s="1" t="s">
        <v>155</v>
      </c>
      <c r="AW2" s="10" t="s">
        <v>156</v>
      </c>
      <c r="AX2" s="1" t="s">
        <v>157</v>
      </c>
      <c r="AY2" t="s">
        <v>27</v>
      </c>
    </row>
    <row r="3" spans="1:51" x14ac:dyDescent="0.25">
      <c r="A3" s="3" t="s">
        <v>28</v>
      </c>
      <c r="E3" s="25"/>
      <c r="H3" s="27"/>
      <c r="I3" s="18"/>
      <c r="J3" s="19"/>
      <c r="K3" s="27"/>
      <c r="L3" s="18"/>
      <c r="M3" s="18"/>
      <c r="N3" s="25"/>
      <c r="Q3" s="25"/>
      <c r="T3" s="25"/>
      <c r="W3" s="25"/>
      <c r="Z3" s="25"/>
      <c r="AC3" s="3"/>
      <c r="AG3" s="2"/>
      <c r="AH3" s="25"/>
      <c r="AK3" s="2"/>
      <c r="AL3" s="25"/>
      <c r="AO3" s="2"/>
      <c r="AP3" s="25"/>
      <c r="AS3" s="2"/>
      <c r="AT3" s="25"/>
      <c r="AW3" s="20"/>
      <c r="AX3" s="4"/>
      <c r="AY3" s="4">
        <f>Tabel24256789101112[[#This Row],[Subtotaal waterbar in consumpties]]+Tabel24256789101112[[#This Row],[Subtotaal koffieautomaten]]</f>
        <v>0</v>
      </c>
    </row>
    <row r="4" spans="1:51" x14ac:dyDescent="0.25">
      <c r="A4" t="s">
        <v>29</v>
      </c>
      <c r="B4" t="s">
        <v>30</v>
      </c>
      <c r="C4" t="s">
        <v>31</v>
      </c>
      <c r="E4" s="11">
        <v>2069</v>
      </c>
      <c r="F4" s="11">
        <v>1802</v>
      </c>
      <c r="G4" s="12">
        <f>Tabel24256789101112[[#This Row],[Stand Coffee einde maand]]-Tabel24256789101112[[#This Row],[Coffee vorige maand]]</f>
        <v>267</v>
      </c>
      <c r="H4" s="11">
        <v>832</v>
      </c>
      <c r="I4" s="11">
        <v>742</v>
      </c>
      <c r="J4" s="12">
        <f>Tabel24256789101112[[#This Row],[Stand Espresso Einde maand]]-Tabel24256789101112[[#This Row],[Espresso vorige maand]]</f>
        <v>90</v>
      </c>
      <c r="K4" s="11">
        <v>836</v>
      </c>
      <c r="L4" s="11">
        <v>752</v>
      </c>
      <c r="M4">
        <f>Tabel24256789101112[[#This Row],[Stand Latte Macchiato einde maand]]-Tabel24256789101112[[#This Row],[Latte Macchiato vorige maand]]</f>
        <v>84</v>
      </c>
      <c r="N4" s="11">
        <v>691</v>
      </c>
      <c r="O4" s="11">
        <v>657</v>
      </c>
      <c r="P4">
        <f>Tabel24256789101112[[#This Row],[Stand Coffee Latte einde maand]]-Tabel24256789101112[[#This Row],[Coffee Latte vorige maand]]</f>
        <v>34</v>
      </c>
      <c r="Q4" s="11">
        <v>3126</v>
      </c>
      <c r="R4" s="11">
        <v>2808</v>
      </c>
      <c r="S4">
        <f>Tabel24256789101112[[#This Row],[Stand Hot Water einde maand]]-Tabel24256789101112[[#This Row],[Hot Water vorige maand]]</f>
        <v>318</v>
      </c>
      <c r="T4" s="11">
        <v>3113</v>
      </c>
      <c r="U4" s="11">
        <v>2842</v>
      </c>
      <c r="V4">
        <f>Tabel24256789101112[[#This Row],[Stand Cappucino einde maand]]-Tabel24256789101112[[#This Row],[Stand Cappucino vorige maand]]</f>
        <v>271</v>
      </c>
      <c r="W4" s="11">
        <v>91</v>
      </c>
      <c r="X4" s="11">
        <v>87</v>
      </c>
      <c r="Y4">
        <f>Tabel24256789101112[[#This Row],[Stand Cappucino Plantaardig einde maand]]-Tabel24256789101112[[#This Row],[Stand Cappucino Plantaardig vorige maand]]</f>
        <v>4</v>
      </c>
      <c r="Z4" s="11">
        <v>88</v>
      </c>
      <c r="AA4" s="11">
        <v>82</v>
      </c>
      <c r="AB4" s="12">
        <f>Tabel24256789101112[[#This Row],[Stand Latte Macchiato Plantaardig einde maand]]-Tabel24256789101112[[#This Row],[Stand Latte Macchiato Plantaardig vorige maand]]</f>
        <v>6</v>
      </c>
      <c r="AC4" s="3">
        <f>Tabel24256789101112[[#This Row],[Verbruik Stand Latte Macchiato Plantaardig deze maand]]+Tabel24256789101112[[#This Row],[Verbruik  Cappucino Plantaardig deze maand]]+Tabel24256789101112[[#This Row],[Verbruik Cappucino deze maand]]+Tabel24256789101112[[#This Row],[Verbruik Hot Water deze maand]]+Tabel24256789101112[[#This Row],[Verbruik Coffee Latte deze maand]]+Tabel24256789101112[[#This Row],[Verbruik Latte Macchiato deze maand]]+Tabel24256789101112[[#This Row],[Verbruik Espresso deze maand]]+Tabel24256789101112[[#This Row],[Verbruik Coffee deze maand]]</f>
        <v>1074</v>
      </c>
      <c r="AD4" s="26"/>
      <c r="AE4" s="26"/>
      <c r="AF4" s="5"/>
      <c r="AG4" s="5"/>
      <c r="AH4" s="26"/>
      <c r="AI4" s="26"/>
      <c r="AJ4" s="5"/>
      <c r="AK4" s="5"/>
      <c r="AL4" s="26"/>
      <c r="AM4" s="26"/>
      <c r="AN4" s="5"/>
      <c r="AO4" s="5"/>
      <c r="AP4" s="26"/>
      <c r="AQ4" s="26"/>
      <c r="AR4" s="5"/>
      <c r="AS4" s="5"/>
      <c r="AT4" s="26"/>
      <c r="AU4" s="26"/>
      <c r="AV4" s="5"/>
      <c r="AW4" s="21"/>
      <c r="AX4" s="8"/>
      <c r="AY4" s="4">
        <f>Tabel24256789101112[[#This Row],[Subtotaal waterbar in consumpties]]+Tabel24256789101112[[#This Row],[Subtotaal koffieautomaten]]</f>
        <v>1074</v>
      </c>
    </row>
    <row r="5" spans="1:51" x14ac:dyDescent="0.25">
      <c r="A5" t="s">
        <v>32</v>
      </c>
      <c r="B5" t="s">
        <v>33</v>
      </c>
      <c r="C5" t="s">
        <v>31</v>
      </c>
      <c r="E5" s="11">
        <v>4265</v>
      </c>
      <c r="F5" s="11">
        <v>3752</v>
      </c>
      <c r="G5" s="12">
        <f>Tabel24256789101112[[#This Row],[Stand Coffee einde maand]]-Tabel24256789101112[[#This Row],[Coffee vorige maand]]</f>
        <v>513</v>
      </c>
      <c r="H5" s="11">
        <v>1407</v>
      </c>
      <c r="I5" s="11">
        <v>1178</v>
      </c>
      <c r="J5" s="12">
        <f>Tabel24256789101112[[#This Row],[Stand Espresso Einde maand]]-Tabel24256789101112[[#This Row],[Espresso vorige maand]]</f>
        <v>229</v>
      </c>
      <c r="K5" s="11">
        <v>981</v>
      </c>
      <c r="L5" s="11">
        <v>895</v>
      </c>
      <c r="M5">
        <f>Tabel24256789101112[[#This Row],[Stand Latte Macchiato einde maand]]-Tabel24256789101112[[#This Row],[Latte Macchiato vorige maand]]</f>
        <v>86</v>
      </c>
      <c r="N5" s="11">
        <v>1083</v>
      </c>
      <c r="O5" s="11">
        <v>979</v>
      </c>
      <c r="P5">
        <f>Tabel24256789101112[[#This Row],[Stand Coffee Latte einde maand]]-Tabel24256789101112[[#This Row],[Coffee Latte vorige maand]]</f>
        <v>104</v>
      </c>
      <c r="Q5" s="11">
        <v>9812</v>
      </c>
      <c r="R5" s="11">
        <v>8589</v>
      </c>
      <c r="S5">
        <f>Tabel24256789101112[[#This Row],[Stand Hot Water einde maand]]-Tabel24256789101112[[#This Row],[Hot Water vorige maand]]</f>
        <v>1223</v>
      </c>
      <c r="T5" s="11">
        <v>5509</v>
      </c>
      <c r="U5" s="11">
        <v>4986</v>
      </c>
      <c r="V5">
        <f>Tabel24256789101112[[#This Row],[Stand Cappucino einde maand]]-Tabel24256789101112[[#This Row],[Stand Cappucino vorige maand]]</f>
        <v>523</v>
      </c>
      <c r="W5" s="11">
        <v>729</v>
      </c>
      <c r="X5" s="11">
        <v>661</v>
      </c>
      <c r="Y5">
        <f>Tabel24256789101112[[#This Row],[Stand Cappucino Plantaardig einde maand]]-Tabel24256789101112[[#This Row],[Stand Cappucino Plantaardig vorige maand]]</f>
        <v>68</v>
      </c>
      <c r="Z5" s="11">
        <v>401</v>
      </c>
      <c r="AA5" s="11">
        <v>390</v>
      </c>
      <c r="AB5" s="12">
        <f>Tabel24256789101112[[#This Row],[Stand Latte Macchiato Plantaardig einde maand]]-Tabel24256789101112[[#This Row],[Stand Latte Macchiato Plantaardig vorige maand]]</f>
        <v>11</v>
      </c>
      <c r="AC5" s="3">
        <f>Tabel24256789101112[[#This Row],[Verbruik Stand Latte Macchiato Plantaardig deze maand]]+Tabel24256789101112[[#This Row],[Verbruik  Cappucino Plantaardig deze maand]]+Tabel24256789101112[[#This Row],[Verbruik Cappucino deze maand]]+Tabel24256789101112[[#This Row],[Verbruik Hot Water deze maand]]+Tabel24256789101112[[#This Row],[Verbruik Coffee Latte deze maand]]+Tabel24256789101112[[#This Row],[Verbruik Latte Macchiato deze maand]]+Tabel24256789101112[[#This Row],[Verbruik Espresso deze maand]]+Tabel24256789101112[[#This Row],[Verbruik Coffee deze maand]]</f>
        <v>2757</v>
      </c>
      <c r="AD5" s="26"/>
      <c r="AE5" s="26"/>
      <c r="AF5" s="5"/>
      <c r="AG5" s="5"/>
      <c r="AH5" s="26"/>
      <c r="AI5" s="26"/>
      <c r="AJ5" s="5"/>
      <c r="AK5" s="5"/>
      <c r="AL5" s="26"/>
      <c r="AM5" s="26"/>
      <c r="AN5" s="5"/>
      <c r="AO5" s="5"/>
      <c r="AP5" s="26"/>
      <c r="AQ5" s="26"/>
      <c r="AR5" s="5"/>
      <c r="AS5" s="5"/>
      <c r="AT5" s="26"/>
      <c r="AU5" s="26"/>
      <c r="AV5" s="5"/>
      <c r="AW5" s="21"/>
      <c r="AX5" s="8"/>
      <c r="AY5" s="4">
        <f>Tabel24256789101112[[#This Row],[Subtotaal waterbar in consumpties]]+Tabel24256789101112[[#This Row],[Subtotaal koffieautomaten]]</f>
        <v>2757</v>
      </c>
    </row>
    <row r="6" spans="1:51" x14ac:dyDescent="0.25">
      <c r="A6" t="s">
        <v>34</v>
      </c>
      <c r="B6" t="s">
        <v>35</v>
      </c>
      <c r="C6" t="s">
        <v>47</v>
      </c>
      <c r="E6" s="11">
        <v>2937</v>
      </c>
      <c r="F6" s="11">
        <v>2493</v>
      </c>
      <c r="G6" s="12">
        <f>Tabel24256789101112[[#This Row],[Stand Coffee einde maand]]-Tabel24256789101112[[#This Row],[Coffee vorige maand]]</f>
        <v>444</v>
      </c>
      <c r="H6" s="11">
        <v>516</v>
      </c>
      <c r="I6" s="11">
        <v>430</v>
      </c>
      <c r="J6" s="12">
        <f>Tabel24256789101112[[#This Row],[Stand Espresso Einde maand]]-Tabel24256789101112[[#This Row],[Espresso vorige maand]]</f>
        <v>86</v>
      </c>
      <c r="K6" s="11">
        <v>641</v>
      </c>
      <c r="L6" s="11">
        <v>522</v>
      </c>
      <c r="M6">
        <f>Tabel24256789101112[[#This Row],[Stand Latte Macchiato einde maand]]-Tabel24256789101112[[#This Row],[Latte Macchiato vorige maand]]</f>
        <v>119</v>
      </c>
      <c r="N6" s="11">
        <v>544</v>
      </c>
      <c r="O6" s="11">
        <v>460</v>
      </c>
      <c r="P6">
        <f>Tabel24256789101112[[#This Row],[Stand Coffee Latte einde maand]]-Tabel24256789101112[[#This Row],[Coffee Latte vorige maand]]</f>
        <v>84</v>
      </c>
      <c r="Q6" s="11">
        <v>3350</v>
      </c>
      <c r="R6" s="11">
        <v>2759</v>
      </c>
      <c r="S6">
        <f>Tabel24256789101112[[#This Row],[Stand Hot Water einde maand]]-Tabel24256789101112[[#This Row],[Hot Water vorige maand]]</f>
        <v>591</v>
      </c>
      <c r="T6" s="11">
        <v>4094</v>
      </c>
      <c r="U6" s="11">
        <v>3415</v>
      </c>
      <c r="V6">
        <f>Tabel24256789101112[[#This Row],[Stand Cappucino einde maand]]-Tabel24256789101112[[#This Row],[Stand Cappucino vorige maand]]</f>
        <v>679</v>
      </c>
      <c r="W6" s="11">
        <v>367</v>
      </c>
      <c r="X6" s="11">
        <v>290</v>
      </c>
      <c r="Y6">
        <f>Tabel24256789101112[[#This Row],[Stand Cappucino Plantaardig einde maand]]-Tabel24256789101112[[#This Row],[Stand Cappucino Plantaardig vorige maand]]</f>
        <v>77</v>
      </c>
      <c r="Z6" s="11">
        <v>182</v>
      </c>
      <c r="AA6" s="11">
        <v>159</v>
      </c>
      <c r="AB6" s="12">
        <f>Tabel24256789101112[[#This Row],[Stand Latte Macchiato Plantaardig einde maand]]-Tabel24256789101112[[#This Row],[Stand Latte Macchiato Plantaardig vorige maand]]</f>
        <v>23</v>
      </c>
      <c r="AC6" s="3">
        <f>Tabel24256789101112[[#This Row],[Verbruik Stand Latte Macchiato Plantaardig deze maand]]+Tabel24256789101112[[#This Row],[Verbruik  Cappucino Plantaardig deze maand]]+Tabel24256789101112[[#This Row],[Verbruik Cappucino deze maand]]+Tabel24256789101112[[#This Row],[Verbruik Hot Water deze maand]]+Tabel24256789101112[[#This Row],[Verbruik Coffee Latte deze maand]]+Tabel24256789101112[[#This Row],[Verbruik Latte Macchiato deze maand]]+Tabel24256789101112[[#This Row],[Verbruik Espresso deze maand]]+Tabel24256789101112[[#This Row],[Verbruik Coffee deze maand]]</f>
        <v>2103</v>
      </c>
      <c r="AD6" s="11">
        <v>173</v>
      </c>
      <c r="AE6" s="11">
        <v>153</v>
      </c>
      <c r="AF6">
        <f>Tabel24256789101112[[#This Row],[Stand Kamertemp liter einde maand]]-Tabel24256789101112[[#This Row],[Stand Kamertemp liter vorige maand]]</f>
        <v>20</v>
      </c>
      <c r="AG6" s="2">
        <f>Tabel24256789101112[[#This Row],[Verbruik Kamertemp liter deze maand]]/0.15</f>
        <v>133.33333333333334</v>
      </c>
      <c r="AH6" s="11">
        <v>1524</v>
      </c>
      <c r="AI6" s="11">
        <v>1399.4</v>
      </c>
      <c r="AJ6">
        <f>Tabel24256789101112[[#This Row],[Stand Gekoeld liter einde maand]]-Tabel24256789101112[[#This Row],[Stand Gekoeld liter vorige maand]]</f>
        <v>124.59999999999991</v>
      </c>
      <c r="AK6" s="2">
        <f>Tabel24256789101112[[#This Row],[Verbruik Gekoeld liter deze maand]]/0.15</f>
        <v>830.66666666666606</v>
      </c>
      <c r="AL6" s="11">
        <v>925.6</v>
      </c>
      <c r="AM6" s="11">
        <v>834.7</v>
      </c>
      <c r="AN6">
        <f>Tabel24256789101112[[#This Row],[Stand Bruisend liter einde maand]]-Tabel24256789101112[[#This Row],[Stand Bruisend liter vorige maand]]</f>
        <v>90.899999999999977</v>
      </c>
      <c r="AO6" s="2">
        <f>Tabel24256789101112[[#This Row],[Verbruik Bruisend liter deze maand]]/0.15</f>
        <v>605.99999999999989</v>
      </c>
      <c r="AP6" s="11">
        <v>331.4</v>
      </c>
      <c r="AQ6" s="11">
        <v>301.39999999999998</v>
      </c>
      <c r="AR6">
        <f>Tabel24256789101112[[#This Row],[Stand licht bruisend liter einde maand]]-Tabel24256789101112[[#This Row],[Stand licht bruisend liter vorige maand]]</f>
        <v>30</v>
      </c>
      <c r="AS6" s="2">
        <f>Tabel24256789101112[[#This Row],[Verbruik licht bruisend liter deze maand]]/0.15</f>
        <v>200</v>
      </c>
      <c r="AT6" s="11">
        <v>1493.6</v>
      </c>
      <c r="AU6" s="11">
        <v>1293.3</v>
      </c>
      <c r="AV6">
        <f>Tabel24256789101112[[#This Row],[Stand heet water liter einde maand]]-Tabel24256789101112[[#This Row],[Stand heet water liter vorige maand]]</f>
        <v>200.29999999999995</v>
      </c>
      <c r="AW6" s="20">
        <f>Tabel24256789101112[[#This Row],[Verbruik heet Water liter deze maand ]]/0.15</f>
        <v>1335.333333333333</v>
      </c>
      <c r="AX6" s="4">
        <f>Tabel24256789101112[[#This Row],[Aantal consumpties heet water deze maand]]+Tabel24256789101112[[#This Row],[Aantal consumpties licht bruisend water deze maand]]+Tabel24256789101112[[#This Row],[aantal consumpties Bruisend water deze maand]]+Tabel24256789101112[[#This Row],[Aantal consumpties gekoeld water deze maand]]+Tabel24256789101112[[#This Row],[Aantal consumpties Kamertemp deze maand]]</f>
        <v>3105.3333333333326</v>
      </c>
      <c r="AY6" s="4">
        <f>Tabel24256789101112[[#This Row],[Subtotaal waterbar in consumpties]]+Tabel24256789101112[[#This Row],[Subtotaal koffieautomaten]]</f>
        <v>5208.3333333333321</v>
      </c>
    </row>
    <row r="7" spans="1:51" x14ac:dyDescent="0.25">
      <c r="A7" t="s">
        <v>37</v>
      </c>
      <c r="B7" t="s">
        <v>38</v>
      </c>
      <c r="C7" t="s">
        <v>31</v>
      </c>
      <c r="E7" s="11">
        <v>6809</v>
      </c>
      <c r="F7" s="11">
        <v>5743</v>
      </c>
      <c r="G7" s="12">
        <f>Tabel24256789101112[[#This Row],[Stand Coffee einde maand]]-Tabel24256789101112[[#This Row],[Coffee vorige maand]]</f>
        <v>1066</v>
      </c>
      <c r="H7" s="11">
        <v>1624</v>
      </c>
      <c r="I7" s="11">
        <v>1452</v>
      </c>
      <c r="J7" s="12">
        <f>Tabel24256789101112[[#This Row],[Stand Espresso Einde maand]]-Tabel24256789101112[[#This Row],[Espresso vorige maand]]</f>
        <v>172</v>
      </c>
      <c r="K7" s="11">
        <v>758</v>
      </c>
      <c r="L7" s="11">
        <v>625</v>
      </c>
      <c r="M7">
        <f>Tabel24256789101112[[#This Row],[Stand Latte Macchiato einde maand]]-Tabel24256789101112[[#This Row],[Latte Macchiato vorige maand]]</f>
        <v>133</v>
      </c>
      <c r="N7" s="11">
        <v>583</v>
      </c>
      <c r="O7" s="11">
        <v>478</v>
      </c>
      <c r="P7">
        <f>Tabel24256789101112[[#This Row],[Stand Coffee Latte einde maand]]-Tabel24256789101112[[#This Row],[Coffee Latte vorige maand]]</f>
        <v>105</v>
      </c>
      <c r="Q7" s="11">
        <v>10754</v>
      </c>
      <c r="R7" s="11">
        <v>9020</v>
      </c>
      <c r="S7">
        <f>Tabel24256789101112[[#This Row],[Stand Hot Water einde maand]]-Tabel24256789101112[[#This Row],[Hot Water vorige maand]]</f>
        <v>1734</v>
      </c>
      <c r="T7" s="11">
        <v>4282</v>
      </c>
      <c r="U7" s="11">
        <v>3811</v>
      </c>
      <c r="V7">
        <f>Tabel24256789101112[[#This Row],[Stand Cappucino einde maand]]-Tabel24256789101112[[#This Row],[Stand Cappucino vorige maand]]</f>
        <v>471</v>
      </c>
      <c r="W7" s="11">
        <v>257</v>
      </c>
      <c r="X7" s="11">
        <v>229</v>
      </c>
      <c r="Y7">
        <f>Tabel24256789101112[[#This Row],[Stand Cappucino Plantaardig einde maand]]-Tabel24256789101112[[#This Row],[Stand Cappucino Plantaardig vorige maand]]</f>
        <v>28</v>
      </c>
      <c r="Z7" s="11">
        <v>147</v>
      </c>
      <c r="AA7" s="11">
        <v>126</v>
      </c>
      <c r="AB7" s="12">
        <f>Tabel24256789101112[[#This Row],[Stand Latte Macchiato Plantaardig einde maand]]-Tabel24256789101112[[#This Row],[Stand Latte Macchiato Plantaardig vorige maand]]</f>
        <v>21</v>
      </c>
      <c r="AC7" s="3">
        <f>Tabel24256789101112[[#This Row],[Verbruik Stand Latte Macchiato Plantaardig deze maand]]+Tabel24256789101112[[#This Row],[Verbruik  Cappucino Plantaardig deze maand]]+Tabel24256789101112[[#This Row],[Verbruik Cappucino deze maand]]+Tabel24256789101112[[#This Row],[Verbruik Hot Water deze maand]]+Tabel24256789101112[[#This Row],[Verbruik Coffee Latte deze maand]]+Tabel24256789101112[[#This Row],[Verbruik Latte Macchiato deze maand]]+Tabel24256789101112[[#This Row],[Verbruik Espresso deze maand]]+Tabel24256789101112[[#This Row],[Verbruik Coffee deze maand]]</f>
        <v>3730</v>
      </c>
      <c r="AD7" s="26"/>
      <c r="AE7" s="26"/>
      <c r="AF7" s="5"/>
      <c r="AG7" s="5"/>
      <c r="AH7" s="26"/>
      <c r="AI7" s="26"/>
      <c r="AJ7" s="5"/>
      <c r="AK7" s="5"/>
      <c r="AL7" s="26"/>
      <c r="AM7" s="26"/>
      <c r="AN7" s="5"/>
      <c r="AO7" s="5"/>
      <c r="AP7" s="26"/>
      <c r="AQ7" s="26"/>
      <c r="AR7" s="5"/>
      <c r="AS7" s="5"/>
      <c r="AT7" s="26"/>
      <c r="AU7" s="26"/>
      <c r="AV7" s="5"/>
      <c r="AW7" s="21"/>
      <c r="AX7" s="8"/>
      <c r="AY7" s="4">
        <f>Tabel24256789101112[[#This Row],[Subtotaal waterbar in consumpties]]+Tabel24256789101112[[#This Row],[Subtotaal koffieautomaten]]</f>
        <v>3730</v>
      </c>
    </row>
    <row r="8" spans="1:51" x14ac:dyDescent="0.25">
      <c r="A8" t="s">
        <v>39</v>
      </c>
      <c r="B8" t="s">
        <v>40</v>
      </c>
      <c r="C8" t="s">
        <v>31</v>
      </c>
      <c r="E8" s="11">
        <v>8699</v>
      </c>
      <c r="F8" s="11">
        <v>7650</v>
      </c>
      <c r="G8" s="12">
        <f>Tabel24256789101112[[#This Row],[Stand Coffee einde maand]]-Tabel24256789101112[[#This Row],[Coffee vorige maand]]</f>
        <v>1049</v>
      </c>
      <c r="H8" s="11">
        <v>1949</v>
      </c>
      <c r="I8" s="11">
        <v>1844</v>
      </c>
      <c r="J8" s="12">
        <f>Tabel24256789101112[[#This Row],[Stand Espresso Einde maand]]-Tabel24256789101112[[#This Row],[Espresso vorige maand]]</f>
        <v>105</v>
      </c>
      <c r="K8" s="11">
        <v>1313</v>
      </c>
      <c r="L8" s="11">
        <v>1156</v>
      </c>
      <c r="M8">
        <f>Tabel24256789101112[[#This Row],[Stand Latte Macchiato einde maand]]-Tabel24256789101112[[#This Row],[Latte Macchiato vorige maand]]</f>
        <v>157</v>
      </c>
      <c r="N8" s="11">
        <v>830</v>
      </c>
      <c r="O8" s="11">
        <v>696</v>
      </c>
      <c r="P8">
        <f>Tabel24256789101112[[#This Row],[Stand Coffee Latte einde maand]]-Tabel24256789101112[[#This Row],[Coffee Latte vorige maand]]</f>
        <v>134</v>
      </c>
      <c r="Q8" s="11">
        <v>12295</v>
      </c>
      <c r="R8" s="11">
        <v>10668</v>
      </c>
      <c r="S8">
        <f>Tabel24256789101112[[#This Row],[Stand Hot Water einde maand]]-Tabel24256789101112[[#This Row],[Hot Water vorige maand]]</f>
        <v>1627</v>
      </c>
      <c r="T8" s="11">
        <v>6353</v>
      </c>
      <c r="U8" s="11">
        <v>5526</v>
      </c>
      <c r="V8">
        <f>Tabel24256789101112[[#This Row],[Stand Cappucino einde maand]]-Tabel24256789101112[[#This Row],[Stand Cappucino vorige maand]]</f>
        <v>827</v>
      </c>
      <c r="W8" s="11">
        <v>566</v>
      </c>
      <c r="X8" s="11">
        <v>558</v>
      </c>
      <c r="Y8">
        <f>Tabel24256789101112[[#This Row],[Stand Cappucino Plantaardig einde maand]]-Tabel24256789101112[[#This Row],[Stand Cappucino Plantaardig vorige maand]]</f>
        <v>8</v>
      </c>
      <c r="Z8" s="11">
        <v>85</v>
      </c>
      <c r="AA8" s="11">
        <v>71</v>
      </c>
      <c r="AB8" s="12">
        <f>Tabel24256789101112[[#This Row],[Stand Latte Macchiato Plantaardig einde maand]]-Tabel24256789101112[[#This Row],[Stand Latte Macchiato Plantaardig vorige maand]]</f>
        <v>14</v>
      </c>
      <c r="AC8" s="3">
        <f>Tabel24256789101112[[#This Row],[Verbruik Stand Latte Macchiato Plantaardig deze maand]]+Tabel24256789101112[[#This Row],[Verbruik  Cappucino Plantaardig deze maand]]+Tabel24256789101112[[#This Row],[Verbruik Cappucino deze maand]]+Tabel24256789101112[[#This Row],[Verbruik Hot Water deze maand]]+Tabel24256789101112[[#This Row],[Verbruik Coffee Latte deze maand]]+Tabel24256789101112[[#This Row],[Verbruik Latte Macchiato deze maand]]+Tabel24256789101112[[#This Row],[Verbruik Espresso deze maand]]+Tabel24256789101112[[#This Row],[Verbruik Coffee deze maand]]</f>
        <v>3921</v>
      </c>
      <c r="AD8" s="26"/>
      <c r="AE8" s="26"/>
      <c r="AF8" s="5"/>
      <c r="AG8" s="5"/>
      <c r="AH8" s="26"/>
      <c r="AI8" s="26"/>
      <c r="AJ8" s="5"/>
      <c r="AK8" s="5"/>
      <c r="AL8" s="26"/>
      <c r="AM8" s="26"/>
      <c r="AN8" s="5"/>
      <c r="AO8" s="5"/>
      <c r="AP8" s="26"/>
      <c r="AQ8" s="26"/>
      <c r="AR8" s="5"/>
      <c r="AS8" s="5"/>
      <c r="AT8" s="26"/>
      <c r="AU8" s="26"/>
      <c r="AV8" s="5"/>
      <c r="AW8" s="21"/>
      <c r="AX8" s="8"/>
      <c r="AY8" s="4">
        <f>Tabel24256789101112[[#This Row],[Subtotaal waterbar in consumpties]]+Tabel24256789101112[[#This Row],[Subtotaal koffieautomaten]]</f>
        <v>3921</v>
      </c>
    </row>
    <row r="9" spans="1:51" x14ac:dyDescent="0.25">
      <c r="A9" t="s">
        <v>41</v>
      </c>
      <c r="B9" t="s">
        <v>42</v>
      </c>
      <c r="C9" t="s">
        <v>31</v>
      </c>
      <c r="E9" s="11">
        <v>4070</v>
      </c>
      <c r="F9" s="11">
        <v>3679</v>
      </c>
      <c r="G9" s="12">
        <f>Tabel24256789101112[[#This Row],[Stand Coffee einde maand]]-Tabel24256789101112[[#This Row],[Coffee vorige maand]]</f>
        <v>391</v>
      </c>
      <c r="H9" s="11">
        <v>1087</v>
      </c>
      <c r="I9" s="11">
        <v>993</v>
      </c>
      <c r="J9" s="12">
        <f>Tabel24256789101112[[#This Row],[Stand Espresso Einde maand]]-Tabel24256789101112[[#This Row],[Espresso vorige maand]]</f>
        <v>94</v>
      </c>
      <c r="K9" s="11">
        <v>1257</v>
      </c>
      <c r="L9" s="11">
        <v>1154</v>
      </c>
      <c r="M9">
        <f>Tabel24256789101112[[#This Row],[Stand Latte Macchiato einde maand]]-Tabel24256789101112[[#This Row],[Latte Macchiato vorige maand]]</f>
        <v>103</v>
      </c>
      <c r="N9" s="11">
        <v>615</v>
      </c>
      <c r="O9" s="11">
        <v>586</v>
      </c>
      <c r="P9">
        <f>Tabel24256789101112[[#This Row],[Stand Coffee Latte einde maand]]-Tabel24256789101112[[#This Row],[Coffee Latte vorige maand]]</f>
        <v>29</v>
      </c>
      <c r="Q9" s="11">
        <v>12763</v>
      </c>
      <c r="R9" s="11">
        <v>11511</v>
      </c>
      <c r="S9">
        <f>Tabel24256789101112[[#This Row],[Stand Hot Water einde maand]]-Tabel24256789101112[[#This Row],[Hot Water vorige maand]]</f>
        <v>1252</v>
      </c>
      <c r="T9" s="11">
        <v>2852</v>
      </c>
      <c r="U9" s="11">
        <v>2530</v>
      </c>
      <c r="V9">
        <f>Tabel24256789101112[[#This Row],[Stand Cappucino einde maand]]-Tabel24256789101112[[#This Row],[Stand Cappucino vorige maand]]</f>
        <v>322</v>
      </c>
      <c r="W9" s="11">
        <v>738</v>
      </c>
      <c r="X9" s="11">
        <v>699</v>
      </c>
      <c r="Y9">
        <f>Tabel24256789101112[[#This Row],[Stand Cappucino Plantaardig einde maand]]-Tabel24256789101112[[#This Row],[Stand Cappucino Plantaardig vorige maand]]</f>
        <v>39</v>
      </c>
      <c r="Z9" s="11">
        <v>320</v>
      </c>
      <c r="AA9" s="11">
        <v>284</v>
      </c>
      <c r="AB9" s="12">
        <f>Tabel24256789101112[[#This Row],[Stand Latte Macchiato Plantaardig einde maand]]-Tabel24256789101112[[#This Row],[Stand Latte Macchiato Plantaardig vorige maand]]</f>
        <v>36</v>
      </c>
      <c r="AC9" s="3">
        <f>Tabel24256789101112[[#This Row],[Verbruik Stand Latte Macchiato Plantaardig deze maand]]+Tabel24256789101112[[#This Row],[Verbruik  Cappucino Plantaardig deze maand]]+Tabel24256789101112[[#This Row],[Verbruik Cappucino deze maand]]+Tabel24256789101112[[#This Row],[Verbruik Hot Water deze maand]]+Tabel24256789101112[[#This Row],[Verbruik Coffee Latte deze maand]]+Tabel24256789101112[[#This Row],[Verbruik Latte Macchiato deze maand]]+Tabel24256789101112[[#This Row],[Verbruik Espresso deze maand]]+Tabel24256789101112[[#This Row],[Verbruik Coffee deze maand]]</f>
        <v>2266</v>
      </c>
      <c r="AD9" s="26"/>
      <c r="AE9" s="26"/>
      <c r="AF9" s="5"/>
      <c r="AG9" s="5"/>
      <c r="AH9" s="26"/>
      <c r="AI9" s="26"/>
      <c r="AJ9" s="5"/>
      <c r="AK9" s="5"/>
      <c r="AL9" s="26"/>
      <c r="AM9" s="26"/>
      <c r="AN9" s="5"/>
      <c r="AO9" s="5"/>
      <c r="AP9" s="26"/>
      <c r="AQ9" s="26"/>
      <c r="AR9" s="5"/>
      <c r="AS9" s="5"/>
      <c r="AT9" s="26"/>
      <c r="AU9" s="26"/>
      <c r="AV9" s="5"/>
      <c r="AW9" s="21"/>
      <c r="AX9" s="8"/>
      <c r="AY9" s="4">
        <f>Tabel24256789101112[[#This Row],[Subtotaal waterbar in consumpties]]+Tabel24256789101112[[#This Row],[Subtotaal koffieautomaten]]</f>
        <v>2266</v>
      </c>
    </row>
    <row r="10" spans="1:51" x14ac:dyDescent="0.25">
      <c r="A10" t="s">
        <v>43</v>
      </c>
      <c r="B10" t="s">
        <v>44</v>
      </c>
      <c r="C10" t="s">
        <v>31</v>
      </c>
      <c r="E10" s="11">
        <v>5885</v>
      </c>
      <c r="F10" s="11">
        <v>5257</v>
      </c>
      <c r="G10" s="12">
        <f>Tabel24256789101112[[#This Row],[Stand Coffee einde maand]]-Tabel24256789101112[[#This Row],[Coffee vorige maand]]</f>
        <v>628</v>
      </c>
      <c r="H10" s="11">
        <v>1150</v>
      </c>
      <c r="I10" s="11">
        <v>1056</v>
      </c>
      <c r="J10" s="12">
        <f>Tabel24256789101112[[#This Row],[Stand Espresso Einde maand]]-Tabel24256789101112[[#This Row],[Espresso vorige maand]]</f>
        <v>94</v>
      </c>
      <c r="K10" s="11">
        <v>495</v>
      </c>
      <c r="L10" s="11">
        <v>476</v>
      </c>
      <c r="M10">
        <f>Tabel24256789101112[[#This Row],[Stand Latte Macchiato einde maand]]-Tabel24256789101112[[#This Row],[Latte Macchiato vorige maand]]</f>
        <v>19</v>
      </c>
      <c r="N10" s="11">
        <v>484</v>
      </c>
      <c r="O10" s="11">
        <v>414</v>
      </c>
      <c r="P10">
        <f>Tabel24256789101112[[#This Row],[Stand Coffee Latte einde maand]]-Tabel24256789101112[[#This Row],[Coffee Latte vorige maand]]</f>
        <v>70</v>
      </c>
      <c r="Q10" s="11">
        <v>10178</v>
      </c>
      <c r="R10" s="11">
        <v>8854</v>
      </c>
      <c r="S10">
        <f>Tabel24256789101112[[#This Row],[Stand Hot Water einde maand]]-Tabel24256789101112[[#This Row],[Hot Water vorige maand]]</f>
        <v>1324</v>
      </c>
      <c r="T10" s="11">
        <v>3189</v>
      </c>
      <c r="U10" s="11">
        <v>2795</v>
      </c>
      <c r="V10">
        <f>Tabel24256789101112[[#This Row],[Stand Cappucino einde maand]]-Tabel24256789101112[[#This Row],[Stand Cappucino vorige maand]]</f>
        <v>394</v>
      </c>
      <c r="W10" s="11">
        <v>911</v>
      </c>
      <c r="X10" s="11">
        <v>849</v>
      </c>
      <c r="Y10">
        <f>Tabel24256789101112[[#This Row],[Stand Cappucino Plantaardig einde maand]]-Tabel24256789101112[[#This Row],[Stand Cappucino Plantaardig vorige maand]]</f>
        <v>62</v>
      </c>
      <c r="Z10" s="11">
        <v>552</v>
      </c>
      <c r="AA10" s="11">
        <v>497</v>
      </c>
      <c r="AB10" s="12">
        <f>Tabel24256789101112[[#This Row],[Stand Latte Macchiato Plantaardig einde maand]]-Tabel24256789101112[[#This Row],[Stand Latte Macchiato Plantaardig vorige maand]]</f>
        <v>55</v>
      </c>
      <c r="AC10" s="3">
        <f>Tabel24256789101112[[#This Row],[Verbruik Stand Latte Macchiato Plantaardig deze maand]]+Tabel24256789101112[[#This Row],[Verbruik  Cappucino Plantaardig deze maand]]+Tabel24256789101112[[#This Row],[Verbruik Cappucino deze maand]]+Tabel24256789101112[[#This Row],[Verbruik Hot Water deze maand]]+Tabel24256789101112[[#This Row],[Verbruik Coffee Latte deze maand]]+Tabel24256789101112[[#This Row],[Verbruik Latte Macchiato deze maand]]+Tabel24256789101112[[#This Row],[Verbruik Espresso deze maand]]+Tabel24256789101112[[#This Row],[Verbruik Coffee deze maand]]</f>
        <v>2646</v>
      </c>
      <c r="AD10" s="26"/>
      <c r="AE10" s="26"/>
      <c r="AF10" s="5"/>
      <c r="AG10" s="7"/>
      <c r="AH10" s="26"/>
      <c r="AI10" s="26"/>
      <c r="AJ10" s="5"/>
      <c r="AK10" s="5"/>
      <c r="AL10" s="26"/>
      <c r="AM10" s="26"/>
      <c r="AN10" s="5"/>
      <c r="AO10" s="5"/>
      <c r="AP10" s="26"/>
      <c r="AQ10" s="26"/>
      <c r="AR10" s="5"/>
      <c r="AS10" s="5"/>
      <c r="AT10" s="26"/>
      <c r="AU10" s="26"/>
      <c r="AV10" s="5"/>
      <c r="AW10" s="21"/>
      <c r="AX10" s="8"/>
      <c r="AY10" s="4">
        <f>Tabel24256789101112[[#This Row],[Subtotaal waterbar in consumpties]]+Tabel24256789101112[[#This Row],[Subtotaal koffieautomaten]]</f>
        <v>2646</v>
      </c>
    </row>
    <row r="11" spans="1:51" x14ac:dyDescent="0.25">
      <c r="A11" t="s">
        <v>45</v>
      </c>
      <c r="B11" t="s">
        <v>46</v>
      </c>
      <c r="C11" t="s">
        <v>47</v>
      </c>
      <c r="E11" s="11">
        <v>9330</v>
      </c>
      <c r="F11" s="11">
        <v>8379</v>
      </c>
      <c r="G11" s="12">
        <f>Tabel24256789101112[[#This Row],[Stand Coffee einde maand]]-Tabel24256789101112[[#This Row],[Coffee vorige maand]]</f>
        <v>951</v>
      </c>
      <c r="H11" s="11">
        <v>921</v>
      </c>
      <c r="I11" s="11">
        <v>819</v>
      </c>
      <c r="J11" s="12">
        <f>Tabel24256789101112[[#This Row],[Stand Espresso Einde maand]]-Tabel24256789101112[[#This Row],[Espresso vorige maand]]</f>
        <v>102</v>
      </c>
      <c r="K11" s="11">
        <v>669</v>
      </c>
      <c r="L11" s="11">
        <v>601</v>
      </c>
      <c r="M11">
        <f>Tabel24256789101112[[#This Row],[Stand Latte Macchiato einde maand]]-Tabel24256789101112[[#This Row],[Latte Macchiato vorige maand]]</f>
        <v>68</v>
      </c>
      <c r="N11" s="11">
        <v>669</v>
      </c>
      <c r="O11" s="11">
        <v>325</v>
      </c>
      <c r="P11">
        <f>Tabel24256789101112[[#This Row],[Stand Coffee Latte einde maand]]-Tabel24256789101112[[#This Row],[Coffee Latte vorige maand]]</f>
        <v>344</v>
      </c>
      <c r="Q11" s="11">
        <v>1</v>
      </c>
      <c r="R11" s="11">
        <v>1</v>
      </c>
      <c r="S11">
        <f>Tabel24256789101112[[#This Row],[Stand Hot Water einde maand]]-Tabel24256789101112[[#This Row],[Hot Water vorige maand]]</f>
        <v>0</v>
      </c>
      <c r="T11" s="11">
        <v>3114</v>
      </c>
      <c r="U11" s="11">
        <v>2788</v>
      </c>
      <c r="V11">
        <f>Tabel24256789101112[[#This Row],[Stand Cappucino einde maand]]-Tabel24256789101112[[#This Row],[Stand Cappucino vorige maand]]</f>
        <v>326</v>
      </c>
      <c r="W11" s="11">
        <v>1434</v>
      </c>
      <c r="X11" s="11">
        <v>1254</v>
      </c>
      <c r="Y11">
        <f>Tabel24256789101112[[#This Row],[Stand Cappucino Plantaardig einde maand]]-Tabel24256789101112[[#This Row],[Stand Cappucino Plantaardig vorige maand]]</f>
        <v>180</v>
      </c>
      <c r="Z11" s="11">
        <v>434</v>
      </c>
      <c r="AA11" s="11">
        <v>434</v>
      </c>
      <c r="AB11" s="12">
        <f>Tabel24256789101112[[#This Row],[Stand Latte Macchiato Plantaardig einde maand]]-Tabel24256789101112[[#This Row],[Stand Latte Macchiato Plantaardig vorige maand]]</f>
        <v>0</v>
      </c>
      <c r="AC11" s="3">
        <f>Tabel24256789101112[[#This Row],[Verbruik Stand Latte Macchiato Plantaardig deze maand]]+Tabel24256789101112[[#This Row],[Verbruik  Cappucino Plantaardig deze maand]]+Tabel24256789101112[[#This Row],[Verbruik Cappucino deze maand]]+Tabel24256789101112[[#This Row],[Verbruik Hot Water deze maand]]+Tabel24256789101112[[#This Row],[Verbruik Coffee Latte deze maand]]+Tabel24256789101112[[#This Row],[Verbruik Latte Macchiato deze maand]]+Tabel24256789101112[[#This Row],[Verbruik Espresso deze maand]]+Tabel24256789101112[[#This Row],[Verbruik Coffee deze maand]]</f>
        <v>1971</v>
      </c>
      <c r="AD11" s="11">
        <v>279.89999999999998</v>
      </c>
      <c r="AE11" s="11">
        <v>255.2</v>
      </c>
      <c r="AF11">
        <f>Tabel24256789101112[[#This Row],[Stand Kamertemp liter einde maand]]-Tabel24256789101112[[#This Row],[Stand Kamertemp liter vorige maand]]</f>
        <v>24.699999999999989</v>
      </c>
      <c r="AG11" s="2">
        <f>Tabel24256789101112[[#This Row],[Verbruik Kamertemp liter deze maand]]/0.15</f>
        <v>164.6666666666666</v>
      </c>
      <c r="AH11" s="11">
        <v>1812.7</v>
      </c>
      <c r="AI11" s="11">
        <v>1640.1</v>
      </c>
      <c r="AJ11">
        <f>Tabel24256789101112[[#This Row],[Stand Gekoeld liter einde maand]]-Tabel24256789101112[[#This Row],[Stand Gekoeld liter vorige maand]]</f>
        <v>172.60000000000014</v>
      </c>
      <c r="AK11" s="2">
        <f>Tabel24256789101112[[#This Row],[Verbruik Gekoeld liter deze maand]]/0.15</f>
        <v>1150.6666666666677</v>
      </c>
      <c r="AL11" s="11">
        <v>1599</v>
      </c>
      <c r="AM11" s="11">
        <v>1488.5</v>
      </c>
      <c r="AN11">
        <f>Tabel24256789101112[[#This Row],[Stand Bruisend liter einde maand]]-Tabel24256789101112[[#This Row],[Stand Bruisend liter vorige maand]]</f>
        <v>110.5</v>
      </c>
      <c r="AO11" s="2">
        <f>Tabel24256789101112[[#This Row],[Verbruik Bruisend liter deze maand]]/0.15</f>
        <v>736.66666666666674</v>
      </c>
      <c r="AP11" s="11">
        <v>681.5</v>
      </c>
      <c r="AQ11" s="11">
        <v>622.4</v>
      </c>
      <c r="AR11">
        <f>Tabel24256789101112[[#This Row],[Stand licht bruisend liter einde maand]]-Tabel24256789101112[[#This Row],[Stand licht bruisend liter vorige maand]]</f>
        <v>59.100000000000023</v>
      </c>
      <c r="AS11" s="2">
        <f>Tabel24256789101112[[#This Row],[Verbruik licht bruisend liter deze maand]]/0.15</f>
        <v>394.00000000000017</v>
      </c>
      <c r="AT11" s="11">
        <v>4176</v>
      </c>
      <c r="AU11" s="11">
        <v>3677.1</v>
      </c>
      <c r="AV11">
        <f>Tabel24256789101112[[#This Row],[Stand heet water liter einde maand]]-Tabel24256789101112[[#This Row],[Stand heet water liter vorige maand]]</f>
        <v>498.90000000000009</v>
      </c>
      <c r="AW11" s="20">
        <f>Tabel24256789101112[[#This Row],[Verbruik heet Water liter deze maand ]]/0.15</f>
        <v>3326.0000000000009</v>
      </c>
      <c r="AX11" s="4">
        <f>Tabel24256789101112[[#This Row],[Aantal consumpties heet water deze maand]]+Tabel24256789101112[[#This Row],[Aantal consumpties licht bruisend water deze maand]]+Tabel24256789101112[[#This Row],[aantal consumpties Bruisend water deze maand]]+Tabel24256789101112[[#This Row],[Aantal consumpties gekoeld water deze maand]]+Tabel24256789101112[[#This Row],[Aantal consumpties Kamertemp deze maand]]</f>
        <v>5772.0000000000027</v>
      </c>
      <c r="AY11" s="4">
        <f>Tabel24256789101112[[#This Row],[Subtotaal waterbar in consumpties]]+Tabel24256789101112[[#This Row],[Subtotaal koffieautomaten]]</f>
        <v>7743.0000000000027</v>
      </c>
    </row>
    <row r="12" spans="1:51" x14ac:dyDescent="0.25">
      <c r="A12" t="s">
        <v>48</v>
      </c>
      <c r="B12" t="s">
        <v>49</v>
      </c>
      <c r="C12" t="s">
        <v>31</v>
      </c>
      <c r="E12" s="11">
        <v>9662</v>
      </c>
      <c r="F12" s="11">
        <v>8671</v>
      </c>
      <c r="G12" s="12">
        <f>Tabel24256789101112[[#This Row],[Stand Coffee einde maand]]-Tabel24256789101112[[#This Row],[Coffee vorige maand]]</f>
        <v>991</v>
      </c>
      <c r="H12" s="11">
        <v>2797</v>
      </c>
      <c r="I12" s="11">
        <v>2521</v>
      </c>
      <c r="J12" s="12">
        <f>Tabel24256789101112[[#This Row],[Stand Espresso Einde maand]]-Tabel24256789101112[[#This Row],[Espresso vorige maand]]</f>
        <v>276</v>
      </c>
      <c r="K12" s="11">
        <v>837</v>
      </c>
      <c r="L12" s="11">
        <v>731</v>
      </c>
      <c r="M12">
        <f>Tabel24256789101112[[#This Row],[Stand Latte Macchiato einde maand]]-Tabel24256789101112[[#This Row],[Latte Macchiato vorige maand]]</f>
        <v>106</v>
      </c>
      <c r="N12" s="11">
        <v>140</v>
      </c>
      <c r="O12" s="11">
        <v>124</v>
      </c>
      <c r="P12">
        <f>Tabel24256789101112[[#This Row],[Stand Coffee Latte einde maand]]-Tabel24256789101112[[#This Row],[Coffee Latte vorige maand]]</f>
        <v>16</v>
      </c>
      <c r="Q12" s="11">
        <v>23279</v>
      </c>
      <c r="R12" s="11">
        <v>20458</v>
      </c>
      <c r="S12">
        <f>Tabel24256789101112[[#This Row],[Stand Hot Water einde maand]]-Tabel24256789101112[[#This Row],[Hot Water vorige maand]]</f>
        <v>2821</v>
      </c>
      <c r="T12" s="11">
        <v>4439</v>
      </c>
      <c r="U12" s="11">
        <v>3865</v>
      </c>
      <c r="V12">
        <f>Tabel24256789101112[[#This Row],[Stand Cappucino einde maand]]-Tabel24256789101112[[#This Row],[Stand Cappucino vorige maand]]</f>
        <v>574</v>
      </c>
      <c r="W12" s="11">
        <v>1255</v>
      </c>
      <c r="X12" s="11">
        <v>1152</v>
      </c>
      <c r="Y12">
        <f>Tabel24256789101112[[#This Row],[Stand Cappucino Plantaardig einde maand]]-Tabel24256789101112[[#This Row],[Stand Cappucino Plantaardig vorige maand]]</f>
        <v>103</v>
      </c>
      <c r="Z12" s="11">
        <v>302</v>
      </c>
      <c r="AA12" s="11">
        <v>283</v>
      </c>
      <c r="AB12" s="12">
        <f>Tabel24256789101112[[#This Row],[Stand Latte Macchiato Plantaardig einde maand]]-Tabel24256789101112[[#This Row],[Stand Latte Macchiato Plantaardig vorige maand]]</f>
        <v>19</v>
      </c>
      <c r="AC12" s="3">
        <f>Tabel24256789101112[[#This Row],[Verbruik Stand Latte Macchiato Plantaardig deze maand]]+Tabel24256789101112[[#This Row],[Verbruik  Cappucino Plantaardig deze maand]]+Tabel24256789101112[[#This Row],[Verbruik Cappucino deze maand]]+Tabel24256789101112[[#This Row],[Verbruik Hot Water deze maand]]+Tabel24256789101112[[#This Row],[Verbruik Coffee Latte deze maand]]+Tabel24256789101112[[#This Row],[Verbruik Latte Macchiato deze maand]]+Tabel24256789101112[[#This Row],[Verbruik Espresso deze maand]]+Tabel24256789101112[[#This Row],[Verbruik Coffee deze maand]]</f>
        <v>4906</v>
      </c>
      <c r="AD12" s="26"/>
      <c r="AE12" s="26"/>
      <c r="AF12" s="5"/>
      <c r="AG12" s="7"/>
      <c r="AH12" s="26"/>
      <c r="AI12" s="26"/>
      <c r="AJ12" s="5"/>
      <c r="AK12" s="7"/>
      <c r="AL12" s="26"/>
      <c r="AM12" s="26"/>
      <c r="AN12" s="5"/>
      <c r="AO12" s="5"/>
      <c r="AP12" s="26"/>
      <c r="AQ12" s="26"/>
      <c r="AR12" s="5"/>
      <c r="AS12" s="7"/>
      <c r="AT12" s="26"/>
      <c r="AU12" s="26"/>
      <c r="AV12" s="5"/>
      <c r="AW12" s="21"/>
      <c r="AX12" s="8"/>
      <c r="AY12" s="4">
        <f>Tabel24256789101112[[#This Row],[Subtotaal waterbar in consumpties]]+Tabel24256789101112[[#This Row],[Subtotaal koffieautomaten]]</f>
        <v>4906</v>
      </c>
    </row>
    <row r="13" spans="1:51" x14ac:dyDescent="0.25">
      <c r="A13" t="s">
        <v>50</v>
      </c>
      <c r="B13" t="s">
        <v>51</v>
      </c>
      <c r="C13" t="s">
        <v>47</v>
      </c>
      <c r="E13" s="11">
        <v>7290</v>
      </c>
      <c r="F13" s="11">
        <v>6663</v>
      </c>
      <c r="G13" s="12">
        <f>Tabel24256789101112[[#This Row],[Stand Coffee einde maand]]-Tabel24256789101112[[#This Row],[Coffee vorige maand]]</f>
        <v>627</v>
      </c>
      <c r="H13" s="11">
        <v>1646</v>
      </c>
      <c r="I13" s="11">
        <v>1492</v>
      </c>
      <c r="J13" s="12">
        <f>Tabel24256789101112[[#This Row],[Stand Espresso Einde maand]]-Tabel24256789101112[[#This Row],[Espresso vorige maand]]</f>
        <v>154</v>
      </c>
      <c r="K13" s="11">
        <v>910</v>
      </c>
      <c r="L13" s="11">
        <v>827</v>
      </c>
      <c r="M13">
        <f>Tabel24256789101112[[#This Row],[Stand Latte Macchiato einde maand]]-Tabel24256789101112[[#This Row],[Latte Macchiato vorige maand]]</f>
        <v>83</v>
      </c>
      <c r="N13" s="11">
        <v>836</v>
      </c>
      <c r="O13" s="11">
        <v>739</v>
      </c>
      <c r="P13">
        <f>Tabel24256789101112[[#This Row],[Stand Coffee Latte einde maand]]-Tabel24256789101112[[#This Row],[Coffee Latte vorige maand]]</f>
        <v>97</v>
      </c>
      <c r="Q13" s="11">
        <v>1</v>
      </c>
      <c r="R13" s="11">
        <v>1</v>
      </c>
      <c r="S13">
        <f>Tabel24256789101112[[#This Row],[Stand Hot Water einde maand]]-Tabel24256789101112[[#This Row],[Hot Water vorige maand]]</f>
        <v>0</v>
      </c>
      <c r="T13" s="11">
        <v>3457</v>
      </c>
      <c r="U13" s="11">
        <v>3061</v>
      </c>
      <c r="V13">
        <f>Tabel24256789101112[[#This Row],[Stand Cappucino einde maand]]-Tabel24256789101112[[#This Row],[Stand Cappucino vorige maand]]</f>
        <v>396</v>
      </c>
      <c r="W13" s="11">
        <v>905</v>
      </c>
      <c r="X13" s="11">
        <v>884</v>
      </c>
      <c r="Y13">
        <f>Tabel24256789101112[[#This Row],[Stand Cappucino Plantaardig einde maand]]-Tabel24256789101112[[#This Row],[Stand Cappucino Plantaardig vorige maand]]</f>
        <v>21</v>
      </c>
      <c r="Z13" s="11">
        <v>304</v>
      </c>
      <c r="AA13" s="11">
        <v>266</v>
      </c>
      <c r="AB13" s="12">
        <f>Tabel24256789101112[[#This Row],[Stand Latte Macchiato Plantaardig einde maand]]-Tabel24256789101112[[#This Row],[Stand Latte Macchiato Plantaardig vorige maand]]</f>
        <v>38</v>
      </c>
      <c r="AC13" s="3">
        <f>Tabel24256789101112[[#This Row],[Verbruik Stand Latte Macchiato Plantaardig deze maand]]+Tabel24256789101112[[#This Row],[Verbruik  Cappucino Plantaardig deze maand]]+Tabel24256789101112[[#This Row],[Verbruik Cappucino deze maand]]+Tabel24256789101112[[#This Row],[Verbruik Hot Water deze maand]]+Tabel24256789101112[[#This Row],[Verbruik Coffee Latte deze maand]]+Tabel24256789101112[[#This Row],[Verbruik Latte Macchiato deze maand]]+Tabel24256789101112[[#This Row],[Verbruik Espresso deze maand]]+Tabel24256789101112[[#This Row],[Verbruik Coffee deze maand]]</f>
        <v>1416</v>
      </c>
      <c r="AD13" s="11">
        <v>206</v>
      </c>
      <c r="AE13" s="11">
        <v>188.1</v>
      </c>
      <c r="AF13">
        <f>Tabel24256789101112[[#This Row],[Stand Kamertemp liter einde maand]]-Tabel24256789101112[[#This Row],[Stand Kamertemp liter vorige maand]]</f>
        <v>17.900000000000006</v>
      </c>
      <c r="AG13" s="2">
        <f>Tabel24256789101112[[#This Row],[Verbruik Kamertemp liter deze maand]]/0.15</f>
        <v>119.33333333333337</v>
      </c>
      <c r="AH13" s="11">
        <v>2079.1999999999998</v>
      </c>
      <c r="AI13" s="11">
        <v>1881.7</v>
      </c>
      <c r="AJ13">
        <f>Tabel24256789101112[[#This Row],[Stand Gekoeld liter einde maand]]-Tabel24256789101112[[#This Row],[Stand Gekoeld liter vorige maand]]</f>
        <v>197.49999999999977</v>
      </c>
      <c r="AK13" s="2">
        <f>Tabel24256789101112[[#This Row],[Verbruik Gekoeld liter deze maand]]/0.15</f>
        <v>1316.6666666666652</v>
      </c>
      <c r="AL13" s="11">
        <v>1451</v>
      </c>
      <c r="AM13" s="11">
        <v>1347.7</v>
      </c>
      <c r="AN13">
        <f>Tabel24256789101112[[#This Row],[Stand Bruisend liter einde maand]]-Tabel24256789101112[[#This Row],[Stand Bruisend liter vorige maand]]</f>
        <v>103.29999999999995</v>
      </c>
      <c r="AO13" s="2">
        <f>Tabel24256789101112[[#This Row],[Verbruik Bruisend liter deze maand]]/0.15</f>
        <v>688.6666666666664</v>
      </c>
      <c r="AP13" s="11">
        <v>1132.7</v>
      </c>
      <c r="AQ13" s="11">
        <v>1028.3</v>
      </c>
      <c r="AR13">
        <f>Tabel24256789101112[[#This Row],[Stand licht bruisend liter einde maand]]-Tabel24256789101112[[#This Row],[Stand licht bruisend liter vorige maand]]</f>
        <v>104.40000000000009</v>
      </c>
      <c r="AS13" s="2">
        <f>Tabel24256789101112[[#This Row],[Verbruik licht bruisend liter deze maand]]/0.15</f>
        <v>696.00000000000068</v>
      </c>
      <c r="AT13" s="11">
        <v>4924.2</v>
      </c>
      <c r="AU13" s="11">
        <v>4322.1000000000004</v>
      </c>
      <c r="AV13">
        <f>Tabel24256789101112[[#This Row],[Stand heet water liter einde maand]]-Tabel24256789101112[[#This Row],[Stand heet water liter vorige maand]]</f>
        <v>602.09999999999945</v>
      </c>
      <c r="AW13" s="20">
        <f>Tabel24256789101112[[#This Row],[Verbruik heet Water liter deze maand ]]/0.15</f>
        <v>4013.9999999999964</v>
      </c>
      <c r="AX13" s="4">
        <f>Tabel24256789101112[[#This Row],[Aantal consumpties heet water deze maand]]+Tabel24256789101112[[#This Row],[Aantal consumpties licht bruisend water deze maand]]+Tabel24256789101112[[#This Row],[aantal consumpties Bruisend water deze maand]]+Tabel24256789101112[[#This Row],[Aantal consumpties gekoeld water deze maand]]+Tabel24256789101112[[#This Row],[Aantal consumpties Kamertemp deze maand]]</f>
        <v>6834.6666666666615</v>
      </c>
      <c r="AY13" s="4">
        <f>Tabel24256789101112[[#This Row],[Subtotaal waterbar in consumpties]]+Tabel24256789101112[[#This Row],[Subtotaal koffieautomaten]]</f>
        <v>8250.6666666666606</v>
      </c>
    </row>
    <row r="14" spans="1:51" x14ac:dyDescent="0.25">
      <c r="A14" t="s">
        <v>52</v>
      </c>
      <c r="B14" t="s">
        <v>53</v>
      </c>
      <c r="C14" t="s">
        <v>31</v>
      </c>
      <c r="E14" s="11">
        <v>7445</v>
      </c>
      <c r="F14" s="11">
        <v>6723</v>
      </c>
      <c r="G14" s="12">
        <f>Tabel24256789101112[[#This Row],[Stand Coffee einde maand]]-Tabel24256789101112[[#This Row],[Coffee vorige maand]]</f>
        <v>722</v>
      </c>
      <c r="H14" s="11">
        <v>1981</v>
      </c>
      <c r="I14" s="11">
        <v>1767</v>
      </c>
      <c r="J14" s="12">
        <f>Tabel24256789101112[[#This Row],[Stand Espresso Einde maand]]-Tabel24256789101112[[#This Row],[Espresso vorige maand]]</f>
        <v>214</v>
      </c>
      <c r="K14" s="11">
        <v>521</v>
      </c>
      <c r="L14" s="11">
        <v>444</v>
      </c>
      <c r="M14">
        <f>Tabel24256789101112[[#This Row],[Stand Latte Macchiato einde maand]]-Tabel24256789101112[[#This Row],[Latte Macchiato vorige maand]]</f>
        <v>77</v>
      </c>
      <c r="N14" s="11">
        <v>406</v>
      </c>
      <c r="O14" s="11">
        <v>367</v>
      </c>
      <c r="P14">
        <f>Tabel24256789101112[[#This Row],[Stand Coffee Latte einde maand]]-Tabel24256789101112[[#This Row],[Coffee Latte vorige maand]]</f>
        <v>39</v>
      </c>
      <c r="Q14" s="11">
        <v>11106</v>
      </c>
      <c r="R14" s="11">
        <v>10283</v>
      </c>
      <c r="S14">
        <f>Tabel24256789101112[[#This Row],[Stand Hot Water einde maand]]-Tabel24256789101112[[#This Row],[Hot Water vorige maand]]</f>
        <v>823</v>
      </c>
      <c r="T14" s="11">
        <v>3473</v>
      </c>
      <c r="U14" s="11">
        <v>3169</v>
      </c>
      <c r="V14">
        <f>Tabel24256789101112[[#This Row],[Stand Cappucino einde maand]]-Tabel24256789101112[[#This Row],[Stand Cappucino vorige maand]]</f>
        <v>304</v>
      </c>
      <c r="W14" s="11">
        <v>997</v>
      </c>
      <c r="X14" s="11">
        <v>894</v>
      </c>
      <c r="Y14">
        <f>Tabel24256789101112[[#This Row],[Stand Cappucino Plantaardig einde maand]]-Tabel24256789101112[[#This Row],[Stand Cappucino Plantaardig vorige maand]]</f>
        <v>103</v>
      </c>
      <c r="Z14" s="11">
        <v>234</v>
      </c>
      <c r="AA14" s="11">
        <v>215</v>
      </c>
      <c r="AB14" s="12">
        <f>Tabel24256789101112[[#This Row],[Stand Latte Macchiato Plantaardig einde maand]]-Tabel24256789101112[[#This Row],[Stand Latte Macchiato Plantaardig vorige maand]]</f>
        <v>19</v>
      </c>
      <c r="AC14" s="3">
        <f>Tabel24256789101112[[#This Row],[Verbruik Stand Latte Macchiato Plantaardig deze maand]]+Tabel24256789101112[[#This Row],[Verbruik  Cappucino Plantaardig deze maand]]+Tabel24256789101112[[#This Row],[Verbruik Cappucino deze maand]]+Tabel24256789101112[[#This Row],[Verbruik Hot Water deze maand]]+Tabel24256789101112[[#This Row],[Verbruik Coffee Latte deze maand]]+Tabel24256789101112[[#This Row],[Verbruik Latte Macchiato deze maand]]+Tabel24256789101112[[#This Row],[Verbruik Espresso deze maand]]+Tabel24256789101112[[#This Row],[Verbruik Coffee deze maand]]</f>
        <v>2301</v>
      </c>
      <c r="AD14" s="26"/>
      <c r="AE14" s="26"/>
      <c r="AF14" s="5"/>
      <c r="AG14" s="7"/>
      <c r="AH14" s="26"/>
      <c r="AI14" s="26"/>
      <c r="AJ14" s="5"/>
      <c r="AK14" s="7"/>
      <c r="AL14" s="26"/>
      <c r="AM14" s="26"/>
      <c r="AN14" s="5"/>
      <c r="AO14" s="5"/>
      <c r="AP14" s="26"/>
      <c r="AQ14" s="26"/>
      <c r="AR14" s="5"/>
      <c r="AS14" s="7"/>
      <c r="AT14" s="26"/>
      <c r="AU14" s="26"/>
      <c r="AV14" s="5"/>
      <c r="AW14" s="21"/>
      <c r="AX14" s="8"/>
      <c r="AY14" s="4">
        <f>Tabel24256789101112[[#This Row],[Subtotaal waterbar in consumpties]]+Tabel24256789101112[[#This Row],[Subtotaal koffieautomaten]]</f>
        <v>2301</v>
      </c>
    </row>
    <row r="15" spans="1:51" x14ac:dyDescent="0.25">
      <c r="A15" t="s">
        <v>54</v>
      </c>
      <c r="B15" t="s">
        <v>55</v>
      </c>
      <c r="C15" t="s">
        <v>36</v>
      </c>
      <c r="E15" s="42"/>
      <c r="F15" s="42"/>
      <c r="G15" s="43"/>
      <c r="H15" s="42"/>
      <c r="I15" s="42"/>
      <c r="J15" s="43"/>
      <c r="K15" s="42"/>
      <c r="L15" s="42"/>
      <c r="M15" s="43"/>
      <c r="N15" s="42"/>
      <c r="O15" s="42"/>
      <c r="P15" s="43"/>
      <c r="Q15" s="42"/>
      <c r="R15" s="42"/>
      <c r="S15" s="43"/>
      <c r="T15" s="42"/>
      <c r="U15" s="42"/>
      <c r="V15" s="43"/>
      <c r="W15" s="42"/>
      <c r="X15" s="42"/>
      <c r="Y15" s="43"/>
      <c r="Z15" s="42"/>
      <c r="AA15" s="42"/>
      <c r="AB15" s="43"/>
      <c r="AC15" s="43"/>
      <c r="AD15" s="11">
        <v>165.9</v>
      </c>
      <c r="AE15" s="11">
        <v>141</v>
      </c>
      <c r="AF15">
        <f>Tabel24256789101112[[#This Row],[Stand Kamertemp liter einde maand]]-Tabel24256789101112[[#This Row],[Stand Kamertemp liter vorige maand]]</f>
        <v>24.900000000000006</v>
      </c>
      <c r="AG15" s="2">
        <f>Tabel24256789101112[[#This Row],[Verbruik Kamertemp liter deze maand]]/0.15</f>
        <v>166.00000000000006</v>
      </c>
      <c r="AH15" s="25">
        <v>903.2</v>
      </c>
      <c r="AI15" s="25">
        <v>834.8</v>
      </c>
      <c r="AJ15">
        <f>Tabel24256789101112[[#This Row],[Stand Gekoeld liter einde maand]]-Tabel24256789101112[[#This Row],[Stand Gekoeld liter vorige maand]]</f>
        <v>68.400000000000091</v>
      </c>
      <c r="AK15" s="2">
        <f>Tabel24256789101112[[#This Row],[Verbruik Gekoeld liter deze maand]]/0.15</f>
        <v>456.00000000000063</v>
      </c>
      <c r="AL15" s="25">
        <v>2458.9</v>
      </c>
      <c r="AM15" s="25">
        <v>986.8</v>
      </c>
      <c r="AN15">
        <f>Tabel24256789101112[[#This Row],[Stand Bruisend liter einde maand]]-Tabel24256789101112[[#This Row],[Stand Bruisend liter vorige maand]]</f>
        <v>1472.1000000000001</v>
      </c>
      <c r="AO15" s="2">
        <f>Tabel24256789101112[[#This Row],[Verbruik Bruisend liter deze maand]]/0.15</f>
        <v>9814.0000000000018</v>
      </c>
      <c r="AP15" s="25">
        <v>383</v>
      </c>
      <c r="AQ15" s="25">
        <v>348.5</v>
      </c>
      <c r="AR15">
        <f>Tabel24256789101112[[#This Row],[Stand licht bruisend liter einde maand]]-Tabel24256789101112[[#This Row],[Stand licht bruisend liter vorige maand]]</f>
        <v>34.5</v>
      </c>
      <c r="AS15" s="2">
        <f>Tabel24256789101112[[#This Row],[Verbruik licht bruisend liter deze maand]]/0.15</f>
        <v>230</v>
      </c>
      <c r="AT15" s="25">
        <v>2458.9</v>
      </c>
      <c r="AU15" s="25">
        <v>2147.8000000000002</v>
      </c>
      <c r="AV15">
        <f>Tabel24256789101112[[#This Row],[Stand heet water liter einde maand]]-Tabel24256789101112[[#This Row],[Stand heet water liter vorige maand]]</f>
        <v>311.09999999999991</v>
      </c>
      <c r="AW15" s="20">
        <f>Tabel24256789101112[[#This Row],[Verbruik heet Water liter deze maand ]]/0.15</f>
        <v>2073.9999999999995</v>
      </c>
      <c r="AX15" s="4">
        <f>Tabel24256789101112[[#This Row],[Aantal consumpties heet water deze maand]]+Tabel24256789101112[[#This Row],[Aantal consumpties licht bruisend water deze maand]]+Tabel24256789101112[[#This Row],[aantal consumpties Bruisend water deze maand]]+Tabel24256789101112[[#This Row],[Aantal consumpties gekoeld water deze maand]]+Tabel24256789101112[[#This Row],[Aantal consumpties Kamertemp deze maand]]</f>
        <v>12740.000000000002</v>
      </c>
      <c r="AY15" s="4">
        <f>Tabel24256789101112[[#This Row],[Subtotaal waterbar in consumpties]]+Tabel24256789101112[[#This Row],[Subtotaal koffieautomaten]]</f>
        <v>12740.000000000002</v>
      </c>
    </row>
    <row r="16" spans="1:51" x14ac:dyDescent="0.25">
      <c r="A16" t="s">
        <v>56</v>
      </c>
      <c r="B16" t="s">
        <v>57</v>
      </c>
      <c r="C16" t="s">
        <v>31</v>
      </c>
      <c r="E16" s="11">
        <v>9952</v>
      </c>
      <c r="F16" s="11">
        <v>8964</v>
      </c>
      <c r="G16" s="12">
        <f>Tabel24256789101112[[#This Row],[Stand Coffee einde maand]]-Tabel24256789101112[[#This Row],[Coffee vorige maand]]</f>
        <v>988</v>
      </c>
      <c r="H16" s="11">
        <v>2515</v>
      </c>
      <c r="I16" s="11">
        <v>2135</v>
      </c>
      <c r="J16" s="12">
        <f>Tabel24256789101112[[#This Row],[Stand Espresso Einde maand]]-Tabel24256789101112[[#This Row],[Espresso vorige maand]]</f>
        <v>380</v>
      </c>
      <c r="K16" s="11">
        <v>355</v>
      </c>
      <c r="L16" s="11">
        <v>331</v>
      </c>
      <c r="M16">
        <f>Tabel24256789101112[[#This Row],[Stand Latte Macchiato einde maand]]-Tabel24256789101112[[#This Row],[Latte Macchiato vorige maand]]</f>
        <v>24</v>
      </c>
      <c r="N16" s="11">
        <v>914</v>
      </c>
      <c r="O16" s="11">
        <v>793</v>
      </c>
      <c r="P16">
        <f>Tabel24256789101112[[#This Row],[Stand Coffee Latte einde maand]]-Tabel24256789101112[[#This Row],[Coffee Latte vorige maand]]</f>
        <v>121</v>
      </c>
      <c r="Q16" s="11">
        <v>15911</v>
      </c>
      <c r="R16" s="11">
        <v>14194</v>
      </c>
      <c r="S16">
        <f>Tabel24256789101112[[#This Row],[Stand Hot Water einde maand]]-Tabel24256789101112[[#This Row],[Hot Water vorige maand]]</f>
        <v>1717</v>
      </c>
      <c r="T16" s="11">
        <v>5397</v>
      </c>
      <c r="U16" s="11">
        <v>4863</v>
      </c>
      <c r="V16">
        <f>Tabel24256789101112[[#This Row],[Stand Cappucino einde maand]]-Tabel24256789101112[[#This Row],[Stand Cappucino vorige maand]]</f>
        <v>534</v>
      </c>
      <c r="W16" s="11">
        <v>1691</v>
      </c>
      <c r="X16" s="11">
        <v>1552</v>
      </c>
      <c r="Y16">
        <f>Tabel24256789101112[[#This Row],[Stand Cappucino Plantaardig einde maand]]-Tabel24256789101112[[#This Row],[Stand Cappucino Plantaardig vorige maand]]</f>
        <v>139</v>
      </c>
      <c r="Z16" s="11">
        <v>302</v>
      </c>
      <c r="AA16" s="11">
        <v>294</v>
      </c>
      <c r="AB16" s="12">
        <f>Tabel24256789101112[[#This Row],[Stand Latte Macchiato Plantaardig einde maand]]-Tabel24256789101112[[#This Row],[Stand Latte Macchiato Plantaardig vorige maand]]</f>
        <v>8</v>
      </c>
      <c r="AC16" s="3">
        <f>Tabel24256789101112[[#This Row],[Verbruik Stand Latte Macchiato Plantaardig deze maand]]+Tabel24256789101112[[#This Row],[Verbruik  Cappucino Plantaardig deze maand]]+Tabel24256789101112[[#This Row],[Verbruik Cappucino deze maand]]+Tabel24256789101112[[#This Row],[Verbruik Hot Water deze maand]]+Tabel24256789101112[[#This Row],[Verbruik Coffee Latte deze maand]]+Tabel24256789101112[[#This Row],[Verbruik Latte Macchiato deze maand]]+Tabel24256789101112[[#This Row],[Verbruik Espresso deze maand]]+Tabel24256789101112[[#This Row],[Verbruik Coffee deze maand]]</f>
        <v>3911</v>
      </c>
      <c r="AD16" s="26"/>
      <c r="AE16" s="26"/>
      <c r="AF16" s="5"/>
      <c r="AG16" s="7"/>
      <c r="AH16" s="26"/>
      <c r="AI16" s="26"/>
      <c r="AJ16" s="5"/>
      <c r="AK16" s="7"/>
      <c r="AL16" s="26"/>
      <c r="AM16" s="26"/>
      <c r="AN16" s="5"/>
      <c r="AO16" s="5"/>
      <c r="AP16" s="26"/>
      <c r="AQ16" s="26"/>
      <c r="AR16" s="5"/>
      <c r="AS16" s="7"/>
      <c r="AT16" s="26"/>
      <c r="AU16" s="26"/>
      <c r="AV16" s="5"/>
      <c r="AW16" s="21"/>
      <c r="AX16" s="8"/>
      <c r="AY16" s="4">
        <f>Tabel24256789101112[[#This Row],[Subtotaal waterbar in consumpties]]+Tabel24256789101112[[#This Row],[Subtotaal koffieautomaten]]</f>
        <v>3911</v>
      </c>
    </row>
    <row r="17" spans="1:51" x14ac:dyDescent="0.25">
      <c r="A17" t="s">
        <v>58</v>
      </c>
      <c r="B17" t="s">
        <v>59</v>
      </c>
      <c r="C17" t="s">
        <v>47</v>
      </c>
      <c r="E17" s="11">
        <v>8251</v>
      </c>
      <c r="F17" s="11">
        <v>7463</v>
      </c>
      <c r="G17" s="12">
        <f>Tabel24256789101112[[#This Row],[Stand Coffee einde maand]]-Tabel24256789101112[[#This Row],[Coffee vorige maand]]</f>
        <v>788</v>
      </c>
      <c r="H17" s="11">
        <v>1447</v>
      </c>
      <c r="I17" s="11">
        <v>1274</v>
      </c>
      <c r="J17" s="12">
        <f>Tabel24256789101112[[#This Row],[Stand Espresso Einde maand]]-Tabel24256789101112[[#This Row],[Espresso vorige maand]]</f>
        <v>173</v>
      </c>
      <c r="K17" s="11">
        <v>942</v>
      </c>
      <c r="L17" s="11">
        <v>833</v>
      </c>
      <c r="M17">
        <f>Tabel24256789101112[[#This Row],[Stand Latte Macchiato einde maand]]-Tabel24256789101112[[#This Row],[Latte Macchiato vorige maand]]</f>
        <v>109</v>
      </c>
      <c r="N17" s="11">
        <v>942</v>
      </c>
      <c r="O17" s="11">
        <v>195</v>
      </c>
      <c r="P17">
        <f>Tabel24256789101112[[#This Row],[Stand Coffee Latte einde maand]]-Tabel24256789101112[[#This Row],[Coffee Latte vorige maand]]</f>
        <v>747</v>
      </c>
      <c r="Q17" s="11">
        <v>1</v>
      </c>
      <c r="R17" s="11">
        <v>1</v>
      </c>
      <c r="S17">
        <f>Tabel24256789101112[[#This Row],[Stand Hot Water einde maand]]-Tabel24256789101112[[#This Row],[Hot Water vorige maand]]</f>
        <v>0</v>
      </c>
      <c r="T17" s="11">
        <v>3886</v>
      </c>
      <c r="U17" s="11">
        <v>3481</v>
      </c>
      <c r="V17">
        <f>Tabel24256789101112[[#This Row],[Stand Cappucino einde maand]]-Tabel24256789101112[[#This Row],[Stand Cappucino vorige maand]]</f>
        <v>405</v>
      </c>
      <c r="W17" s="11">
        <v>1902</v>
      </c>
      <c r="X17" s="11">
        <v>1773</v>
      </c>
      <c r="Y17">
        <f>Tabel24256789101112[[#This Row],[Stand Cappucino Plantaardig einde maand]]-Tabel24256789101112[[#This Row],[Stand Cappucino Plantaardig vorige maand]]</f>
        <v>129</v>
      </c>
      <c r="Z17" s="11">
        <v>248</v>
      </c>
      <c r="AA17" s="11">
        <v>239</v>
      </c>
      <c r="AB17" s="12">
        <f>Tabel24256789101112[[#This Row],[Stand Latte Macchiato Plantaardig einde maand]]-Tabel24256789101112[[#This Row],[Stand Latte Macchiato Plantaardig vorige maand]]</f>
        <v>9</v>
      </c>
      <c r="AC17" s="3">
        <f>Tabel24256789101112[[#This Row],[Verbruik Stand Latte Macchiato Plantaardig deze maand]]+Tabel24256789101112[[#This Row],[Verbruik  Cappucino Plantaardig deze maand]]+Tabel24256789101112[[#This Row],[Verbruik Cappucino deze maand]]+Tabel24256789101112[[#This Row],[Verbruik Hot Water deze maand]]+Tabel24256789101112[[#This Row],[Verbruik Coffee Latte deze maand]]+Tabel24256789101112[[#This Row],[Verbruik Latte Macchiato deze maand]]+Tabel24256789101112[[#This Row],[Verbruik Espresso deze maand]]+Tabel24256789101112[[#This Row],[Verbruik Coffee deze maand]]</f>
        <v>2360</v>
      </c>
      <c r="AD17" s="11">
        <v>312.39999999999998</v>
      </c>
      <c r="AE17" s="11">
        <v>297.3</v>
      </c>
      <c r="AF17">
        <f>Tabel24256789101112[[#This Row],[Stand Kamertemp liter einde maand]]-Tabel24256789101112[[#This Row],[Stand Kamertemp liter vorige maand]]</f>
        <v>15.099999999999966</v>
      </c>
      <c r="AG17" s="2">
        <f>Tabel24256789101112[[#This Row],[Verbruik Kamertemp liter deze maand]]/0.15</f>
        <v>100.66666666666644</v>
      </c>
      <c r="AH17" s="11">
        <v>1498.9</v>
      </c>
      <c r="AI17" s="11">
        <v>1372</v>
      </c>
      <c r="AJ17">
        <f>Tabel24256789101112[[#This Row],[Stand Gekoeld liter einde maand]]-Tabel24256789101112[[#This Row],[Stand Gekoeld liter vorige maand]]</f>
        <v>126.90000000000009</v>
      </c>
      <c r="AK17" s="2">
        <f>Tabel24256789101112[[#This Row],[Verbruik Gekoeld liter deze maand]]/0.15</f>
        <v>846.00000000000068</v>
      </c>
      <c r="AL17" s="11">
        <v>1916</v>
      </c>
      <c r="AM17" s="11">
        <v>1735.5</v>
      </c>
      <c r="AN17">
        <f>Tabel24256789101112[[#This Row],[Stand Bruisend liter einde maand]]-Tabel24256789101112[[#This Row],[Stand Bruisend liter vorige maand]]</f>
        <v>180.5</v>
      </c>
      <c r="AO17" s="2">
        <f>Tabel24256789101112[[#This Row],[Verbruik Bruisend liter deze maand]]/0.15</f>
        <v>1203.3333333333335</v>
      </c>
      <c r="AP17" s="11">
        <v>512.70000000000005</v>
      </c>
      <c r="AQ17" s="11">
        <v>478.3</v>
      </c>
      <c r="AR17">
        <f>Tabel24256789101112[[#This Row],[Stand licht bruisend liter einde maand]]-Tabel24256789101112[[#This Row],[Stand licht bruisend liter vorige maand]]</f>
        <v>34.400000000000034</v>
      </c>
      <c r="AS17" s="2">
        <f>Tabel24256789101112[[#This Row],[Verbruik licht bruisend liter deze maand]]/0.15</f>
        <v>229.33333333333357</v>
      </c>
      <c r="AT17" s="11">
        <v>3803</v>
      </c>
      <c r="AU17" s="11">
        <v>3394.7</v>
      </c>
      <c r="AV17">
        <f>Tabel24256789101112[[#This Row],[Stand heet water liter einde maand]]-Tabel24256789101112[[#This Row],[Stand heet water liter vorige maand]]</f>
        <v>408.30000000000018</v>
      </c>
      <c r="AW17" s="20">
        <f>Tabel24256789101112[[#This Row],[Verbruik heet Water liter deze maand ]]/0.15</f>
        <v>2722.0000000000014</v>
      </c>
      <c r="AX17" s="4">
        <f>Tabel24256789101112[[#This Row],[Aantal consumpties heet water deze maand]]+Tabel24256789101112[[#This Row],[Aantal consumpties licht bruisend water deze maand]]+Tabel24256789101112[[#This Row],[aantal consumpties Bruisend water deze maand]]+Tabel24256789101112[[#This Row],[Aantal consumpties gekoeld water deze maand]]+Tabel24256789101112[[#This Row],[Aantal consumpties Kamertemp deze maand]]</f>
        <v>5101.3333333333348</v>
      </c>
      <c r="AY17" s="4">
        <f>Tabel24256789101112[[#This Row],[Subtotaal waterbar in consumpties]]+Tabel24256789101112[[#This Row],[Subtotaal koffieautomaten]]</f>
        <v>7461.3333333333348</v>
      </c>
    </row>
    <row r="18" spans="1:51" x14ac:dyDescent="0.25">
      <c r="A18" t="s">
        <v>60</v>
      </c>
      <c r="B18" t="s">
        <v>61</v>
      </c>
      <c r="C18" t="s">
        <v>31</v>
      </c>
      <c r="E18" s="11">
        <v>8291</v>
      </c>
      <c r="F18" s="11">
        <v>7526</v>
      </c>
      <c r="G18" s="12">
        <f>Tabel24256789101112[[#This Row],[Stand Coffee einde maand]]-Tabel24256789101112[[#This Row],[Coffee vorige maand]]</f>
        <v>765</v>
      </c>
      <c r="H18" s="11">
        <f>1118+115</f>
        <v>1233</v>
      </c>
      <c r="I18" s="11">
        <v>1188</v>
      </c>
      <c r="J18" s="12">
        <f>Tabel24256789101112[[#This Row],[Stand Espresso Einde maand]]-Tabel24256789101112[[#This Row],[Espresso vorige maand]]</f>
        <v>45</v>
      </c>
      <c r="K18" s="11">
        <v>650</v>
      </c>
      <c r="L18" s="11">
        <v>581</v>
      </c>
      <c r="M18">
        <f>Tabel24256789101112[[#This Row],[Stand Latte Macchiato einde maand]]-Tabel24256789101112[[#This Row],[Latte Macchiato vorige maand]]</f>
        <v>69</v>
      </c>
      <c r="N18" s="11">
        <v>179</v>
      </c>
      <c r="O18" s="11">
        <v>158</v>
      </c>
      <c r="P18">
        <f>Tabel24256789101112[[#This Row],[Stand Coffee Latte einde maand]]-Tabel24256789101112[[#This Row],[Coffee Latte vorige maand]]</f>
        <v>21</v>
      </c>
      <c r="Q18" s="11">
        <v>15874</v>
      </c>
      <c r="R18" s="11">
        <v>14024</v>
      </c>
      <c r="S18">
        <f>Tabel24256789101112[[#This Row],[Stand Hot Water einde maand]]-Tabel24256789101112[[#This Row],[Hot Water vorige maand]]</f>
        <v>1850</v>
      </c>
      <c r="T18" s="11">
        <v>4729</v>
      </c>
      <c r="U18" s="11">
        <v>4279</v>
      </c>
      <c r="V18">
        <f>Tabel24256789101112[[#This Row],[Stand Cappucino einde maand]]-Tabel24256789101112[[#This Row],[Stand Cappucino vorige maand]]</f>
        <v>450</v>
      </c>
      <c r="W18" s="11">
        <v>955</v>
      </c>
      <c r="X18" s="11">
        <v>867</v>
      </c>
      <c r="Y18">
        <f>Tabel24256789101112[[#This Row],[Stand Cappucino Plantaardig einde maand]]-Tabel24256789101112[[#This Row],[Stand Cappucino Plantaardig vorige maand]]</f>
        <v>88</v>
      </c>
      <c r="Z18" s="11">
        <v>282</v>
      </c>
      <c r="AA18" s="11">
        <v>262</v>
      </c>
      <c r="AB18" s="12">
        <f>Tabel24256789101112[[#This Row],[Stand Latte Macchiato Plantaardig einde maand]]-Tabel24256789101112[[#This Row],[Stand Latte Macchiato Plantaardig vorige maand]]</f>
        <v>20</v>
      </c>
      <c r="AC18" s="3">
        <f>Tabel24256789101112[[#This Row],[Verbruik Stand Latte Macchiato Plantaardig deze maand]]+Tabel24256789101112[[#This Row],[Verbruik  Cappucino Plantaardig deze maand]]+Tabel24256789101112[[#This Row],[Verbruik Cappucino deze maand]]+Tabel24256789101112[[#This Row],[Verbruik Hot Water deze maand]]+Tabel24256789101112[[#This Row],[Verbruik Coffee Latte deze maand]]+Tabel24256789101112[[#This Row],[Verbruik Latte Macchiato deze maand]]+Tabel24256789101112[[#This Row],[Verbruik Espresso deze maand]]+Tabel24256789101112[[#This Row],[Verbruik Coffee deze maand]]</f>
        <v>3308</v>
      </c>
      <c r="AD18" s="26"/>
      <c r="AE18" s="26"/>
      <c r="AF18" s="5"/>
      <c r="AG18" s="7"/>
      <c r="AH18" s="26"/>
      <c r="AI18" s="26"/>
      <c r="AJ18" s="5"/>
      <c r="AK18" s="7"/>
      <c r="AL18" s="26"/>
      <c r="AM18" s="26"/>
      <c r="AN18" s="5"/>
      <c r="AO18" s="5"/>
      <c r="AP18" s="26"/>
      <c r="AQ18" s="26"/>
      <c r="AR18" s="5"/>
      <c r="AS18" s="7"/>
      <c r="AT18" s="26"/>
      <c r="AU18" s="26"/>
      <c r="AV18" s="5"/>
      <c r="AW18" s="21"/>
      <c r="AX18" s="8"/>
      <c r="AY18" s="4">
        <f>Tabel24256789101112[[#This Row],[Subtotaal waterbar in consumpties]]+Tabel24256789101112[[#This Row],[Subtotaal koffieautomaten]]</f>
        <v>3308</v>
      </c>
    </row>
    <row r="19" spans="1:51" x14ac:dyDescent="0.25">
      <c r="A19" t="s">
        <v>62</v>
      </c>
      <c r="B19" t="s">
        <v>63</v>
      </c>
      <c r="C19" t="s">
        <v>36</v>
      </c>
      <c r="E19" s="42"/>
      <c r="F19" s="42"/>
      <c r="G19" s="43"/>
      <c r="H19" s="42"/>
      <c r="I19" s="42"/>
      <c r="J19" s="43"/>
      <c r="K19" s="42"/>
      <c r="L19" s="42"/>
      <c r="M19" s="43"/>
      <c r="N19" s="42"/>
      <c r="O19" s="42"/>
      <c r="P19" s="43"/>
      <c r="Q19" s="42"/>
      <c r="R19" s="42"/>
      <c r="S19" s="43"/>
      <c r="T19" s="42"/>
      <c r="U19" s="42"/>
      <c r="V19" s="43"/>
      <c r="W19" s="42"/>
      <c r="X19" s="42"/>
      <c r="Y19" s="43"/>
      <c r="Z19" s="42"/>
      <c r="AA19" s="42"/>
      <c r="AB19" s="43"/>
      <c r="AC19" s="43"/>
      <c r="AD19" s="11">
        <v>3.1</v>
      </c>
      <c r="AE19" s="11">
        <v>0</v>
      </c>
      <c r="AF19">
        <f>Tabel24256789101112[[#This Row],[Stand Kamertemp liter einde maand]]-Tabel24256789101112[[#This Row],[Stand Kamertemp liter vorige maand]]</f>
        <v>3.1</v>
      </c>
      <c r="AG19" s="2">
        <f>Tabel24256789101112[[#This Row],[Verbruik Kamertemp liter deze maand]]/0.15</f>
        <v>20.666666666666668</v>
      </c>
      <c r="AH19" s="25">
        <v>14.3</v>
      </c>
      <c r="AI19" s="25">
        <v>0</v>
      </c>
      <c r="AJ19">
        <f>Tabel24256789101112[[#This Row],[Stand Gekoeld liter einde maand]]-Tabel24256789101112[[#This Row],[Stand Gekoeld liter vorige maand]]</f>
        <v>14.3</v>
      </c>
      <c r="AK19" s="2">
        <f>Tabel24256789101112[[#This Row],[Verbruik Gekoeld liter deze maand]]/0.15</f>
        <v>95.333333333333343</v>
      </c>
      <c r="AL19" s="25">
        <v>13.1</v>
      </c>
      <c r="AM19" s="25">
        <v>0</v>
      </c>
      <c r="AN19">
        <f>Tabel24256789101112[[#This Row],[Stand Bruisend liter einde maand]]-Tabel24256789101112[[#This Row],[Stand Bruisend liter vorige maand]]</f>
        <v>13.1</v>
      </c>
      <c r="AO19" s="2">
        <f>Tabel24256789101112[[#This Row],[Verbruik Bruisend liter deze maand]]/0.15</f>
        <v>87.333333333333329</v>
      </c>
      <c r="AP19" s="25">
        <v>2.2999999999999998</v>
      </c>
      <c r="AQ19" s="25">
        <v>0</v>
      </c>
      <c r="AR19">
        <f>Tabel24256789101112[[#This Row],[Stand licht bruisend liter einde maand]]-Tabel24256789101112[[#This Row],[Stand licht bruisend liter vorige maand]]</f>
        <v>2.2999999999999998</v>
      </c>
      <c r="AS19" s="2">
        <f>Tabel24256789101112[[#This Row],[Verbruik licht bruisend liter deze maand]]/0.15</f>
        <v>15.333333333333332</v>
      </c>
      <c r="AT19" s="25">
        <v>42.5</v>
      </c>
      <c r="AU19" s="25">
        <v>0</v>
      </c>
      <c r="AV19">
        <f>Tabel24256789101112[[#This Row],[Stand heet water liter einde maand]]-Tabel24256789101112[[#This Row],[Stand heet water liter vorige maand]]</f>
        <v>42.5</v>
      </c>
      <c r="AW19" s="20">
        <f>Tabel24256789101112[[#This Row],[Verbruik heet Water liter deze maand ]]/0.15</f>
        <v>283.33333333333337</v>
      </c>
      <c r="AX19" s="4">
        <f>Tabel24256789101112[[#This Row],[Aantal consumpties heet water deze maand]]+Tabel24256789101112[[#This Row],[Aantal consumpties licht bruisend water deze maand]]+Tabel24256789101112[[#This Row],[aantal consumpties Bruisend water deze maand]]+Tabel24256789101112[[#This Row],[Aantal consumpties gekoeld water deze maand]]+Tabel24256789101112[[#This Row],[Aantal consumpties Kamertemp deze maand]]</f>
        <v>502.00000000000006</v>
      </c>
      <c r="AY19" s="4">
        <f>Tabel24256789101112[[#This Row],[Subtotaal waterbar in consumpties]]+Tabel24256789101112[[#This Row],[Subtotaal koffieautomaten]]</f>
        <v>502.00000000000006</v>
      </c>
    </row>
    <row r="20" spans="1:51" x14ac:dyDescent="0.25">
      <c r="A20" t="s">
        <v>64</v>
      </c>
      <c r="B20" t="s">
        <v>65</v>
      </c>
      <c r="C20" t="s">
        <v>31</v>
      </c>
      <c r="E20" s="11">
        <v>8455</v>
      </c>
      <c r="F20" s="11">
        <v>7536</v>
      </c>
      <c r="G20" s="12">
        <f>Tabel24256789101112[[#This Row],[Stand Coffee einde maand]]-Tabel24256789101112[[#This Row],[Coffee vorige maand]]</f>
        <v>919</v>
      </c>
      <c r="H20" s="11">
        <v>2468</v>
      </c>
      <c r="I20" s="11">
        <v>2208</v>
      </c>
      <c r="J20" s="12">
        <f>Tabel24256789101112[[#This Row],[Stand Espresso Einde maand]]-Tabel24256789101112[[#This Row],[Espresso vorige maand]]</f>
        <v>260</v>
      </c>
      <c r="K20" s="11">
        <v>1041</v>
      </c>
      <c r="L20" s="11">
        <v>931</v>
      </c>
      <c r="M20">
        <f>Tabel24256789101112[[#This Row],[Stand Latte Macchiato einde maand]]-Tabel24256789101112[[#This Row],[Latte Macchiato vorige maand]]</f>
        <v>110</v>
      </c>
      <c r="N20" s="11">
        <v>434</v>
      </c>
      <c r="O20" s="11">
        <v>368</v>
      </c>
      <c r="P20">
        <f>Tabel24256789101112[[#This Row],[Stand Coffee Latte einde maand]]-Tabel24256789101112[[#This Row],[Coffee Latte vorige maand]]</f>
        <v>66</v>
      </c>
      <c r="Q20" s="11">
        <v>16599</v>
      </c>
      <c r="R20" s="11">
        <v>14444</v>
      </c>
      <c r="S20">
        <f>Tabel24256789101112[[#This Row],[Stand Hot Water einde maand]]-Tabel24256789101112[[#This Row],[Hot Water vorige maand]]</f>
        <v>2155</v>
      </c>
      <c r="T20" s="11">
        <v>5857</v>
      </c>
      <c r="U20" s="11">
        <v>5114</v>
      </c>
      <c r="V20">
        <f>Tabel24256789101112[[#This Row],[Stand Cappucino einde maand]]-Tabel24256789101112[[#This Row],[Stand Cappucino vorige maand]]</f>
        <v>743</v>
      </c>
      <c r="W20" s="11">
        <v>1231</v>
      </c>
      <c r="X20" s="11">
        <v>1073</v>
      </c>
      <c r="Y20">
        <f>Tabel24256789101112[[#This Row],[Stand Cappucino Plantaardig einde maand]]-Tabel24256789101112[[#This Row],[Stand Cappucino Plantaardig vorige maand]]</f>
        <v>158</v>
      </c>
      <c r="Z20" s="11">
        <v>1231</v>
      </c>
      <c r="AA20" s="11">
        <v>234</v>
      </c>
      <c r="AB20" s="12">
        <f>Tabel24256789101112[[#This Row],[Stand Latte Macchiato Plantaardig einde maand]]-Tabel24256789101112[[#This Row],[Stand Latte Macchiato Plantaardig vorige maand]]</f>
        <v>997</v>
      </c>
      <c r="AC20" s="3">
        <f>Tabel24256789101112[[#This Row],[Verbruik Stand Latte Macchiato Plantaardig deze maand]]+Tabel24256789101112[[#This Row],[Verbruik  Cappucino Plantaardig deze maand]]+Tabel24256789101112[[#This Row],[Verbruik Cappucino deze maand]]+Tabel24256789101112[[#This Row],[Verbruik Hot Water deze maand]]+Tabel24256789101112[[#This Row],[Verbruik Coffee Latte deze maand]]+Tabel24256789101112[[#This Row],[Verbruik Latte Macchiato deze maand]]+Tabel24256789101112[[#This Row],[Verbruik Espresso deze maand]]+Tabel24256789101112[[#This Row],[Verbruik Coffee deze maand]]</f>
        <v>5408</v>
      </c>
      <c r="AD20" s="26"/>
      <c r="AE20" s="26"/>
      <c r="AF20" s="5"/>
      <c r="AG20" s="7"/>
      <c r="AH20" s="26"/>
      <c r="AI20" s="26"/>
      <c r="AJ20" s="5"/>
      <c r="AK20" s="7"/>
      <c r="AL20" s="26"/>
      <c r="AM20" s="26"/>
      <c r="AN20" s="5"/>
      <c r="AO20" s="5"/>
      <c r="AP20" s="26"/>
      <c r="AQ20" s="26"/>
      <c r="AR20" s="5"/>
      <c r="AS20" s="7"/>
      <c r="AT20" s="26"/>
      <c r="AU20" s="26"/>
      <c r="AV20" s="5"/>
      <c r="AW20" s="21"/>
      <c r="AX20" s="8"/>
      <c r="AY20" s="4">
        <f>Tabel24256789101112[[#This Row],[Subtotaal waterbar in consumpties]]+Tabel24256789101112[[#This Row],[Subtotaal koffieautomaten]]</f>
        <v>5408</v>
      </c>
    </row>
    <row r="21" spans="1:51" x14ac:dyDescent="0.25">
      <c r="A21" t="s">
        <v>66</v>
      </c>
      <c r="B21" t="s">
        <v>67</v>
      </c>
      <c r="C21" t="s">
        <v>31</v>
      </c>
      <c r="E21" s="11">
        <v>10513</v>
      </c>
      <c r="F21" s="11">
        <v>9523</v>
      </c>
      <c r="G21" s="12">
        <f>Tabel24256789101112[[#This Row],[Stand Coffee einde maand]]-Tabel24256789101112[[#This Row],[Coffee vorige maand]]</f>
        <v>990</v>
      </c>
      <c r="H21" s="11">
        <v>1600</v>
      </c>
      <c r="I21" s="11">
        <v>1385</v>
      </c>
      <c r="J21" s="12">
        <f>Tabel24256789101112[[#This Row],[Stand Espresso Einde maand]]-Tabel24256789101112[[#This Row],[Espresso vorige maand]]</f>
        <v>215</v>
      </c>
      <c r="K21" s="11">
        <v>1325</v>
      </c>
      <c r="L21" s="11">
        <v>1195</v>
      </c>
      <c r="M21">
        <f>Tabel24256789101112[[#This Row],[Stand Latte Macchiato einde maand]]-Tabel24256789101112[[#This Row],[Latte Macchiato vorige maand]]</f>
        <v>130</v>
      </c>
      <c r="N21" s="11">
        <v>409</v>
      </c>
      <c r="O21" s="11">
        <v>381</v>
      </c>
      <c r="P21">
        <f>Tabel24256789101112[[#This Row],[Stand Coffee Latte einde maand]]-Tabel24256789101112[[#This Row],[Coffee Latte vorige maand]]</f>
        <v>28</v>
      </c>
      <c r="Q21" s="11">
        <v>16956</v>
      </c>
      <c r="R21" s="11">
        <v>14940</v>
      </c>
      <c r="S21">
        <f>Tabel24256789101112[[#This Row],[Stand Hot Water einde maand]]-Tabel24256789101112[[#This Row],[Hot Water vorige maand]]</f>
        <v>2016</v>
      </c>
      <c r="T21" s="11">
        <v>5584</v>
      </c>
      <c r="U21" s="11">
        <v>4895</v>
      </c>
      <c r="V21">
        <f>Tabel24256789101112[[#This Row],[Stand Cappucino einde maand]]-Tabel24256789101112[[#This Row],[Stand Cappucino vorige maand]]</f>
        <v>689</v>
      </c>
      <c r="W21" s="11">
        <v>1583</v>
      </c>
      <c r="X21" s="11">
        <v>1459</v>
      </c>
      <c r="Y21">
        <f>Tabel24256789101112[[#This Row],[Stand Cappucino Plantaardig einde maand]]-Tabel24256789101112[[#This Row],[Stand Cappucino Plantaardig vorige maand]]</f>
        <v>124</v>
      </c>
      <c r="Z21" s="11">
        <v>402</v>
      </c>
      <c r="AA21" s="11">
        <v>402</v>
      </c>
      <c r="AB21" s="12">
        <f>Tabel24256789101112[[#This Row],[Stand Latte Macchiato Plantaardig einde maand]]-Tabel24256789101112[[#This Row],[Stand Latte Macchiato Plantaardig vorige maand]]</f>
        <v>0</v>
      </c>
      <c r="AC21" s="3">
        <f>Tabel24256789101112[[#This Row],[Verbruik Stand Latte Macchiato Plantaardig deze maand]]+Tabel24256789101112[[#This Row],[Verbruik  Cappucino Plantaardig deze maand]]+Tabel24256789101112[[#This Row],[Verbruik Cappucino deze maand]]+Tabel24256789101112[[#This Row],[Verbruik Hot Water deze maand]]+Tabel24256789101112[[#This Row],[Verbruik Coffee Latte deze maand]]+Tabel24256789101112[[#This Row],[Verbruik Latte Macchiato deze maand]]+Tabel24256789101112[[#This Row],[Verbruik Espresso deze maand]]+Tabel24256789101112[[#This Row],[Verbruik Coffee deze maand]]</f>
        <v>4192</v>
      </c>
      <c r="AD21" s="26"/>
      <c r="AE21" s="26"/>
      <c r="AF21" s="5"/>
      <c r="AG21" s="7"/>
      <c r="AH21" s="26"/>
      <c r="AI21" s="26"/>
      <c r="AJ21" s="5"/>
      <c r="AK21" s="7"/>
      <c r="AL21" s="26"/>
      <c r="AM21" s="26"/>
      <c r="AN21" s="5"/>
      <c r="AO21" s="5"/>
      <c r="AP21" s="26"/>
      <c r="AQ21" s="26"/>
      <c r="AR21" s="5"/>
      <c r="AS21" s="7"/>
      <c r="AT21" s="26"/>
      <c r="AU21" s="26"/>
      <c r="AV21" s="5"/>
      <c r="AW21" s="21"/>
      <c r="AX21" s="8"/>
      <c r="AY21" s="4">
        <f>Tabel24256789101112[[#This Row],[Subtotaal waterbar in consumpties]]+Tabel24256789101112[[#This Row],[Subtotaal koffieautomaten]]</f>
        <v>4192</v>
      </c>
    </row>
    <row r="22" spans="1:51" x14ac:dyDescent="0.25">
      <c r="A22" t="s">
        <v>68</v>
      </c>
      <c r="B22" t="s">
        <v>69</v>
      </c>
      <c r="C22" t="s">
        <v>47</v>
      </c>
      <c r="E22" s="11">
        <v>5618</v>
      </c>
      <c r="F22" s="11">
        <v>4957</v>
      </c>
      <c r="G22" s="12">
        <f>Tabel24256789101112[[#This Row],[Stand Coffee einde maand]]-Tabel24256789101112[[#This Row],[Coffee vorige maand]]</f>
        <v>661</v>
      </c>
      <c r="H22" s="11">
        <v>2234</v>
      </c>
      <c r="I22" s="11">
        <v>1964</v>
      </c>
      <c r="J22" s="12">
        <f>Tabel24256789101112[[#This Row],[Stand Espresso Einde maand]]-Tabel24256789101112[[#This Row],[Espresso vorige maand]]</f>
        <v>270</v>
      </c>
      <c r="K22" s="11">
        <v>1911</v>
      </c>
      <c r="L22" s="11">
        <v>1700</v>
      </c>
      <c r="M22">
        <f>Tabel24256789101112[[#This Row],[Stand Latte Macchiato einde maand]]-Tabel24256789101112[[#This Row],[Latte Macchiato vorige maand]]</f>
        <v>211</v>
      </c>
      <c r="N22" s="11">
        <v>347</v>
      </c>
      <c r="O22" s="11">
        <v>342</v>
      </c>
      <c r="P22">
        <f>Tabel24256789101112[[#This Row],[Stand Coffee Latte einde maand]]-Tabel24256789101112[[#This Row],[Coffee Latte vorige maand]]</f>
        <v>5</v>
      </c>
      <c r="Q22" s="11">
        <v>1</v>
      </c>
      <c r="R22" s="11">
        <v>1</v>
      </c>
      <c r="S22">
        <f>Tabel24256789101112[[#This Row],[Stand Hot Water einde maand]]-Tabel24256789101112[[#This Row],[Hot Water vorige maand]]</f>
        <v>0</v>
      </c>
      <c r="T22" s="11">
        <v>6840</v>
      </c>
      <c r="U22" s="11">
        <v>6102</v>
      </c>
      <c r="V22">
        <f>Tabel24256789101112[[#This Row],[Stand Cappucino einde maand]]-Tabel24256789101112[[#This Row],[Stand Cappucino vorige maand]]</f>
        <v>738</v>
      </c>
      <c r="W22" s="11">
        <v>1104</v>
      </c>
      <c r="X22" s="11">
        <v>1037</v>
      </c>
      <c r="Y22">
        <f>Tabel24256789101112[[#This Row],[Stand Cappucino Plantaardig einde maand]]-Tabel24256789101112[[#This Row],[Stand Cappucino Plantaardig vorige maand]]</f>
        <v>67</v>
      </c>
      <c r="Z22" s="11">
        <v>298</v>
      </c>
      <c r="AA22" s="11">
        <v>275</v>
      </c>
      <c r="AB22" s="12">
        <f>Tabel24256789101112[[#This Row],[Stand Latte Macchiato Plantaardig einde maand]]-Tabel24256789101112[[#This Row],[Stand Latte Macchiato Plantaardig vorige maand]]</f>
        <v>23</v>
      </c>
      <c r="AC22" s="3">
        <f>Tabel24256789101112[[#This Row],[Verbruik Stand Latte Macchiato Plantaardig deze maand]]+Tabel24256789101112[[#This Row],[Verbruik  Cappucino Plantaardig deze maand]]+Tabel24256789101112[[#This Row],[Verbruik Cappucino deze maand]]+Tabel24256789101112[[#This Row],[Verbruik Hot Water deze maand]]+Tabel24256789101112[[#This Row],[Verbruik Coffee Latte deze maand]]+Tabel24256789101112[[#This Row],[Verbruik Latte Macchiato deze maand]]+Tabel24256789101112[[#This Row],[Verbruik Espresso deze maand]]+Tabel24256789101112[[#This Row],[Verbruik Coffee deze maand]]</f>
        <v>1975</v>
      </c>
      <c r="AD22" s="11">
        <v>143.30000000000001</v>
      </c>
      <c r="AE22" s="11">
        <v>137.6</v>
      </c>
      <c r="AF22">
        <f>Tabel24256789101112[[#This Row],[Stand Kamertemp liter einde maand]]-Tabel24256789101112[[#This Row],[Stand Kamertemp liter vorige maand]]</f>
        <v>5.7000000000000171</v>
      </c>
      <c r="AG22" s="2">
        <f>Tabel24256789101112[[#This Row],[Verbruik Kamertemp liter deze maand]]/0.15</f>
        <v>38.000000000000114</v>
      </c>
      <c r="AH22" s="11">
        <v>1954.1</v>
      </c>
      <c r="AI22" s="11">
        <v>1781.1</v>
      </c>
      <c r="AJ22">
        <f>Tabel24256789101112[[#This Row],[Stand Gekoeld liter einde maand]]-Tabel24256789101112[[#This Row],[Stand Gekoeld liter vorige maand]]</f>
        <v>173</v>
      </c>
      <c r="AK22" s="2">
        <f>Tabel24256789101112[[#This Row],[Verbruik Gekoeld liter deze maand]]/0.15</f>
        <v>1153.3333333333335</v>
      </c>
      <c r="AL22" s="11">
        <v>1724.7</v>
      </c>
      <c r="AM22" s="11">
        <v>1604.9</v>
      </c>
      <c r="AN22">
        <f>Tabel24256789101112[[#This Row],[Stand Bruisend liter einde maand]]-Tabel24256789101112[[#This Row],[Stand Bruisend liter vorige maand]]</f>
        <v>119.79999999999995</v>
      </c>
      <c r="AO22" s="2">
        <f>Tabel24256789101112[[#This Row],[Verbruik Bruisend liter deze maand]]/0.15</f>
        <v>798.6666666666664</v>
      </c>
      <c r="AP22" s="11">
        <v>653.5</v>
      </c>
      <c r="AQ22" s="11">
        <v>623.6</v>
      </c>
      <c r="AR22">
        <f>Tabel24256789101112[[#This Row],[Stand licht bruisend liter einde maand]]-Tabel24256789101112[[#This Row],[Stand licht bruisend liter vorige maand]]</f>
        <v>29.899999999999977</v>
      </c>
      <c r="AS22" s="2">
        <f>Tabel24256789101112[[#This Row],[Verbruik licht bruisend liter deze maand]]/0.15</f>
        <v>199.3333333333332</v>
      </c>
      <c r="AT22" s="11">
        <v>4735.2</v>
      </c>
      <c r="AU22" s="11">
        <v>4273.7</v>
      </c>
      <c r="AV22">
        <f>Tabel24256789101112[[#This Row],[Stand heet water liter einde maand]]-Tabel24256789101112[[#This Row],[Stand heet water liter vorige maand]]</f>
        <v>461.5</v>
      </c>
      <c r="AW22" s="20">
        <f>Tabel24256789101112[[#This Row],[Verbruik heet Water liter deze maand ]]/0.15</f>
        <v>3076.666666666667</v>
      </c>
      <c r="AX22" s="4">
        <f>Tabel24256789101112[[#This Row],[Aantal consumpties heet water deze maand]]+Tabel24256789101112[[#This Row],[Aantal consumpties licht bruisend water deze maand]]+Tabel24256789101112[[#This Row],[aantal consumpties Bruisend water deze maand]]+Tabel24256789101112[[#This Row],[Aantal consumpties gekoeld water deze maand]]+Tabel24256789101112[[#This Row],[Aantal consumpties Kamertemp deze maand]]</f>
        <v>5266</v>
      </c>
      <c r="AY22" s="4">
        <f>Tabel24256789101112[[#This Row],[Subtotaal waterbar in consumpties]]+Tabel24256789101112[[#This Row],[Subtotaal koffieautomaten]]</f>
        <v>7241</v>
      </c>
    </row>
    <row r="23" spans="1:51" x14ac:dyDescent="0.25">
      <c r="A23" t="s">
        <v>70</v>
      </c>
      <c r="B23" t="s">
        <v>71</v>
      </c>
      <c r="C23" t="s">
        <v>31</v>
      </c>
      <c r="E23" s="11">
        <v>7101</v>
      </c>
      <c r="F23" s="11">
        <v>6327</v>
      </c>
      <c r="G23" s="12">
        <f>Tabel24256789101112[[#This Row],[Stand Coffee einde maand]]-Tabel24256789101112[[#This Row],[Coffee vorige maand]]</f>
        <v>774</v>
      </c>
      <c r="H23" s="11">
        <v>961</v>
      </c>
      <c r="I23" s="11">
        <v>815</v>
      </c>
      <c r="J23" s="12">
        <f>Tabel24256789101112[[#This Row],[Stand Espresso Einde maand]]-Tabel24256789101112[[#This Row],[Espresso vorige maand]]</f>
        <v>146</v>
      </c>
      <c r="K23" s="11">
        <v>647</v>
      </c>
      <c r="L23" s="11">
        <v>554</v>
      </c>
      <c r="M23">
        <f>Tabel24256789101112[[#This Row],[Stand Latte Macchiato einde maand]]-Tabel24256789101112[[#This Row],[Latte Macchiato vorige maand]]</f>
        <v>93</v>
      </c>
      <c r="N23" s="11">
        <v>632</v>
      </c>
      <c r="O23" s="11">
        <v>570</v>
      </c>
      <c r="P23">
        <f>Tabel24256789101112[[#This Row],[Stand Coffee Latte einde maand]]-Tabel24256789101112[[#This Row],[Coffee Latte vorige maand]]</f>
        <v>62</v>
      </c>
      <c r="Q23" s="11">
        <v>12576</v>
      </c>
      <c r="R23" s="11">
        <v>11202</v>
      </c>
      <c r="S23">
        <f>Tabel24256789101112[[#This Row],[Stand Hot Water einde maand]]-Tabel24256789101112[[#This Row],[Hot Water vorige maand]]</f>
        <v>1374</v>
      </c>
      <c r="T23" s="11">
        <v>2957</v>
      </c>
      <c r="U23" s="11">
        <v>2689</v>
      </c>
      <c r="V23">
        <f>Tabel24256789101112[[#This Row],[Stand Cappucino einde maand]]-Tabel24256789101112[[#This Row],[Stand Cappucino vorige maand]]</f>
        <v>268</v>
      </c>
      <c r="W23" s="11">
        <v>720</v>
      </c>
      <c r="X23" s="11">
        <v>662</v>
      </c>
      <c r="Y23">
        <f>Tabel24256789101112[[#This Row],[Stand Cappucino Plantaardig einde maand]]-Tabel24256789101112[[#This Row],[Stand Cappucino Plantaardig vorige maand]]</f>
        <v>58</v>
      </c>
      <c r="Z23" s="11">
        <v>870</v>
      </c>
      <c r="AA23" s="11">
        <v>761</v>
      </c>
      <c r="AB23" s="12">
        <f>Tabel24256789101112[[#This Row],[Stand Latte Macchiato Plantaardig einde maand]]-Tabel24256789101112[[#This Row],[Stand Latte Macchiato Plantaardig vorige maand]]</f>
        <v>109</v>
      </c>
      <c r="AC23" s="3">
        <f>Tabel24256789101112[[#This Row],[Verbruik Stand Latte Macchiato Plantaardig deze maand]]+Tabel24256789101112[[#This Row],[Verbruik  Cappucino Plantaardig deze maand]]+Tabel24256789101112[[#This Row],[Verbruik Cappucino deze maand]]+Tabel24256789101112[[#This Row],[Verbruik Hot Water deze maand]]+Tabel24256789101112[[#This Row],[Verbruik Coffee Latte deze maand]]+Tabel24256789101112[[#This Row],[Verbruik Latte Macchiato deze maand]]+Tabel24256789101112[[#This Row],[Verbruik Espresso deze maand]]+Tabel24256789101112[[#This Row],[Verbruik Coffee deze maand]]</f>
        <v>2884</v>
      </c>
      <c r="AD23" s="26"/>
      <c r="AE23" s="26"/>
      <c r="AF23" s="5"/>
      <c r="AG23" s="7"/>
      <c r="AH23" s="26"/>
      <c r="AI23" s="26"/>
      <c r="AJ23" s="5"/>
      <c r="AK23" s="7"/>
      <c r="AL23" s="26"/>
      <c r="AM23" s="26"/>
      <c r="AN23" s="5"/>
      <c r="AO23" s="5"/>
      <c r="AP23" s="26"/>
      <c r="AQ23" s="26"/>
      <c r="AR23" s="5"/>
      <c r="AS23" s="7"/>
      <c r="AT23" s="26"/>
      <c r="AU23" s="26"/>
      <c r="AV23" s="5"/>
      <c r="AW23" s="21"/>
      <c r="AX23" s="8"/>
      <c r="AY23" s="4">
        <f>Tabel24256789101112[[#This Row],[Subtotaal waterbar in consumpties]]+Tabel24256789101112[[#This Row],[Subtotaal koffieautomaten]]</f>
        <v>2884</v>
      </c>
    </row>
    <row r="24" spans="1:51" x14ac:dyDescent="0.25">
      <c r="A24" t="s">
        <v>72</v>
      </c>
      <c r="B24" t="s">
        <v>73</v>
      </c>
      <c r="C24" t="s">
        <v>47</v>
      </c>
      <c r="E24" s="11">
        <v>5681</v>
      </c>
      <c r="F24" s="11">
        <v>5061</v>
      </c>
      <c r="G24" s="12">
        <f>Tabel24256789101112[[#This Row],[Stand Coffee einde maand]]-Tabel24256789101112[[#This Row],[Coffee vorige maand]]</f>
        <v>620</v>
      </c>
      <c r="H24" s="11">
        <v>1880</v>
      </c>
      <c r="I24" s="11">
        <v>1667</v>
      </c>
      <c r="J24" s="12">
        <f>Tabel24256789101112[[#This Row],[Stand Espresso Einde maand]]-Tabel24256789101112[[#This Row],[Espresso vorige maand]]</f>
        <v>213</v>
      </c>
      <c r="K24" s="11">
        <v>797</v>
      </c>
      <c r="L24" s="11">
        <v>751</v>
      </c>
      <c r="M24">
        <f>Tabel24256789101112[[#This Row],[Stand Latte Macchiato einde maand]]-Tabel24256789101112[[#This Row],[Latte Macchiato vorige maand]]</f>
        <v>46</v>
      </c>
      <c r="N24" s="11">
        <v>410</v>
      </c>
      <c r="O24" s="11">
        <v>377</v>
      </c>
      <c r="P24">
        <f>Tabel24256789101112[[#This Row],[Stand Coffee Latte einde maand]]-Tabel24256789101112[[#This Row],[Coffee Latte vorige maand]]</f>
        <v>33</v>
      </c>
      <c r="Q24" s="11">
        <v>1</v>
      </c>
      <c r="R24" s="11">
        <v>1</v>
      </c>
      <c r="S24">
        <f>Tabel24256789101112[[#This Row],[Stand Hot Water einde maand]]-Tabel24256789101112[[#This Row],[Hot Water vorige maand]]</f>
        <v>0</v>
      </c>
      <c r="T24" s="11">
        <v>4213</v>
      </c>
      <c r="U24" s="11">
        <v>3793</v>
      </c>
      <c r="V24">
        <f>Tabel24256789101112[[#This Row],[Stand Cappucino einde maand]]-Tabel24256789101112[[#This Row],[Stand Cappucino vorige maand]]</f>
        <v>420</v>
      </c>
      <c r="W24" s="11">
        <v>769</v>
      </c>
      <c r="X24" s="11">
        <v>703</v>
      </c>
      <c r="Y24">
        <f>Tabel24256789101112[[#This Row],[Stand Cappucino Plantaardig einde maand]]-Tabel24256789101112[[#This Row],[Stand Cappucino Plantaardig vorige maand]]</f>
        <v>66</v>
      </c>
      <c r="Z24" s="11">
        <v>223</v>
      </c>
      <c r="AA24" s="11">
        <v>210</v>
      </c>
      <c r="AB24" s="12">
        <f>Tabel24256789101112[[#This Row],[Stand Latte Macchiato Plantaardig einde maand]]-Tabel24256789101112[[#This Row],[Stand Latte Macchiato Plantaardig vorige maand]]</f>
        <v>13</v>
      </c>
      <c r="AC24" s="3">
        <f>Tabel24256789101112[[#This Row],[Verbruik Stand Latte Macchiato Plantaardig deze maand]]+Tabel24256789101112[[#This Row],[Verbruik  Cappucino Plantaardig deze maand]]+Tabel24256789101112[[#This Row],[Verbruik Cappucino deze maand]]+Tabel24256789101112[[#This Row],[Verbruik Hot Water deze maand]]+Tabel24256789101112[[#This Row],[Verbruik Coffee Latte deze maand]]+Tabel24256789101112[[#This Row],[Verbruik Latte Macchiato deze maand]]+Tabel24256789101112[[#This Row],[Verbruik Espresso deze maand]]+Tabel24256789101112[[#This Row],[Verbruik Coffee deze maand]]</f>
        <v>1411</v>
      </c>
      <c r="AD24" s="11">
        <v>168.5</v>
      </c>
      <c r="AE24" s="11">
        <v>146.19999999999999</v>
      </c>
      <c r="AF24">
        <f>Tabel24256789101112[[#This Row],[Stand Kamertemp liter einde maand]]-Tabel24256789101112[[#This Row],[Stand Kamertemp liter vorige maand]]</f>
        <v>22.300000000000011</v>
      </c>
      <c r="AG24" s="2">
        <f>Tabel24256789101112[[#This Row],[Verbruik Kamertemp liter deze maand]]/0.15</f>
        <v>148.66666666666674</v>
      </c>
      <c r="AH24" s="11">
        <v>1057.9000000000001</v>
      </c>
      <c r="AI24" s="11">
        <v>963</v>
      </c>
      <c r="AJ24">
        <f>Tabel24256789101112[[#This Row],[Stand Gekoeld liter einde maand]]-Tabel24256789101112[[#This Row],[Stand Gekoeld liter vorige maand]]</f>
        <v>94.900000000000091</v>
      </c>
      <c r="AK24" s="2">
        <f>Tabel24256789101112[[#This Row],[Verbruik Gekoeld liter deze maand]]/0.15</f>
        <v>632.66666666666731</v>
      </c>
      <c r="AL24" s="11">
        <v>957.7</v>
      </c>
      <c r="AM24" s="11">
        <v>884.2</v>
      </c>
      <c r="AN24">
        <f>Tabel24256789101112[[#This Row],[Stand Bruisend liter einde maand]]-Tabel24256789101112[[#This Row],[Stand Bruisend liter vorige maand]]</f>
        <v>73.5</v>
      </c>
      <c r="AO24" s="2">
        <f>Tabel24256789101112[[#This Row],[Verbruik Bruisend liter deze maand]]/0.15</f>
        <v>490</v>
      </c>
      <c r="AP24" s="11">
        <v>331</v>
      </c>
      <c r="AQ24" s="11">
        <v>306.5</v>
      </c>
      <c r="AR24">
        <f>Tabel24256789101112[[#This Row],[Stand licht bruisend liter einde maand]]-Tabel24256789101112[[#This Row],[Stand licht bruisend liter vorige maand]]</f>
        <v>24.5</v>
      </c>
      <c r="AS24" s="2">
        <f>Tabel24256789101112[[#This Row],[Verbruik licht bruisend liter deze maand]]/0.15</f>
        <v>163.33333333333334</v>
      </c>
      <c r="AT24" s="11">
        <v>1347</v>
      </c>
      <c r="AU24" s="11">
        <v>1177.4000000000001</v>
      </c>
      <c r="AV24">
        <f>Tabel24256789101112[[#This Row],[Stand heet water liter einde maand]]-Tabel24256789101112[[#This Row],[Stand heet water liter vorige maand]]</f>
        <v>169.59999999999991</v>
      </c>
      <c r="AW24" s="20">
        <f>Tabel24256789101112[[#This Row],[Verbruik heet Water liter deze maand ]]/0.15</f>
        <v>1130.6666666666661</v>
      </c>
      <c r="AX24" s="4">
        <f>Tabel24256789101112[[#This Row],[Aantal consumpties heet water deze maand]]+Tabel24256789101112[[#This Row],[Aantal consumpties licht bruisend water deze maand]]+Tabel24256789101112[[#This Row],[aantal consumpties Bruisend water deze maand]]+Tabel24256789101112[[#This Row],[Aantal consumpties gekoeld water deze maand]]+Tabel24256789101112[[#This Row],[Aantal consumpties Kamertemp deze maand]]</f>
        <v>2565.333333333333</v>
      </c>
      <c r="AY24" s="4">
        <f>Tabel24256789101112[[#This Row],[Subtotaal waterbar in consumpties]]+Tabel24256789101112[[#This Row],[Subtotaal koffieautomaten]]</f>
        <v>3976.333333333333</v>
      </c>
    </row>
    <row r="25" spans="1:51" x14ac:dyDescent="0.25">
      <c r="A25" s="3" t="s">
        <v>74</v>
      </c>
      <c r="F25" s="11"/>
      <c r="H25" s="11"/>
      <c r="I25" s="11"/>
      <c r="J25" s="12"/>
      <c r="K25" s="11"/>
      <c r="L25" s="11"/>
      <c r="O25" s="11"/>
      <c r="R25" s="11"/>
      <c r="U25" s="11"/>
      <c r="X25" s="11"/>
      <c r="AA25" s="11"/>
      <c r="AC25" s="3">
        <f>Tabel24256789101112[[#This Row],[Verbruik Stand Latte Macchiato Plantaardig deze maand]]+Tabel24256789101112[[#This Row],[Verbruik  Cappucino Plantaardig deze maand]]+Tabel24256789101112[[#This Row],[Verbruik Cappucino deze maand]]+Tabel24256789101112[[#This Row],[Verbruik Hot Water deze maand]]+Tabel24256789101112[[#This Row],[Verbruik Coffee Latte deze maand]]+Tabel24256789101112[[#This Row],[Verbruik Latte Macchiato deze maand]]+Tabel24256789101112[[#This Row],[Verbruik Espresso deze maand]]+Tabel24256789101112[[#This Row],[Verbruik Coffee deze maand]]</f>
        <v>0</v>
      </c>
      <c r="AE25" s="11"/>
      <c r="AG25" s="2"/>
      <c r="AI25" s="11"/>
      <c r="AK25" s="2"/>
      <c r="AM25" s="11"/>
      <c r="AO25" s="2"/>
      <c r="AQ25" s="11"/>
      <c r="AS25" s="2"/>
      <c r="AU25" s="11"/>
      <c r="AW25" s="20"/>
      <c r="AX25" s="3"/>
      <c r="AY25" s="4">
        <f>Tabel24256789101112[[#This Row],[Subtotaal waterbar in consumpties]]+Tabel24256789101112[[#This Row],[Subtotaal koffieautomaten]]</f>
        <v>0</v>
      </c>
    </row>
    <row r="26" spans="1:51" x14ac:dyDescent="0.25">
      <c r="A26" t="s">
        <v>32</v>
      </c>
      <c r="B26" t="s">
        <v>75</v>
      </c>
      <c r="C26" t="s">
        <v>47</v>
      </c>
      <c r="E26" s="11">
        <v>3533</v>
      </c>
      <c r="F26" s="11">
        <v>3194</v>
      </c>
      <c r="G26" s="12">
        <f>Tabel24256789101112[[#This Row],[Stand Coffee einde maand]]-Tabel24256789101112[[#This Row],[Coffee vorige maand]]</f>
        <v>339</v>
      </c>
      <c r="H26" s="11">
        <v>693</v>
      </c>
      <c r="I26" s="11">
        <v>536</v>
      </c>
      <c r="J26" s="12">
        <f>Tabel24256789101112[[#This Row],[Stand Espresso Einde maand]]-Tabel24256789101112[[#This Row],[Espresso vorige maand]]</f>
        <v>157</v>
      </c>
      <c r="K26" s="11">
        <v>1055</v>
      </c>
      <c r="L26" s="11">
        <v>992</v>
      </c>
      <c r="M26">
        <f>Tabel24256789101112[[#This Row],[Stand Latte Macchiato einde maand]]-Tabel24256789101112[[#This Row],[Latte Macchiato vorige maand]]</f>
        <v>63</v>
      </c>
      <c r="N26" s="11">
        <v>326</v>
      </c>
      <c r="O26" s="11">
        <v>308</v>
      </c>
      <c r="P26">
        <f>Tabel24256789101112[[#This Row],[Stand Coffee Latte einde maand]]-Tabel24256789101112[[#This Row],[Coffee Latte vorige maand]]</f>
        <v>18</v>
      </c>
      <c r="Q26" s="11">
        <v>1</v>
      </c>
      <c r="R26" s="11">
        <v>1</v>
      </c>
      <c r="S26">
        <f>Tabel24256789101112[[#This Row],[Stand Hot Water einde maand]]-Tabel24256789101112[[#This Row],[Hot Water vorige maand]]</f>
        <v>0</v>
      </c>
      <c r="T26" s="11">
        <v>2385</v>
      </c>
      <c r="U26" s="11">
        <v>2101</v>
      </c>
      <c r="V26">
        <f>Tabel24256789101112[[#This Row],[Stand Cappucino einde maand]]-Tabel24256789101112[[#This Row],[Stand Cappucino vorige maand]]</f>
        <v>284</v>
      </c>
      <c r="W26" s="11">
        <v>340</v>
      </c>
      <c r="X26" s="11">
        <v>295</v>
      </c>
      <c r="Y26">
        <f>Tabel24256789101112[[#This Row],[Stand Cappucino Plantaardig einde maand]]-Tabel24256789101112[[#This Row],[Stand Cappucino Plantaardig vorige maand]]</f>
        <v>45</v>
      </c>
      <c r="Z26" s="11">
        <v>245</v>
      </c>
      <c r="AA26" s="11">
        <v>234</v>
      </c>
      <c r="AB26" s="12">
        <f>Tabel24256789101112[[#This Row],[Stand Latte Macchiato Plantaardig einde maand]]-Tabel24256789101112[[#This Row],[Stand Latte Macchiato Plantaardig vorige maand]]</f>
        <v>11</v>
      </c>
      <c r="AC26" s="3">
        <f>Tabel24256789101112[[#This Row],[Verbruik Stand Latte Macchiato Plantaardig deze maand]]+Tabel24256789101112[[#This Row],[Verbruik  Cappucino Plantaardig deze maand]]+Tabel24256789101112[[#This Row],[Verbruik Cappucino deze maand]]+Tabel24256789101112[[#This Row],[Verbruik Hot Water deze maand]]+Tabel24256789101112[[#This Row],[Verbruik Coffee Latte deze maand]]+Tabel24256789101112[[#This Row],[Verbruik Latte Macchiato deze maand]]+Tabel24256789101112[[#This Row],[Verbruik Espresso deze maand]]+Tabel24256789101112[[#This Row],[Verbruik Coffee deze maand]]</f>
        <v>917</v>
      </c>
      <c r="AD26" s="11">
        <v>109.8</v>
      </c>
      <c r="AE26" s="11">
        <v>95.6</v>
      </c>
      <c r="AF26">
        <f>Tabel24256789101112[[#This Row],[Stand Kamertemp liter einde maand]]-Tabel24256789101112[[#This Row],[Stand Kamertemp liter vorige maand]]</f>
        <v>14.200000000000003</v>
      </c>
      <c r="AG26" s="2">
        <f>Tabel24256789101112[[#This Row],[Verbruik Kamertemp liter deze maand]]/0.15</f>
        <v>94.666666666666686</v>
      </c>
      <c r="AH26" s="11">
        <v>632.6</v>
      </c>
      <c r="AI26" s="11">
        <v>554.1</v>
      </c>
      <c r="AJ26">
        <f>Tabel24256789101112[[#This Row],[Stand Gekoeld liter einde maand]]-Tabel24256789101112[[#This Row],[Stand Gekoeld liter vorige maand]]</f>
        <v>78.5</v>
      </c>
      <c r="AK26" s="2">
        <f>Tabel24256789101112[[#This Row],[Verbruik Gekoeld liter deze maand]]/0.15</f>
        <v>523.33333333333337</v>
      </c>
      <c r="AL26" s="11">
        <v>497.1</v>
      </c>
      <c r="AM26" s="11">
        <v>426</v>
      </c>
      <c r="AN26">
        <f>Tabel24256789101112[[#This Row],[Stand Bruisend liter einde maand]]-Tabel24256789101112[[#This Row],[Stand Bruisend liter vorige maand]]</f>
        <v>71.100000000000023</v>
      </c>
      <c r="AO26" s="2">
        <f>Tabel24256789101112[[#This Row],[Verbruik Bruisend liter deze maand]]/0.15</f>
        <v>474.00000000000017</v>
      </c>
      <c r="AP26" s="11">
        <v>230</v>
      </c>
      <c r="AQ26" s="11">
        <v>211</v>
      </c>
      <c r="AR26">
        <f>Tabel24256789101112[[#This Row],[Stand licht bruisend liter einde maand]]-Tabel24256789101112[[#This Row],[Stand licht bruisend liter vorige maand]]</f>
        <v>19</v>
      </c>
      <c r="AS26" s="2">
        <f>Tabel24256789101112[[#This Row],[Verbruik licht bruisend liter deze maand]]/0.15</f>
        <v>126.66666666666667</v>
      </c>
      <c r="AT26" s="11">
        <v>2099.3000000000002</v>
      </c>
      <c r="AU26" s="11">
        <v>1763.8</v>
      </c>
      <c r="AV26">
        <f>Tabel24256789101112[[#This Row],[Stand heet water liter einde maand]]-Tabel24256789101112[[#This Row],[Stand heet water liter vorige maand]]</f>
        <v>335.50000000000023</v>
      </c>
      <c r="AW26" s="20">
        <f>Tabel24256789101112[[#This Row],[Verbruik heet Water liter deze maand ]]/0.15</f>
        <v>2236.6666666666683</v>
      </c>
      <c r="AX26" s="4">
        <f>Tabel24256789101112[[#This Row],[Aantal consumpties heet water deze maand]]+Tabel24256789101112[[#This Row],[Aantal consumpties licht bruisend water deze maand]]+Tabel24256789101112[[#This Row],[aantal consumpties Bruisend water deze maand]]+Tabel24256789101112[[#This Row],[Aantal consumpties gekoeld water deze maand]]+Tabel24256789101112[[#This Row],[Aantal consumpties Kamertemp deze maand]]</f>
        <v>3455.3333333333348</v>
      </c>
      <c r="AY26" s="4">
        <f>Tabel24256789101112[[#This Row],[Subtotaal waterbar in consumpties]]+Tabel24256789101112[[#This Row],[Subtotaal koffieautomaten]]</f>
        <v>4372.3333333333348</v>
      </c>
    </row>
    <row r="27" spans="1:51" x14ac:dyDescent="0.25">
      <c r="A27" t="s">
        <v>39</v>
      </c>
      <c r="B27" t="s">
        <v>76</v>
      </c>
      <c r="C27" t="s">
        <v>31</v>
      </c>
      <c r="E27" s="11">
        <v>14697</v>
      </c>
      <c r="F27" s="11">
        <v>13258</v>
      </c>
      <c r="G27" s="12">
        <f>Tabel24256789101112[[#This Row],[Stand Coffee einde maand]]-Tabel24256789101112[[#This Row],[Coffee vorige maand]]</f>
        <v>1439</v>
      </c>
      <c r="H27" s="11">
        <v>3496</v>
      </c>
      <c r="I27" s="11">
        <v>3026</v>
      </c>
      <c r="J27" s="12">
        <f>Tabel24256789101112[[#This Row],[Stand Espresso Einde maand]]-Tabel24256789101112[[#This Row],[Espresso vorige maand]]</f>
        <v>470</v>
      </c>
      <c r="K27" s="11">
        <v>1727</v>
      </c>
      <c r="L27" s="11">
        <v>1525</v>
      </c>
      <c r="M27">
        <f>Tabel24256789101112[[#This Row],[Stand Latte Macchiato einde maand]]-Tabel24256789101112[[#This Row],[Latte Macchiato vorige maand]]</f>
        <v>202</v>
      </c>
      <c r="N27" s="11">
        <v>732</v>
      </c>
      <c r="O27" s="11">
        <v>649</v>
      </c>
      <c r="P27">
        <f>Tabel24256789101112[[#This Row],[Stand Coffee Latte einde maand]]-Tabel24256789101112[[#This Row],[Coffee Latte vorige maand]]</f>
        <v>83</v>
      </c>
      <c r="Q27" s="11">
        <v>10804</v>
      </c>
      <c r="R27" s="11">
        <v>9546</v>
      </c>
      <c r="S27">
        <f>Tabel24256789101112[[#This Row],[Stand Hot Water einde maand]]-Tabel24256789101112[[#This Row],[Hot Water vorige maand]]</f>
        <v>1258</v>
      </c>
      <c r="T27" s="11">
        <v>10125</v>
      </c>
      <c r="U27" s="11">
        <v>9041</v>
      </c>
      <c r="V27">
        <f>Tabel24256789101112[[#This Row],[Stand Cappucino einde maand]]-Tabel24256789101112[[#This Row],[Stand Cappucino vorige maand]]</f>
        <v>1084</v>
      </c>
      <c r="W27" s="11">
        <v>1358</v>
      </c>
      <c r="X27" s="11">
        <v>1239</v>
      </c>
      <c r="Y27">
        <f>Tabel24256789101112[[#This Row],[Stand Cappucino Plantaardig einde maand]]-Tabel24256789101112[[#This Row],[Stand Cappucino Plantaardig vorige maand]]</f>
        <v>119</v>
      </c>
      <c r="Z27" s="11">
        <v>388</v>
      </c>
      <c r="AA27" s="11">
        <v>352</v>
      </c>
      <c r="AB27" s="12">
        <f>Tabel24256789101112[[#This Row],[Stand Latte Macchiato Plantaardig einde maand]]-Tabel24256789101112[[#This Row],[Stand Latte Macchiato Plantaardig vorige maand]]</f>
        <v>36</v>
      </c>
      <c r="AC27" s="3">
        <f>Tabel24256789101112[[#This Row],[Verbruik Stand Latte Macchiato Plantaardig deze maand]]+Tabel24256789101112[[#This Row],[Verbruik  Cappucino Plantaardig deze maand]]+Tabel24256789101112[[#This Row],[Verbruik Cappucino deze maand]]+Tabel24256789101112[[#This Row],[Verbruik Hot Water deze maand]]+Tabel24256789101112[[#This Row],[Verbruik Coffee Latte deze maand]]+Tabel24256789101112[[#This Row],[Verbruik Latte Macchiato deze maand]]+Tabel24256789101112[[#This Row],[Verbruik Espresso deze maand]]+Tabel24256789101112[[#This Row],[Verbruik Coffee deze maand]]</f>
        <v>4691</v>
      </c>
      <c r="AD27" s="26"/>
      <c r="AE27" s="26"/>
      <c r="AF27" s="5"/>
      <c r="AG27" s="7"/>
      <c r="AH27" s="26"/>
      <c r="AI27" s="26"/>
      <c r="AJ27" s="5"/>
      <c r="AK27" s="7"/>
      <c r="AL27" s="26"/>
      <c r="AM27" s="26"/>
      <c r="AN27" s="5"/>
      <c r="AO27" s="7"/>
      <c r="AP27" s="26"/>
      <c r="AQ27" s="26"/>
      <c r="AR27" s="5"/>
      <c r="AS27" s="7"/>
      <c r="AT27" s="26"/>
      <c r="AU27" s="26"/>
      <c r="AV27" s="5"/>
      <c r="AW27" s="21"/>
      <c r="AX27" s="8"/>
      <c r="AY27" s="4">
        <f>Tabel24256789101112[[#This Row],[Subtotaal waterbar in consumpties]]+Tabel24256789101112[[#This Row],[Subtotaal koffieautomaten]]</f>
        <v>4691</v>
      </c>
    </row>
    <row r="28" spans="1:51" x14ac:dyDescent="0.25">
      <c r="A28" t="s">
        <v>39</v>
      </c>
      <c r="B28" t="s">
        <v>77</v>
      </c>
      <c r="C28" t="s">
        <v>36</v>
      </c>
      <c r="E28" s="42"/>
      <c r="F28" s="42"/>
      <c r="G28" s="43"/>
      <c r="H28" s="42"/>
      <c r="I28" s="42"/>
      <c r="J28" s="43"/>
      <c r="K28" s="42"/>
      <c r="L28" s="42"/>
      <c r="M28" s="43"/>
      <c r="N28" s="42"/>
      <c r="O28" s="42"/>
      <c r="P28" s="43"/>
      <c r="Q28" s="42"/>
      <c r="R28" s="42"/>
      <c r="S28" s="43"/>
      <c r="T28" s="42"/>
      <c r="U28" s="42"/>
      <c r="V28" s="43"/>
      <c r="W28" s="42"/>
      <c r="X28" s="42"/>
      <c r="Y28" s="43"/>
      <c r="Z28" s="42"/>
      <c r="AA28" s="42"/>
      <c r="AB28" s="43"/>
      <c r="AC28" s="43"/>
      <c r="AD28" s="11">
        <v>179.1</v>
      </c>
      <c r="AE28" s="11">
        <v>115</v>
      </c>
      <c r="AF28">
        <f>Tabel24256789101112[[#This Row],[Stand Kamertemp liter einde maand]]-Tabel24256789101112[[#This Row],[Stand Kamertemp liter vorige maand]]</f>
        <v>64.099999999999994</v>
      </c>
      <c r="AG28" s="2">
        <f>Tabel24256789101112[[#This Row],[Verbruik Kamertemp liter deze maand]]/0.15</f>
        <v>427.33333333333331</v>
      </c>
      <c r="AH28" s="11">
        <v>1063.5</v>
      </c>
      <c r="AI28" s="11">
        <v>877.8</v>
      </c>
      <c r="AJ28">
        <f>Tabel24256789101112[[#This Row],[Stand Gekoeld liter einde maand]]-Tabel24256789101112[[#This Row],[Stand Gekoeld liter vorige maand]]</f>
        <v>185.70000000000005</v>
      </c>
      <c r="AK28" s="2">
        <f>Tabel24256789101112[[#This Row],[Verbruik Gekoeld liter deze maand]]/0.15</f>
        <v>1238.0000000000005</v>
      </c>
      <c r="AL28" s="11">
        <v>894.9</v>
      </c>
      <c r="AM28" s="11">
        <v>707.3</v>
      </c>
      <c r="AN28">
        <f>Tabel24256789101112[[#This Row],[Stand Bruisend liter einde maand]]-Tabel24256789101112[[#This Row],[Stand Bruisend liter vorige maand]]</f>
        <v>187.60000000000002</v>
      </c>
      <c r="AO28" s="2">
        <f>Tabel24256789101112[[#This Row],[Verbruik Bruisend liter deze maand]]/0.15</f>
        <v>1250.666666666667</v>
      </c>
      <c r="AP28" s="11">
        <v>273.5</v>
      </c>
      <c r="AQ28" s="11">
        <v>234.2</v>
      </c>
      <c r="AR28">
        <f>Tabel24256789101112[[#This Row],[Stand licht bruisend liter einde maand]]-Tabel24256789101112[[#This Row],[Stand licht bruisend liter vorige maand]]</f>
        <v>39.300000000000011</v>
      </c>
      <c r="AS28" s="2">
        <f>Tabel24256789101112[[#This Row],[Verbruik licht bruisend liter deze maand]]/0.15</f>
        <v>262.00000000000011</v>
      </c>
      <c r="AT28" s="11">
        <v>799</v>
      </c>
      <c r="AU28" s="11">
        <v>626.1</v>
      </c>
      <c r="AV28">
        <f>Tabel24256789101112[[#This Row],[Stand heet water liter einde maand]]-Tabel24256789101112[[#This Row],[Stand heet water liter vorige maand]]</f>
        <v>172.89999999999998</v>
      </c>
      <c r="AW28" s="20">
        <f>Tabel24256789101112[[#This Row],[Verbruik heet Water liter deze maand ]]/0.15</f>
        <v>1152.6666666666665</v>
      </c>
      <c r="AX28" s="4">
        <f>Tabel24256789101112[[#This Row],[Aantal consumpties heet water deze maand]]+Tabel24256789101112[[#This Row],[Aantal consumpties licht bruisend water deze maand]]+Tabel24256789101112[[#This Row],[aantal consumpties Bruisend water deze maand]]+Tabel24256789101112[[#This Row],[Aantal consumpties gekoeld water deze maand]]+Tabel24256789101112[[#This Row],[Aantal consumpties Kamertemp deze maand]]</f>
        <v>4330.666666666667</v>
      </c>
      <c r="AY28" s="4">
        <f>Tabel24256789101112[[#This Row],[Subtotaal waterbar in consumpties]]+Tabel24256789101112[[#This Row],[Subtotaal koffieautomaten]]</f>
        <v>4330.666666666667</v>
      </c>
    </row>
    <row r="29" spans="1:51" x14ac:dyDescent="0.25">
      <c r="A29" t="s">
        <v>41</v>
      </c>
      <c r="B29" t="s">
        <v>78</v>
      </c>
      <c r="C29" t="s">
        <v>47</v>
      </c>
      <c r="E29" s="11">
        <v>2482</v>
      </c>
      <c r="F29" s="11">
        <v>2199</v>
      </c>
      <c r="G29" s="12">
        <f>Tabel24256789101112[[#This Row],[Stand Coffee einde maand]]-Tabel24256789101112[[#This Row],[Coffee vorige maand]]</f>
        <v>283</v>
      </c>
      <c r="H29" s="11">
        <v>1219</v>
      </c>
      <c r="I29" s="11">
        <v>1126</v>
      </c>
      <c r="J29" s="12">
        <f>Tabel24256789101112[[#This Row],[Stand Espresso Einde maand]]-Tabel24256789101112[[#This Row],[Espresso vorige maand]]</f>
        <v>93</v>
      </c>
      <c r="K29" s="11">
        <v>231</v>
      </c>
      <c r="L29" s="11">
        <v>208</v>
      </c>
      <c r="M29">
        <f>Tabel24256789101112[[#This Row],[Stand Latte Macchiato einde maand]]-Tabel24256789101112[[#This Row],[Latte Macchiato vorige maand]]</f>
        <v>23</v>
      </c>
      <c r="N29" s="11">
        <v>175</v>
      </c>
      <c r="O29" s="11">
        <v>153</v>
      </c>
      <c r="P29">
        <f>Tabel24256789101112[[#This Row],[Stand Coffee Latte einde maand]]-Tabel24256789101112[[#This Row],[Coffee Latte vorige maand]]</f>
        <v>22</v>
      </c>
      <c r="Q29" s="11">
        <v>1</v>
      </c>
      <c r="R29" s="11">
        <v>1</v>
      </c>
      <c r="S29">
        <f>Tabel24256789101112[[#This Row],[Stand Hot Water einde maand]]-Tabel24256789101112[[#This Row],[Hot Water vorige maand]]</f>
        <v>0</v>
      </c>
      <c r="T29" s="11">
        <v>1434</v>
      </c>
      <c r="U29" s="11">
        <v>1304</v>
      </c>
      <c r="V29">
        <f>Tabel24256789101112[[#This Row],[Stand Cappucino einde maand]]-Tabel24256789101112[[#This Row],[Stand Cappucino vorige maand]]</f>
        <v>130</v>
      </c>
      <c r="W29" s="11">
        <v>841</v>
      </c>
      <c r="X29" s="11">
        <v>781</v>
      </c>
      <c r="Y29">
        <f>Tabel24256789101112[[#This Row],[Stand Cappucino Plantaardig einde maand]]-Tabel24256789101112[[#This Row],[Stand Cappucino Plantaardig vorige maand]]</f>
        <v>60</v>
      </c>
      <c r="Z29" s="11">
        <v>300</v>
      </c>
      <c r="AA29" s="11">
        <v>282</v>
      </c>
      <c r="AB29" s="12">
        <f>Tabel24256789101112[[#This Row],[Stand Latte Macchiato Plantaardig einde maand]]-Tabel24256789101112[[#This Row],[Stand Latte Macchiato Plantaardig vorige maand]]</f>
        <v>18</v>
      </c>
      <c r="AC29" s="3">
        <f>Tabel24256789101112[[#This Row],[Verbruik Stand Latte Macchiato Plantaardig deze maand]]+Tabel24256789101112[[#This Row],[Verbruik  Cappucino Plantaardig deze maand]]+Tabel24256789101112[[#This Row],[Verbruik Cappucino deze maand]]+Tabel24256789101112[[#This Row],[Verbruik Hot Water deze maand]]+Tabel24256789101112[[#This Row],[Verbruik Coffee Latte deze maand]]+Tabel24256789101112[[#This Row],[Verbruik Latte Macchiato deze maand]]+Tabel24256789101112[[#This Row],[Verbruik Espresso deze maand]]+Tabel24256789101112[[#This Row],[Verbruik Coffee deze maand]]</f>
        <v>629</v>
      </c>
      <c r="AD29" s="11">
        <v>119</v>
      </c>
      <c r="AE29" s="11">
        <v>95</v>
      </c>
      <c r="AF29">
        <f>Tabel24256789101112[[#This Row],[Stand Kamertemp liter einde maand]]-Tabel24256789101112[[#This Row],[Stand Kamertemp liter vorige maand]]</f>
        <v>24</v>
      </c>
      <c r="AG29" s="2">
        <f>Tabel24256789101112[[#This Row],[Verbruik Kamertemp liter deze maand]]/0.15</f>
        <v>160</v>
      </c>
      <c r="AH29" s="11">
        <v>830.7</v>
      </c>
      <c r="AI29" s="11">
        <v>748.5</v>
      </c>
      <c r="AJ29">
        <f>Tabel24256789101112[[#This Row],[Stand Gekoeld liter einde maand]]-Tabel24256789101112[[#This Row],[Stand Gekoeld liter vorige maand]]</f>
        <v>82.200000000000045</v>
      </c>
      <c r="AK29" s="2">
        <f>Tabel24256789101112[[#This Row],[Verbruik Gekoeld liter deze maand]]/0.15</f>
        <v>548.00000000000034</v>
      </c>
      <c r="AL29" s="11">
        <v>888.1</v>
      </c>
      <c r="AM29" s="11">
        <v>828.2</v>
      </c>
      <c r="AN29">
        <f>Tabel24256789101112[[#This Row],[Stand Bruisend liter einde maand]]-Tabel24256789101112[[#This Row],[Stand Bruisend liter vorige maand]]</f>
        <v>59.899999999999977</v>
      </c>
      <c r="AO29" s="2">
        <f>Tabel24256789101112[[#This Row],[Verbruik Bruisend liter deze maand]]/0.15</f>
        <v>399.3333333333332</v>
      </c>
      <c r="AP29" s="11">
        <v>740.6</v>
      </c>
      <c r="AQ29" s="11">
        <v>683.8</v>
      </c>
      <c r="AR29">
        <f>Tabel24256789101112[[#This Row],[Stand licht bruisend liter einde maand]]-Tabel24256789101112[[#This Row],[Stand licht bruisend liter vorige maand]]</f>
        <v>56.800000000000068</v>
      </c>
      <c r="AS29" s="2">
        <f>Tabel24256789101112[[#This Row],[Verbruik licht bruisend liter deze maand]]/0.15</f>
        <v>378.66666666666714</v>
      </c>
      <c r="AT29" s="11">
        <v>2674.7</v>
      </c>
      <c r="AU29" s="11">
        <v>2427.4</v>
      </c>
      <c r="AV29">
        <f>Tabel24256789101112[[#This Row],[Stand heet water liter einde maand]]-Tabel24256789101112[[#This Row],[Stand heet water liter vorige maand]]</f>
        <v>247.29999999999973</v>
      </c>
      <c r="AW29" s="20">
        <f>Tabel24256789101112[[#This Row],[Verbruik heet Water liter deze maand ]]/0.15</f>
        <v>1648.6666666666649</v>
      </c>
      <c r="AX29" s="4">
        <f>Tabel24256789101112[[#This Row],[Aantal consumpties heet water deze maand]]+Tabel24256789101112[[#This Row],[Aantal consumpties licht bruisend water deze maand]]+Tabel24256789101112[[#This Row],[aantal consumpties Bruisend water deze maand]]+Tabel24256789101112[[#This Row],[Aantal consumpties gekoeld water deze maand]]+Tabel24256789101112[[#This Row],[Aantal consumpties Kamertemp deze maand]]</f>
        <v>3134.6666666666656</v>
      </c>
      <c r="AY29" s="4">
        <f>Tabel24256789101112[[#This Row],[Subtotaal waterbar in consumpties]]+Tabel24256789101112[[#This Row],[Subtotaal koffieautomaten]]</f>
        <v>3763.6666666666656</v>
      </c>
    </row>
    <row r="30" spans="1:51" x14ac:dyDescent="0.25">
      <c r="A30" t="s">
        <v>43</v>
      </c>
      <c r="B30" t="s">
        <v>79</v>
      </c>
      <c r="C30" t="s">
        <v>31</v>
      </c>
      <c r="E30" s="11">
        <v>4990</v>
      </c>
      <c r="F30" s="11">
        <v>4482</v>
      </c>
      <c r="G30" s="12">
        <f>Tabel24256789101112[[#This Row],[Stand Coffee einde maand]]-Tabel24256789101112[[#This Row],[Coffee vorige maand]]</f>
        <v>508</v>
      </c>
      <c r="H30" s="11">
        <v>1431</v>
      </c>
      <c r="I30" s="11">
        <v>1370</v>
      </c>
      <c r="J30" s="12">
        <f>Tabel24256789101112[[#This Row],[Stand Espresso Einde maand]]-Tabel24256789101112[[#This Row],[Espresso vorige maand]]</f>
        <v>61</v>
      </c>
      <c r="K30" s="11">
        <v>146</v>
      </c>
      <c r="L30" s="11">
        <v>130</v>
      </c>
      <c r="M30">
        <f>Tabel24256789101112[[#This Row],[Stand Latte Macchiato einde maand]]-Tabel24256789101112[[#This Row],[Latte Macchiato vorige maand]]</f>
        <v>16</v>
      </c>
      <c r="N30" s="11">
        <v>108</v>
      </c>
      <c r="O30" s="11">
        <v>96</v>
      </c>
      <c r="P30">
        <f>Tabel24256789101112[[#This Row],[Stand Coffee Latte einde maand]]-Tabel24256789101112[[#This Row],[Coffee Latte vorige maand]]</f>
        <v>12</v>
      </c>
      <c r="Q30" s="11">
        <v>3802</v>
      </c>
      <c r="R30" s="11">
        <v>3451</v>
      </c>
      <c r="S30">
        <f>Tabel24256789101112[[#This Row],[Stand Hot Water einde maand]]-Tabel24256789101112[[#This Row],[Hot Water vorige maand]]</f>
        <v>351</v>
      </c>
      <c r="T30" s="11">
        <v>2311</v>
      </c>
      <c r="U30" s="11">
        <v>2026</v>
      </c>
      <c r="V30">
        <f>Tabel24256789101112[[#This Row],[Stand Cappucino einde maand]]-Tabel24256789101112[[#This Row],[Stand Cappucino vorige maand]]</f>
        <v>285</v>
      </c>
      <c r="W30" s="11">
        <v>154</v>
      </c>
      <c r="X30" s="11">
        <v>130</v>
      </c>
      <c r="Y30">
        <f>Tabel24256789101112[[#This Row],[Stand Cappucino Plantaardig einde maand]]-Tabel24256789101112[[#This Row],[Stand Cappucino Plantaardig vorige maand]]</f>
        <v>24</v>
      </c>
      <c r="Z30" s="11">
        <v>17</v>
      </c>
      <c r="AA30" s="11">
        <v>16</v>
      </c>
      <c r="AB30" s="12">
        <f>Tabel24256789101112[[#This Row],[Stand Latte Macchiato Plantaardig einde maand]]-Tabel24256789101112[[#This Row],[Stand Latte Macchiato Plantaardig vorige maand]]</f>
        <v>1</v>
      </c>
      <c r="AC30" s="3">
        <f>Tabel24256789101112[[#This Row],[Verbruik Stand Latte Macchiato Plantaardig deze maand]]+Tabel24256789101112[[#This Row],[Verbruik  Cappucino Plantaardig deze maand]]+Tabel24256789101112[[#This Row],[Verbruik Cappucino deze maand]]+Tabel24256789101112[[#This Row],[Verbruik Hot Water deze maand]]+Tabel24256789101112[[#This Row],[Verbruik Coffee Latte deze maand]]+Tabel24256789101112[[#This Row],[Verbruik Latte Macchiato deze maand]]+Tabel24256789101112[[#This Row],[Verbruik Espresso deze maand]]+Tabel24256789101112[[#This Row],[Verbruik Coffee deze maand]]</f>
        <v>1258</v>
      </c>
      <c r="AD30" s="26"/>
      <c r="AE30" s="26"/>
      <c r="AF30" s="5"/>
      <c r="AG30" s="5"/>
      <c r="AH30" s="26"/>
      <c r="AI30" s="26"/>
      <c r="AJ30" s="5"/>
      <c r="AK30" s="7"/>
      <c r="AL30" s="26"/>
      <c r="AM30" s="26"/>
      <c r="AN30" s="5"/>
      <c r="AO30" s="7"/>
      <c r="AP30" s="26"/>
      <c r="AQ30" s="26"/>
      <c r="AR30" s="5"/>
      <c r="AS30" s="7"/>
      <c r="AT30" s="26"/>
      <c r="AU30" s="26"/>
      <c r="AV30" s="5"/>
      <c r="AW30" s="21"/>
      <c r="AX30" s="8"/>
      <c r="AY30" s="4">
        <f>Tabel24256789101112[[#This Row],[Subtotaal waterbar in consumpties]]+Tabel24256789101112[[#This Row],[Subtotaal koffieautomaten]]</f>
        <v>1258</v>
      </c>
    </row>
    <row r="31" spans="1:51" x14ac:dyDescent="0.25">
      <c r="A31" t="s">
        <v>45</v>
      </c>
      <c r="B31" t="s">
        <v>80</v>
      </c>
      <c r="C31" t="s">
        <v>36</v>
      </c>
      <c r="E31" s="42"/>
      <c r="F31" s="42"/>
      <c r="G31" s="43"/>
      <c r="H31" s="42"/>
      <c r="I31" s="42"/>
      <c r="J31" s="43"/>
      <c r="K31" s="42"/>
      <c r="L31" s="42"/>
      <c r="M31" s="43"/>
      <c r="N31" s="42"/>
      <c r="O31" s="42"/>
      <c r="P31" s="43"/>
      <c r="Q31" s="42"/>
      <c r="R31" s="42"/>
      <c r="S31" s="43"/>
      <c r="T31" s="42"/>
      <c r="U31" s="42"/>
      <c r="V31" s="43"/>
      <c r="W31" s="42"/>
      <c r="X31" s="42"/>
      <c r="Y31" s="43"/>
      <c r="Z31" s="42"/>
      <c r="AA31" s="42"/>
      <c r="AB31" s="43"/>
      <c r="AC31" s="43"/>
      <c r="AD31" s="11">
        <v>110.6</v>
      </c>
      <c r="AE31" s="11">
        <v>78.2</v>
      </c>
      <c r="AF31">
        <f>Tabel24256789101112[[#This Row],[Stand Kamertemp liter einde maand]]-Tabel24256789101112[[#This Row],[Stand Kamertemp liter vorige maand]]</f>
        <v>32.399999999999991</v>
      </c>
      <c r="AG31" s="2">
        <f>Tabel24256789101112[[#This Row],[Verbruik Kamertemp liter deze maand]]/0.15</f>
        <v>215.99999999999994</v>
      </c>
      <c r="AH31" s="25">
        <v>423.3</v>
      </c>
      <c r="AI31" s="25">
        <v>370.6</v>
      </c>
      <c r="AJ31">
        <f>Tabel24256789101112[[#This Row],[Stand Gekoeld liter einde maand]]-Tabel24256789101112[[#This Row],[Stand Gekoeld liter vorige maand]]</f>
        <v>52.699999999999989</v>
      </c>
      <c r="AK31" s="2">
        <f>Tabel24256789101112[[#This Row],[Verbruik Gekoeld liter deze maand]]/0.15</f>
        <v>351.33333333333326</v>
      </c>
      <c r="AL31" s="26">
        <v>432</v>
      </c>
      <c r="AM31" s="26">
        <v>393.6</v>
      </c>
      <c r="AN31">
        <f>Tabel24256789101112[[#This Row],[Stand Bruisend liter einde maand]]-Tabel24256789101112[[#This Row],[Stand Bruisend liter vorige maand]]</f>
        <v>38.399999999999977</v>
      </c>
      <c r="AO31" s="2">
        <f>Tabel24256789101112[[#This Row],[Verbruik Bruisend liter deze maand]]/0.15</f>
        <v>255.99999999999986</v>
      </c>
      <c r="AP31" s="25">
        <v>306</v>
      </c>
      <c r="AQ31" s="25">
        <v>283.10000000000002</v>
      </c>
      <c r="AR31">
        <f>Tabel24256789101112[[#This Row],[Stand licht bruisend liter einde maand]]-Tabel24256789101112[[#This Row],[Stand licht bruisend liter vorige maand]]</f>
        <v>22.899999999999977</v>
      </c>
      <c r="AS31" s="2">
        <f>Tabel24256789101112[[#This Row],[Verbruik licht bruisend liter deze maand]]/0.15</f>
        <v>152.66666666666652</v>
      </c>
      <c r="AT31" s="25">
        <v>1589.5</v>
      </c>
      <c r="AU31" s="25">
        <v>1422.4</v>
      </c>
      <c r="AV31">
        <f>Tabel24256789101112[[#This Row],[Stand heet water liter einde maand]]-Tabel24256789101112[[#This Row],[Stand heet water liter vorige maand]]</f>
        <v>167.09999999999991</v>
      </c>
      <c r="AW31" s="20">
        <f>Tabel24256789101112[[#This Row],[Verbruik heet Water liter deze maand ]]/0.15</f>
        <v>1113.9999999999995</v>
      </c>
      <c r="AX31" s="4">
        <f>Tabel24256789101112[[#This Row],[Aantal consumpties heet water deze maand]]+Tabel24256789101112[[#This Row],[Aantal consumpties licht bruisend water deze maand]]+Tabel24256789101112[[#This Row],[aantal consumpties Bruisend water deze maand]]+Tabel24256789101112[[#This Row],[Aantal consumpties gekoeld water deze maand]]+Tabel24256789101112[[#This Row],[Aantal consumpties Kamertemp deze maand]]</f>
        <v>2089.9999999999991</v>
      </c>
      <c r="AY31" s="4">
        <f>Tabel24256789101112[[#This Row],[Subtotaal waterbar in consumpties]]+Tabel24256789101112[[#This Row],[Subtotaal koffieautomaten]]</f>
        <v>2089.9999999999991</v>
      </c>
    </row>
    <row r="32" spans="1:51" x14ac:dyDescent="0.25">
      <c r="A32" t="s">
        <v>48</v>
      </c>
      <c r="B32" t="s">
        <v>81</v>
      </c>
      <c r="C32" t="s">
        <v>31</v>
      </c>
      <c r="E32" s="11">
        <v>4086</v>
      </c>
      <c r="F32" s="11">
        <v>3703</v>
      </c>
      <c r="G32" s="12">
        <f>Tabel24256789101112[[#This Row],[Stand Coffee einde maand]]-Tabel24256789101112[[#This Row],[Coffee vorige maand]]</f>
        <v>383</v>
      </c>
      <c r="H32" s="11">
        <v>244</v>
      </c>
      <c r="I32" s="11">
        <v>238</v>
      </c>
      <c r="J32" s="12">
        <f>Tabel24256789101112[[#This Row],[Stand Espresso Einde maand]]-Tabel24256789101112[[#This Row],[Espresso vorige maand]]</f>
        <v>6</v>
      </c>
      <c r="K32" s="11">
        <v>269</v>
      </c>
      <c r="L32" s="11">
        <v>248</v>
      </c>
      <c r="M32">
        <f>Tabel24256789101112[[#This Row],[Stand Latte Macchiato einde maand]]-Tabel24256789101112[[#This Row],[Latte Macchiato vorige maand]]</f>
        <v>21</v>
      </c>
      <c r="N32" s="11">
        <v>206</v>
      </c>
      <c r="O32" s="11">
        <v>168</v>
      </c>
      <c r="P32">
        <f>Tabel24256789101112[[#This Row],[Stand Coffee Latte einde maand]]-Tabel24256789101112[[#This Row],[Coffee Latte vorige maand]]</f>
        <v>38</v>
      </c>
      <c r="Q32" s="11">
        <v>8814</v>
      </c>
      <c r="R32" s="11">
        <v>7721</v>
      </c>
      <c r="S32">
        <f>Tabel24256789101112[[#This Row],[Stand Hot Water einde maand]]-Tabel24256789101112[[#This Row],[Hot Water vorige maand]]</f>
        <v>1093</v>
      </c>
      <c r="T32" s="11">
        <v>1696</v>
      </c>
      <c r="U32" s="11">
        <v>1537</v>
      </c>
      <c r="V32">
        <f>Tabel24256789101112[[#This Row],[Stand Cappucino einde maand]]-Tabel24256789101112[[#This Row],[Stand Cappucino vorige maand]]</f>
        <v>159</v>
      </c>
      <c r="W32" s="11">
        <v>91</v>
      </c>
      <c r="X32" s="11">
        <v>77</v>
      </c>
      <c r="Y32">
        <f>Tabel24256789101112[[#This Row],[Stand Cappucino Plantaardig einde maand]]-Tabel24256789101112[[#This Row],[Stand Cappucino Plantaardig vorige maand]]</f>
        <v>14</v>
      </c>
      <c r="Z32" s="11">
        <v>20</v>
      </c>
      <c r="AA32" s="11">
        <v>16</v>
      </c>
      <c r="AB32" s="12">
        <f>Tabel24256789101112[[#This Row],[Stand Latte Macchiato Plantaardig einde maand]]-Tabel24256789101112[[#This Row],[Stand Latte Macchiato Plantaardig vorige maand]]</f>
        <v>4</v>
      </c>
      <c r="AC32" s="3">
        <f>Tabel24256789101112[[#This Row],[Verbruik Stand Latte Macchiato Plantaardig deze maand]]+Tabel24256789101112[[#This Row],[Verbruik  Cappucino Plantaardig deze maand]]+Tabel24256789101112[[#This Row],[Verbruik Cappucino deze maand]]+Tabel24256789101112[[#This Row],[Verbruik Hot Water deze maand]]+Tabel24256789101112[[#This Row],[Verbruik Coffee Latte deze maand]]+Tabel24256789101112[[#This Row],[Verbruik Latte Macchiato deze maand]]+Tabel24256789101112[[#This Row],[Verbruik Espresso deze maand]]+Tabel24256789101112[[#This Row],[Verbruik Coffee deze maand]]</f>
        <v>1718</v>
      </c>
      <c r="AD32" s="26"/>
      <c r="AE32" s="26"/>
      <c r="AF32" s="5"/>
      <c r="AG32" s="5"/>
      <c r="AH32" s="26"/>
      <c r="AI32" s="26"/>
      <c r="AJ32" s="5"/>
      <c r="AK32" s="7"/>
      <c r="AL32" s="26"/>
      <c r="AM32" s="26"/>
      <c r="AN32" s="5"/>
      <c r="AO32" s="7"/>
      <c r="AP32" s="26"/>
      <c r="AQ32" s="26"/>
      <c r="AR32" s="5"/>
      <c r="AS32" s="7"/>
      <c r="AT32" s="26"/>
      <c r="AU32" s="26"/>
      <c r="AV32" s="5"/>
      <c r="AW32" s="21"/>
      <c r="AX32" s="8"/>
      <c r="AY32" s="4">
        <f>Tabel24256789101112[[#This Row],[Subtotaal waterbar in consumpties]]+Tabel24256789101112[[#This Row],[Subtotaal koffieautomaten]]</f>
        <v>1718</v>
      </c>
    </row>
    <row r="33" spans="1:51" x14ac:dyDescent="0.25">
      <c r="A33" t="s">
        <v>50</v>
      </c>
      <c r="B33" t="s">
        <v>82</v>
      </c>
      <c r="C33" t="s">
        <v>47</v>
      </c>
      <c r="E33" s="11">
        <v>2914</v>
      </c>
      <c r="F33" s="11">
        <v>2590</v>
      </c>
      <c r="G33" s="12">
        <f>Tabel24256789101112[[#This Row],[Stand Coffee einde maand]]-Tabel24256789101112[[#This Row],[Coffee vorige maand]]</f>
        <v>324</v>
      </c>
      <c r="H33" s="11">
        <v>265</v>
      </c>
      <c r="I33" s="11">
        <v>243</v>
      </c>
      <c r="J33" s="12">
        <f>Tabel24256789101112[[#This Row],[Stand Espresso Einde maand]]-Tabel24256789101112[[#This Row],[Espresso vorige maand]]</f>
        <v>22</v>
      </c>
      <c r="K33" s="11">
        <v>671</v>
      </c>
      <c r="L33" s="11">
        <v>590</v>
      </c>
      <c r="M33">
        <f>Tabel24256789101112[[#This Row],[Stand Latte Macchiato einde maand]]-Tabel24256789101112[[#This Row],[Latte Macchiato vorige maand]]</f>
        <v>81</v>
      </c>
      <c r="N33" s="11">
        <v>414</v>
      </c>
      <c r="O33" s="11">
        <v>364</v>
      </c>
      <c r="P33">
        <f>Tabel24256789101112[[#This Row],[Stand Coffee Latte einde maand]]-Tabel24256789101112[[#This Row],[Coffee Latte vorige maand]]</f>
        <v>50</v>
      </c>
      <c r="Q33" s="11">
        <v>1</v>
      </c>
      <c r="R33" s="11">
        <v>1</v>
      </c>
      <c r="S33">
        <f>Tabel24256789101112[[#This Row],[Stand Hot Water einde maand]]-Tabel24256789101112[[#This Row],[Hot Water vorige maand]]</f>
        <v>0</v>
      </c>
      <c r="T33" s="11">
        <v>1660</v>
      </c>
      <c r="U33" s="11">
        <v>1431</v>
      </c>
      <c r="V33">
        <f>Tabel24256789101112[[#This Row],[Stand Cappucino einde maand]]-Tabel24256789101112[[#This Row],[Stand Cappucino vorige maand]]</f>
        <v>229</v>
      </c>
      <c r="W33" s="11">
        <v>213</v>
      </c>
      <c r="X33" s="11">
        <v>203</v>
      </c>
      <c r="Y33">
        <f>Tabel24256789101112[[#This Row],[Stand Cappucino Plantaardig einde maand]]-Tabel24256789101112[[#This Row],[Stand Cappucino Plantaardig vorige maand]]</f>
        <v>10</v>
      </c>
      <c r="Z33" s="11">
        <v>36</v>
      </c>
      <c r="AA33" s="11">
        <v>34</v>
      </c>
      <c r="AB33" s="12">
        <f>Tabel24256789101112[[#This Row],[Stand Latte Macchiato Plantaardig einde maand]]-Tabel24256789101112[[#This Row],[Stand Latte Macchiato Plantaardig vorige maand]]</f>
        <v>2</v>
      </c>
      <c r="AC33" s="3">
        <f>Tabel24256789101112[[#This Row],[Verbruik Stand Latte Macchiato Plantaardig deze maand]]+Tabel24256789101112[[#This Row],[Verbruik  Cappucino Plantaardig deze maand]]+Tabel24256789101112[[#This Row],[Verbruik Cappucino deze maand]]+Tabel24256789101112[[#This Row],[Verbruik Hot Water deze maand]]+Tabel24256789101112[[#This Row],[Verbruik Coffee Latte deze maand]]+Tabel24256789101112[[#This Row],[Verbruik Latte Macchiato deze maand]]+Tabel24256789101112[[#This Row],[Verbruik Espresso deze maand]]+Tabel24256789101112[[#This Row],[Verbruik Coffee deze maand]]</f>
        <v>718</v>
      </c>
      <c r="AD33" s="11">
        <v>84.1</v>
      </c>
      <c r="AE33" s="11">
        <v>77.2</v>
      </c>
      <c r="AF33">
        <f>Tabel24256789101112[[#This Row],[Stand Kamertemp liter einde maand]]-Tabel24256789101112[[#This Row],[Stand Kamertemp liter vorige maand]]</f>
        <v>6.8999999999999915</v>
      </c>
      <c r="AG33" s="2">
        <f>Tabel24256789101112[[#This Row],[Verbruik Kamertemp liter deze maand]]/0.15</f>
        <v>45.999999999999943</v>
      </c>
      <c r="AH33" s="11">
        <v>348.3</v>
      </c>
      <c r="AI33" s="11">
        <v>316.2</v>
      </c>
      <c r="AJ33">
        <f>Tabel24256789101112[[#This Row],[Stand Gekoeld liter einde maand]]-Tabel24256789101112[[#This Row],[Stand Gekoeld liter vorige maand]]</f>
        <v>32.100000000000023</v>
      </c>
      <c r="AK33" s="2">
        <f>Tabel24256789101112[[#This Row],[Verbruik Gekoeld liter deze maand]]/0.15</f>
        <v>214.00000000000017</v>
      </c>
      <c r="AL33" s="11">
        <v>448.9</v>
      </c>
      <c r="AM33" s="11">
        <v>420.6</v>
      </c>
      <c r="AN33">
        <f>Tabel24256789101112[[#This Row],[Stand Bruisend liter einde maand]]-Tabel24256789101112[[#This Row],[Stand Bruisend liter vorige maand]]</f>
        <v>28.299999999999955</v>
      </c>
      <c r="AO33" s="2">
        <f>Tabel24256789101112[[#This Row],[Verbruik Bruisend liter deze maand]]/0.15</f>
        <v>188.66666666666637</v>
      </c>
      <c r="AP33" s="11">
        <v>123</v>
      </c>
      <c r="AQ33" s="11">
        <v>113</v>
      </c>
      <c r="AR33">
        <f>Tabel24256789101112[[#This Row],[Stand licht bruisend liter einde maand]]-Tabel24256789101112[[#This Row],[Stand licht bruisend liter vorige maand]]</f>
        <v>10</v>
      </c>
      <c r="AS33" s="2">
        <f>Tabel24256789101112[[#This Row],[Verbruik licht bruisend liter deze maand]]/0.15</f>
        <v>66.666666666666671</v>
      </c>
      <c r="AT33" s="11">
        <v>1218.4000000000001</v>
      </c>
      <c r="AU33" s="11">
        <v>1107.9000000000001</v>
      </c>
      <c r="AV33">
        <f>Tabel24256789101112[[#This Row],[Stand heet water liter einde maand]]-Tabel24256789101112[[#This Row],[Stand heet water liter vorige maand]]</f>
        <v>110.5</v>
      </c>
      <c r="AW33" s="20">
        <f>Tabel24256789101112[[#This Row],[Verbruik heet Water liter deze maand ]]/0.15</f>
        <v>736.66666666666674</v>
      </c>
      <c r="AX33" s="4">
        <f>Tabel24256789101112[[#This Row],[Aantal consumpties heet water deze maand]]+Tabel24256789101112[[#This Row],[Aantal consumpties licht bruisend water deze maand]]+Tabel24256789101112[[#This Row],[aantal consumpties Bruisend water deze maand]]+Tabel24256789101112[[#This Row],[Aantal consumpties gekoeld water deze maand]]+Tabel24256789101112[[#This Row],[Aantal consumpties Kamertemp deze maand]]</f>
        <v>1252</v>
      </c>
      <c r="AY33" s="4">
        <f>Tabel24256789101112[[#This Row],[Subtotaal waterbar in consumpties]]+Tabel24256789101112[[#This Row],[Subtotaal koffieautomaten]]</f>
        <v>1970</v>
      </c>
    </row>
    <row r="34" spans="1:51" x14ac:dyDescent="0.25">
      <c r="A34" t="s">
        <v>52</v>
      </c>
      <c r="B34" t="s">
        <v>83</v>
      </c>
      <c r="C34" t="s">
        <v>47</v>
      </c>
      <c r="E34" s="11">
        <v>3192</v>
      </c>
      <c r="F34" s="11">
        <v>2886</v>
      </c>
      <c r="G34" s="12">
        <f>Tabel24256789101112[[#This Row],[Stand Coffee einde maand]]-Tabel24256789101112[[#This Row],[Coffee vorige maand]]</f>
        <v>306</v>
      </c>
      <c r="H34" s="11">
        <v>1515</v>
      </c>
      <c r="I34" s="11">
        <v>1288</v>
      </c>
      <c r="J34" s="12">
        <f>Tabel24256789101112[[#This Row],[Stand Espresso Einde maand]]-Tabel24256789101112[[#This Row],[Espresso vorige maand]]</f>
        <v>227</v>
      </c>
      <c r="K34" s="11">
        <v>533</v>
      </c>
      <c r="L34" s="11">
        <v>472</v>
      </c>
      <c r="M34">
        <f>Tabel24256789101112[[#This Row],[Stand Latte Macchiato einde maand]]-Tabel24256789101112[[#This Row],[Latte Macchiato vorige maand]]</f>
        <v>61</v>
      </c>
      <c r="N34" s="11">
        <v>175</v>
      </c>
      <c r="O34" s="11">
        <v>154</v>
      </c>
      <c r="P34">
        <f>Tabel24256789101112[[#This Row],[Stand Coffee Latte einde maand]]-Tabel24256789101112[[#This Row],[Coffee Latte vorige maand]]</f>
        <v>21</v>
      </c>
      <c r="Q34" s="11">
        <v>1</v>
      </c>
      <c r="R34" s="11">
        <v>1</v>
      </c>
      <c r="S34">
        <f>Tabel24256789101112[[#This Row],[Stand Hot Water einde maand]]-Tabel24256789101112[[#This Row],[Hot Water vorige maand]]</f>
        <v>0</v>
      </c>
      <c r="T34" s="11">
        <v>1009</v>
      </c>
      <c r="U34" s="11">
        <v>908</v>
      </c>
      <c r="V34">
        <f>Tabel24256789101112[[#This Row],[Stand Cappucino einde maand]]-Tabel24256789101112[[#This Row],[Stand Cappucino vorige maand]]</f>
        <v>101</v>
      </c>
      <c r="W34" s="11">
        <v>402</v>
      </c>
      <c r="X34" s="11">
        <v>367</v>
      </c>
      <c r="Y34">
        <f>Tabel24256789101112[[#This Row],[Stand Cappucino Plantaardig einde maand]]-Tabel24256789101112[[#This Row],[Stand Cappucino Plantaardig vorige maand]]</f>
        <v>35</v>
      </c>
      <c r="Z34" s="11">
        <v>472</v>
      </c>
      <c r="AA34" s="11">
        <v>408</v>
      </c>
      <c r="AB34" s="12">
        <f>Tabel24256789101112[[#This Row],[Stand Latte Macchiato Plantaardig einde maand]]-Tabel24256789101112[[#This Row],[Stand Latte Macchiato Plantaardig vorige maand]]</f>
        <v>64</v>
      </c>
      <c r="AC34" s="3">
        <f>Tabel24256789101112[[#This Row],[Verbruik Stand Latte Macchiato Plantaardig deze maand]]+Tabel24256789101112[[#This Row],[Verbruik  Cappucino Plantaardig deze maand]]+Tabel24256789101112[[#This Row],[Verbruik Cappucino deze maand]]+Tabel24256789101112[[#This Row],[Verbruik Hot Water deze maand]]+Tabel24256789101112[[#This Row],[Verbruik Coffee Latte deze maand]]+Tabel24256789101112[[#This Row],[Verbruik Latte Macchiato deze maand]]+Tabel24256789101112[[#This Row],[Verbruik Espresso deze maand]]+Tabel24256789101112[[#This Row],[Verbruik Coffee deze maand]]</f>
        <v>815</v>
      </c>
      <c r="AD34" s="11">
        <v>84.8</v>
      </c>
      <c r="AE34" s="11">
        <v>76.599999999999994</v>
      </c>
      <c r="AF34">
        <f>Tabel24256789101112[[#This Row],[Stand Kamertemp liter einde maand]]-Tabel24256789101112[[#This Row],[Stand Kamertemp liter vorige maand]]</f>
        <v>8.2000000000000028</v>
      </c>
      <c r="AG34" s="2">
        <f>Tabel24256789101112[[#This Row],[Verbruik Kamertemp liter deze maand]]/0.15</f>
        <v>54.666666666666686</v>
      </c>
      <c r="AH34" s="11">
        <v>458.4</v>
      </c>
      <c r="AI34" s="11">
        <v>427.9</v>
      </c>
      <c r="AJ34">
        <f>Tabel24256789101112[[#This Row],[Stand Gekoeld liter einde maand]]-Tabel24256789101112[[#This Row],[Stand Gekoeld liter vorige maand]]</f>
        <v>30.5</v>
      </c>
      <c r="AK34" s="2">
        <f>Tabel24256789101112[[#This Row],[Verbruik Gekoeld liter deze maand]]/0.15</f>
        <v>203.33333333333334</v>
      </c>
      <c r="AL34" s="11">
        <v>369.1</v>
      </c>
      <c r="AM34" s="11">
        <v>322</v>
      </c>
      <c r="AN34">
        <f>Tabel24256789101112[[#This Row],[Stand Bruisend liter einde maand]]-Tabel24256789101112[[#This Row],[Stand Bruisend liter vorige maand]]</f>
        <v>47.100000000000023</v>
      </c>
      <c r="AO34" s="2">
        <f>Tabel24256789101112[[#This Row],[Verbruik Bruisend liter deze maand]]/0.15</f>
        <v>314.00000000000017</v>
      </c>
      <c r="AP34" s="11">
        <v>126.1</v>
      </c>
      <c r="AQ34" s="11">
        <v>116.9</v>
      </c>
      <c r="AR34">
        <f>Tabel24256789101112[[#This Row],[Stand licht bruisend liter einde maand]]-Tabel24256789101112[[#This Row],[Stand licht bruisend liter vorige maand]]</f>
        <v>9.1999999999999886</v>
      </c>
      <c r="AS34" s="2">
        <f>Tabel24256789101112[[#This Row],[Verbruik licht bruisend liter deze maand]]/0.15</f>
        <v>61.333333333333258</v>
      </c>
      <c r="AT34" s="11">
        <v>2227.3000000000002</v>
      </c>
      <c r="AU34" s="11">
        <v>2045.6</v>
      </c>
      <c r="AV34">
        <f>Tabel24256789101112[[#This Row],[Stand heet water liter einde maand]]-Tabel24256789101112[[#This Row],[Stand heet water liter vorige maand]]</f>
        <v>181.70000000000027</v>
      </c>
      <c r="AW34" s="20">
        <f>Tabel24256789101112[[#This Row],[Verbruik heet Water liter deze maand ]]/0.15</f>
        <v>1211.3333333333353</v>
      </c>
      <c r="AX34" s="4">
        <f>Tabel24256789101112[[#This Row],[Aantal consumpties heet water deze maand]]+Tabel24256789101112[[#This Row],[Aantal consumpties licht bruisend water deze maand]]+Tabel24256789101112[[#This Row],[aantal consumpties Bruisend water deze maand]]+Tabel24256789101112[[#This Row],[Aantal consumpties gekoeld water deze maand]]+Tabel24256789101112[[#This Row],[Aantal consumpties Kamertemp deze maand]]</f>
        <v>1844.6666666666688</v>
      </c>
      <c r="AY34" s="4">
        <f>Tabel24256789101112[[#This Row],[Subtotaal waterbar in consumpties]]+Tabel24256789101112[[#This Row],[Subtotaal koffieautomaten]]</f>
        <v>2659.6666666666688</v>
      </c>
    </row>
    <row r="35" spans="1:51" x14ac:dyDescent="0.25">
      <c r="A35" t="s">
        <v>54</v>
      </c>
      <c r="B35" t="s">
        <v>84</v>
      </c>
      <c r="C35" t="s">
        <v>31</v>
      </c>
      <c r="E35" s="11">
        <v>3650</v>
      </c>
      <c r="F35" s="11">
        <v>3253</v>
      </c>
      <c r="G35" s="12">
        <f>Tabel24256789101112[[#This Row],[Stand Coffee einde maand]]-Tabel24256789101112[[#This Row],[Coffee vorige maand]]</f>
        <v>397</v>
      </c>
      <c r="H35" s="11">
        <v>725</v>
      </c>
      <c r="I35" s="11">
        <v>625</v>
      </c>
      <c r="J35" s="12">
        <f>Tabel24256789101112[[#This Row],[Stand Espresso Einde maand]]-Tabel24256789101112[[#This Row],[Espresso vorige maand]]</f>
        <v>100</v>
      </c>
      <c r="K35" s="11">
        <v>400</v>
      </c>
      <c r="L35" s="11">
        <v>142</v>
      </c>
      <c r="M35">
        <f>Tabel24256789101112[[#This Row],[Stand Latte Macchiato einde maand]]-Tabel24256789101112[[#This Row],[Latte Macchiato vorige maand]]</f>
        <v>258</v>
      </c>
      <c r="N35" s="11">
        <v>142</v>
      </c>
      <c r="O35" s="11">
        <v>118</v>
      </c>
      <c r="P35">
        <f>Tabel24256789101112[[#This Row],[Stand Coffee Latte einde maand]]-Tabel24256789101112[[#This Row],[Coffee Latte vorige maand]]</f>
        <v>24</v>
      </c>
      <c r="Q35" s="11">
        <v>6044</v>
      </c>
      <c r="R35" s="11">
        <v>5268</v>
      </c>
      <c r="S35">
        <f>Tabel24256789101112[[#This Row],[Stand Hot Water einde maand]]-Tabel24256789101112[[#This Row],[Hot Water vorige maand]]</f>
        <v>776</v>
      </c>
      <c r="T35" s="11">
        <v>1288</v>
      </c>
      <c r="U35" s="11">
        <v>1155</v>
      </c>
      <c r="V35">
        <f>Tabel24256789101112[[#This Row],[Stand Cappucino einde maand]]-Tabel24256789101112[[#This Row],[Stand Cappucino vorige maand]]</f>
        <v>133</v>
      </c>
      <c r="W35" s="11">
        <v>169</v>
      </c>
      <c r="X35" s="11">
        <v>155</v>
      </c>
      <c r="Y35">
        <f>Tabel24256789101112[[#This Row],[Stand Cappucino Plantaardig einde maand]]-Tabel24256789101112[[#This Row],[Stand Cappucino Plantaardig vorige maand]]</f>
        <v>14</v>
      </c>
      <c r="Z35" s="11">
        <v>296</v>
      </c>
      <c r="AA35" s="11">
        <v>285</v>
      </c>
      <c r="AB35" s="12">
        <f>Tabel24256789101112[[#This Row],[Stand Latte Macchiato Plantaardig einde maand]]-Tabel24256789101112[[#This Row],[Stand Latte Macchiato Plantaardig vorige maand]]</f>
        <v>11</v>
      </c>
      <c r="AC35" s="3">
        <f>Tabel24256789101112[[#This Row],[Verbruik Stand Latte Macchiato Plantaardig deze maand]]+Tabel24256789101112[[#This Row],[Verbruik  Cappucino Plantaardig deze maand]]+Tabel24256789101112[[#This Row],[Verbruik Cappucino deze maand]]+Tabel24256789101112[[#This Row],[Verbruik Hot Water deze maand]]+Tabel24256789101112[[#This Row],[Verbruik Coffee Latte deze maand]]+Tabel24256789101112[[#This Row],[Verbruik Latte Macchiato deze maand]]+Tabel24256789101112[[#This Row],[Verbruik Espresso deze maand]]+Tabel24256789101112[[#This Row],[Verbruik Coffee deze maand]]</f>
        <v>1713</v>
      </c>
      <c r="AD35" s="26"/>
      <c r="AE35" s="26"/>
      <c r="AF35" s="5"/>
      <c r="AG35" s="5"/>
      <c r="AH35" s="26"/>
      <c r="AI35" s="26"/>
      <c r="AJ35" s="5"/>
      <c r="AK35" s="5"/>
      <c r="AL35" s="26"/>
      <c r="AM35" s="26"/>
      <c r="AN35" s="5"/>
      <c r="AO35" s="7"/>
      <c r="AP35" s="26"/>
      <c r="AQ35" s="26"/>
      <c r="AR35" s="5"/>
      <c r="AS35" s="7"/>
      <c r="AT35" s="26"/>
      <c r="AU35" s="26"/>
      <c r="AV35" s="5"/>
      <c r="AW35" s="21"/>
      <c r="AX35" s="8"/>
      <c r="AY35" s="4">
        <f>Tabel24256789101112[[#This Row],[Subtotaal waterbar in consumpties]]+Tabel24256789101112[[#This Row],[Subtotaal koffieautomaten]]</f>
        <v>1713</v>
      </c>
    </row>
    <row r="36" spans="1:51" x14ac:dyDescent="0.25">
      <c r="A36" t="s">
        <v>56</v>
      </c>
      <c r="B36" t="s">
        <v>85</v>
      </c>
      <c r="C36" t="s">
        <v>36</v>
      </c>
      <c r="E36" s="42"/>
      <c r="F36" s="42"/>
      <c r="G36" s="43"/>
      <c r="H36" s="42"/>
      <c r="I36" s="42"/>
      <c r="J36" s="43"/>
      <c r="K36" s="42"/>
      <c r="L36" s="42"/>
      <c r="M36" s="43"/>
      <c r="N36" s="42"/>
      <c r="O36" s="42"/>
      <c r="P36" s="43"/>
      <c r="Q36" s="42"/>
      <c r="R36" s="42"/>
      <c r="S36" s="43"/>
      <c r="T36" s="42"/>
      <c r="U36" s="42"/>
      <c r="V36" s="43"/>
      <c r="W36" s="42"/>
      <c r="X36" s="42"/>
      <c r="Y36" s="43"/>
      <c r="Z36" s="42"/>
      <c r="AA36" s="42"/>
      <c r="AB36" s="43"/>
      <c r="AC36" s="43"/>
      <c r="AD36" s="11">
        <v>46.7</v>
      </c>
      <c r="AE36" s="11">
        <v>44.2</v>
      </c>
      <c r="AF36">
        <f>Tabel24256789101112[[#This Row],[Stand Kamertemp liter einde maand]]-Tabel24256789101112[[#This Row],[Stand Kamertemp liter vorige maand]]</f>
        <v>2.5</v>
      </c>
      <c r="AG36" s="2">
        <f>Tabel24256789101112[[#This Row],[Verbruik Kamertemp liter deze maand]]/0.15</f>
        <v>16.666666666666668</v>
      </c>
      <c r="AH36" s="11">
        <v>546.20000000000005</v>
      </c>
      <c r="AI36" s="11">
        <v>497.1</v>
      </c>
      <c r="AJ36">
        <f>Tabel24256789101112[[#This Row],[Stand Gekoeld liter einde maand]]-Tabel24256789101112[[#This Row],[Stand Gekoeld liter vorige maand]]</f>
        <v>49.100000000000023</v>
      </c>
      <c r="AK36" s="2">
        <f>Tabel24256789101112[[#This Row],[Verbruik Gekoeld liter deze maand]]/0.15</f>
        <v>327.33333333333348</v>
      </c>
      <c r="AL36" s="11">
        <v>241.1</v>
      </c>
      <c r="AM36" s="11">
        <v>226</v>
      </c>
      <c r="AN36">
        <f>Tabel24256789101112[[#This Row],[Stand Bruisend liter einde maand]]-Tabel24256789101112[[#This Row],[Stand Bruisend liter vorige maand]]</f>
        <v>15.099999999999994</v>
      </c>
      <c r="AO36" s="2">
        <f>Tabel24256789101112[[#This Row],[Verbruik Bruisend liter deze maand]]/0.15</f>
        <v>100.66666666666663</v>
      </c>
      <c r="AP36" s="11">
        <v>227.1</v>
      </c>
      <c r="AQ36" s="11">
        <v>198.8</v>
      </c>
      <c r="AR36">
        <f>Tabel24256789101112[[#This Row],[Stand licht bruisend liter einde maand]]-Tabel24256789101112[[#This Row],[Stand licht bruisend liter vorige maand]]</f>
        <v>28.299999999999983</v>
      </c>
      <c r="AS36" s="2">
        <f>Tabel24256789101112[[#This Row],[Verbruik licht bruisend liter deze maand]]/0.15</f>
        <v>188.66666666666657</v>
      </c>
      <c r="AT36" s="11">
        <v>1739.7</v>
      </c>
      <c r="AU36" s="11">
        <v>1564.3</v>
      </c>
      <c r="AV36">
        <f>Tabel24256789101112[[#This Row],[Stand heet water liter einde maand]]-Tabel24256789101112[[#This Row],[Stand heet water liter vorige maand]]</f>
        <v>175.40000000000009</v>
      </c>
      <c r="AW36" s="20">
        <f>Tabel24256789101112[[#This Row],[Verbruik heet Water liter deze maand ]]/0.15</f>
        <v>1169.3333333333339</v>
      </c>
      <c r="AX36" s="4">
        <f>Tabel24256789101112[[#This Row],[Aantal consumpties heet water deze maand]]+Tabel24256789101112[[#This Row],[Aantal consumpties licht bruisend water deze maand]]+Tabel24256789101112[[#This Row],[aantal consumpties Bruisend water deze maand]]+Tabel24256789101112[[#This Row],[Aantal consumpties gekoeld water deze maand]]+Tabel24256789101112[[#This Row],[Aantal consumpties Kamertemp deze maand]]</f>
        <v>1802.6666666666672</v>
      </c>
      <c r="AY36" s="4">
        <f>Tabel24256789101112[[#This Row],[Subtotaal waterbar in consumpties]]+Tabel24256789101112[[#This Row],[Subtotaal koffieautomaten]]</f>
        <v>1802.6666666666672</v>
      </c>
    </row>
    <row r="37" spans="1:51" x14ac:dyDescent="0.25">
      <c r="A37" t="s">
        <v>58</v>
      </c>
      <c r="B37" t="s">
        <v>86</v>
      </c>
      <c r="C37" t="s">
        <v>47</v>
      </c>
      <c r="E37" s="11">
        <v>5033</v>
      </c>
      <c r="F37" s="11">
        <v>4648</v>
      </c>
      <c r="G37" s="12">
        <f>Tabel24256789101112[[#This Row],[Stand Coffee einde maand]]-Tabel24256789101112[[#This Row],[Coffee vorige maand]]</f>
        <v>385</v>
      </c>
      <c r="H37" s="11">
        <v>1350</v>
      </c>
      <c r="I37" s="11">
        <v>1220</v>
      </c>
      <c r="J37" s="12">
        <f>Tabel24256789101112[[#This Row],[Stand Espresso Einde maand]]-Tabel24256789101112[[#This Row],[Espresso vorige maand]]</f>
        <v>130</v>
      </c>
      <c r="K37" s="11">
        <v>518</v>
      </c>
      <c r="L37" s="11">
        <v>471</v>
      </c>
      <c r="M37">
        <f>Tabel24256789101112[[#This Row],[Stand Latte Macchiato einde maand]]-Tabel24256789101112[[#This Row],[Latte Macchiato vorige maand]]</f>
        <v>47</v>
      </c>
      <c r="N37" s="11">
        <v>398</v>
      </c>
      <c r="O37" s="11">
        <v>338</v>
      </c>
      <c r="P37">
        <f>Tabel24256789101112[[#This Row],[Stand Coffee Latte einde maand]]-Tabel24256789101112[[#This Row],[Coffee Latte vorige maand]]</f>
        <v>60</v>
      </c>
      <c r="Q37" s="11">
        <v>1</v>
      </c>
      <c r="R37" s="11">
        <v>1</v>
      </c>
      <c r="S37">
        <f>Tabel24256789101112[[#This Row],[Stand Hot Water einde maand]]-Tabel24256789101112[[#This Row],[Hot Water vorige maand]]</f>
        <v>0</v>
      </c>
      <c r="T37" s="11">
        <v>2768</v>
      </c>
      <c r="U37" s="11">
        <v>2501</v>
      </c>
      <c r="V37">
        <f>Tabel24256789101112[[#This Row],[Stand Cappucino einde maand]]-Tabel24256789101112[[#This Row],[Stand Cappucino vorige maand]]</f>
        <v>267</v>
      </c>
      <c r="W37" s="11">
        <v>416</v>
      </c>
      <c r="X37" s="11">
        <v>378</v>
      </c>
      <c r="Y37">
        <f>Tabel24256789101112[[#This Row],[Stand Cappucino Plantaardig einde maand]]-Tabel24256789101112[[#This Row],[Stand Cappucino Plantaardig vorige maand]]</f>
        <v>38</v>
      </c>
      <c r="Z37" s="11">
        <v>309</v>
      </c>
      <c r="AA37" s="11">
        <v>309</v>
      </c>
      <c r="AB37" s="12">
        <f>Tabel24256789101112[[#This Row],[Stand Latte Macchiato Plantaardig einde maand]]-Tabel24256789101112[[#This Row],[Stand Latte Macchiato Plantaardig vorige maand]]</f>
        <v>0</v>
      </c>
      <c r="AC37" s="3">
        <f>Tabel24256789101112[[#This Row],[Verbruik Stand Latte Macchiato Plantaardig deze maand]]+Tabel24256789101112[[#This Row],[Verbruik  Cappucino Plantaardig deze maand]]+Tabel24256789101112[[#This Row],[Verbruik Cappucino deze maand]]+Tabel24256789101112[[#This Row],[Verbruik Hot Water deze maand]]+Tabel24256789101112[[#This Row],[Verbruik Coffee Latte deze maand]]+Tabel24256789101112[[#This Row],[Verbruik Latte Macchiato deze maand]]+Tabel24256789101112[[#This Row],[Verbruik Espresso deze maand]]+Tabel24256789101112[[#This Row],[Verbruik Coffee deze maand]]</f>
        <v>927</v>
      </c>
      <c r="AD37" s="11">
        <v>124.5</v>
      </c>
      <c r="AE37" s="11">
        <v>115.5</v>
      </c>
      <c r="AF37">
        <f>Tabel24256789101112[[#This Row],[Stand Kamertemp liter einde maand]]-Tabel24256789101112[[#This Row],[Stand Kamertemp liter vorige maand]]</f>
        <v>9</v>
      </c>
      <c r="AG37" s="2">
        <f>Tabel24256789101112[[#This Row],[Verbruik Kamertemp liter deze maand]]/0.15</f>
        <v>60</v>
      </c>
      <c r="AH37" s="11">
        <v>752.2</v>
      </c>
      <c r="AI37" s="11">
        <v>682.8</v>
      </c>
      <c r="AJ37">
        <f>Tabel24256789101112[[#This Row],[Stand Gekoeld liter einde maand]]-Tabel24256789101112[[#This Row],[Stand Gekoeld liter vorige maand]]</f>
        <v>69.400000000000091</v>
      </c>
      <c r="AK37" s="2">
        <f>Tabel24256789101112[[#This Row],[Verbruik Gekoeld liter deze maand]]/0.15</f>
        <v>462.66666666666731</v>
      </c>
      <c r="AL37" s="11">
        <v>415.7</v>
      </c>
      <c r="AM37" s="11">
        <v>353.9</v>
      </c>
      <c r="AN37">
        <f>Tabel24256789101112[[#This Row],[Stand Bruisend liter einde maand]]-Tabel24256789101112[[#This Row],[Stand Bruisend liter vorige maand]]</f>
        <v>61.800000000000011</v>
      </c>
      <c r="AO37" s="2">
        <f>Tabel24256789101112[[#This Row],[Verbruik Bruisend liter deze maand]]/0.15</f>
        <v>412.00000000000011</v>
      </c>
      <c r="AP37" s="11">
        <v>118.7</v>
      </c>
      <c r="AQ37" s="11">
        <v>109.4</v>
      </c>
      <c r="AR37">
        <f>Tabel24256789101112[[#This Row],[Stand licht bruisend liter einde maand]]-Tabel24256789101112[[#This Row],[Stand licht bruisend liter vorige maand]]</f>
        <v>9.2999999999999972</v>
      </c>
      <c r="AS37" s="2">
        <f>Tabel24256789101112[[#This Row],[Verbruik licht bruisend liter deze maand]]/0.15</f>
        <v>61.999999999999986</v>
      </c>
      <c r="AT37" s="11">
        <v>1877.3</v>
      </c>
      <c r="AU37" s="11">
        <v>1678.2</v>
      </c>
      <c r="AV37">
        <f>Tabel24256789101112[[#This Row],[Stand heet water liter einde maand]]-Tabel24256789101112[[#This Row],[Stand heet water liter vorige maand]]</f>
        <v>199.09999999999991</v>
      </c>
      <c r="AW37" s="20">
        <f>Tabel24256789101112[[#This Row],[Verbruik heet Water liter deze maand ]]/0.15</f>
        <v>1327.3333333333328</v>
      </c>
      <c r="AX37" s="4">
        <v>3288.4</v>
      </c>
      <c r="AY37" s="4">
        <f>Tabel24256789101112[[#This Row],[Subtotaal waterbar in consumpties]]+Tabel24256789101112[[#This Row],[Subtotaal koffieautomaten]]</f>
        <v>4215.3999999999996</v>
      </c>
    </row>
    <row r="38" spans="1:51" x14ac:dyDescent="0.25">
      <c r="A38" t="s">
        <v>60</v>
      </c>
      <c r="B38" t="s">
        <v>87</v>
      </c>
      <c r="C38" t="s">
        <v>31</v>
      </c>
      <c r="E38" s="11">
        <v>1990</v>
      </c>
      <c r="F38" s="11">
        <v>1745</v>
      </c>
      <c r="G38" s="12">
        <f>Tabel24256789101112[[#This Row],[Stand Coffee einde maand]]-Tabel24256789101112[[#This Row],[Coffee vorige maand]]</f>
        <v>245</v>
      </c>
      <c r="H38" s="11">
        <v>402</v>
      </c>
      <c r="I38" s="11">
        <v>362</v>
      </c>
      <c r="J38" s="12">
        <f>Tabel24256789101112[[#This Row],[Stand Espresso Einde maand]]-Tabel24256789101112[[#This Row],[Espresso vorige maand]]</f>
        <v>40</v>
      </c>
      <c r="K38" s="11">
        <v>445</v>
      </c>
      <c r="L38" s="11">
        <v>396</v>
      </c>
      <c r="M38">
        <f>Tabel24256789101112[[#This Row],[Stand Latte Macchiato einde maand]]-Tabel24256789101112[[#This Row],[Latte Macchiato vorige maand]]</f>
        <v>49</v>
      </c>
      <c r="N38" s="11">
        <v>311</v>
      </c>
      <c r="O38" s="11">
        <v>278</v>
      </c>
      <c r="P38">
        <f>Tabel24256789101112[[#This Row],[Stand Coffee Latte einde maand]]-Tabel24256789101112[[#This Row],[Coffee Latte vorige maand]]</f>
        <v>33</v>
      </c>
      <c r="Q38" s="11">
        <v>7527</v>
      </c>
      <c r="R38" s="11">
        <v>6678</v>
      </c>
      <c r="S38">
        <f>Tabel24256789101112[[#This Row],[Stand Hot Water einde maand]]-Tabel24256789101112[[#This Row],[Hot Water vorige maand]]</f>
        <v>849</v>
      </c>
      <c r="T38" s="11">
        <v>1519</v>
      </c>
      <c r="U38" s="11">
        <v>1385</v>
      </c>
      <c r="V38">
        <f>Tabel24256789101112[[#This Row],[Stand Cappucino einde maand]]-Tabel24256789101112[[#This Row],[Stand Cappucino vorige maand]]</f>
        <v>134</v>
      </c>
      <c r="W38" s="11">
        <v>209</v>
      </c>
      <c r="X38" s="11">
        <v>200</v>
      </c>
      <c r="Y38">
        <f>Tabel24256789101112[[#This Row],[Stand Cappucino Plantaardig einde maand]]-Tabel24256789101112[[#This Row],[Stand Cappucino Plantaardig vorige maand]]</f>
        <v>9</v>
      </c>
      <c r="Z38" s="11">
        <v>127</v>
      </c>
      <c r="AA38" s="11">
        <v>127</v>
      </c>
      <c r="AB38" s="12">
        <f>Tabel24256789101112[[#This Row],[Stand Latte Macchiato Plantaardig einde maand]]-Tabel24256789101112[[#This Row],[Stand Latte Macchiato Plantaardig vorige maand]]</f>
        <v>0</v>
      </c>
      <c r="AC38" s="3">
        <f>Tabel24256789101112[[#This Row],[Verbruik Stand Latte Macchiato Plantaardig deze maand]]+Tabel24256789101112[[#This Row],[Verbruik  Cappucino Plantaardig deze maand]]+Tabel24256789101112[[#This Row],[Verbruik Cappucino deze maand]]+Tabel24256789101112[[#This Row],[Verbruik Hot Water deze maand]]+Tabel24256789101112[[#This Row],[Verbruik Coffee Latte deze maand]]+Tabel24256789101112[[#This Row],[Verbruik Latte Macchiato deze maand]]+Tabel24256789101112[[#This Row],[Verbruik Espresso deze maand]]+Tabel24256789101112[[#This Row],[Verbruik Coffee deze maand]]</f>
        <v>1359</v>
      </c>
      <c r="AD38" s="26"/>
      <c r="AE38" s="26"/>
      <c r="AF38" s="5"/>
      <c r="AG38" s="5"/>
      <c r="AH38" s="26"/>
      <c r="AI38" s="26"/>
      <c r="AJ38" s="5"/>
      <c r="AK38" s="5"/>
      <c r="AL38" s="26"/>
      <c r="AM38" s="26"/>
      <c r="AN38" s="5"/>
      <c r="AO38" s="5"/>
      <c r="AP38" s="26"/>
      <c r="AQ38" s="26"/>
      <c r="AR38" s="5"/>
      <c r="AS38" s="5"/>
      <c r="AT38" s="26"/>
      <c r="AU38" s="26"/>
      <c r="AV38" s="5"/>
      <c r="AW38" s="16"/>
      <c r="AX38" s="6"/>
      <c r="AY38" s="4">
        <f>Tabel24256789101112[[#This Row],[Subtotaal waterbar in consumpties]]+Tabel24256789101112[[#This Row],[Subtotaal koffieautomaten]]</f>
        <v>1359</v>
      </c>
    </row>
    <row r="39" spans="1:51" x14ac:dyDescent="0.25">
      <c r="A39" s="3" t="s">
        <v>88</v>
      </c>
      <c r="F39" s="11"/>
      <c r="H39" s="11"/>
      <c r="I39" s="11"/>
      <c r="J39" s="12"/>
      <c r="K39" s="11"/>
      <c r="L39" s="11"/>
      <c r="O39" s="11"/>
      <c r="R39" s="11"/>
      <c r="U39" s="11"/>
      <c r="X39" s="11"/>
      <c r="AA39" s="11"/>
      <c r="AC39" s="3">
        <f>Tabel24256789101112[[#This Row],[Verbruik Stand Latte Macchiato Plantaardig deze maand]]+Tabel24256789101112[[#This Row],[Verbruik  Cappucino Plantaardig deze maand]]+Tabel24256789101112[[#This Row],[Verbruik Cappucino deze maand]]+Tabel24256789101112[[#This Row],[Verbruik Hot Water deze maand]]+Tabel24256789101112[[#This Row],[Verbruik Coffee Latte deze maand]]+Tabel24256789101112[[#This Row],[Verbruik Latte Macchiato deze maand]]+Tabel24256789101112[[#This Row],[Verbruik Espresso deze maand]]+Tabel24256789101112[[#This Row],[Verbruik Coffee deze maand]]</f>
        <v>0</v>
      </c>
      <c r="AE39" s="11"/>
      <c r="AG39" s="2"/>
      <c r="AI39" s="11"/>
      <c r="AK39" s="2"/>
      <c r="AM39" s="11"/>
      <c r="AO39" s="2"/>
      <c r="AQ39" s="11"/>
      <c r="AS39" s="2"/>
      <c r="AU39" s="11"/>
      <c r="AW39" s="20"/>
      <c r="AX39" s="4"/>
      <c r="AY39" s="4">
        <f>Tabel24256789101112[[#This Row],[Subtotaal waterbar in consumpties]]+Tabel24256789101112[[#This Row],[Subtotaal koffieautomaten]]</f>
        <v>0</v>
      </c>
    </row>
    <row r="40" spans="1:51" x14ac:dyDescent="0.25">
      <c r="A40" s="28" t="s">
        <v>39</v>
      </c>
      <c r="B40" s="28" t="s">
        <v>89</v>
      </c>
      <c r="C40" s="28" t="s">
        <v>36</v>
      </c>
      <c r="D40" s="28"/>
      <c r="E40" s="42"/>
      <c r="F40" s="42"/>
      <c r="G40" s="43"/>
      <c r="H40" s="42"/>
      <c r="I40" s="42"/>
      <c r="J40" s="43"/>
      <c r="K40" s="42"/>
      <c r="L40" s="42"/>
      <c r="M40" s="43"/>
      <c r="N40" s="42"/>
      <c r="O40" s="42"/>
      <c r="P40" s="43"/>
      <c r="Q40" s="42"/>
      <c r="R40" s="42"/>
      <c r="S40" s="43"/>
      <c r="T40" s="42"/>
      <c r="U40" s="42"/>
      <c r="V40" s="43"/>
      <c r="W40" s="42"/>
      <c r="X40" s="42"/>
      <c r="Y40" s="43"/>
      <c r="Z40" s="42"/>
      <c r="AA40" s="42"/>
      <c r="AB40" s="43"/>
      <c r="AC40" s="43"/>
      <c r="AD40" s="11">
        <v>141.30000000000001</v>
      </c>
      <c r="AE40" s="11">
        <v>141.30000000000001</v>
      </c>
      <c r="AF40">
        <f>Tabel24256789101112[[#This Row],[Stand Kamertemp liter einde maand]]-Tabel24256789101112[[#This Row],[Stand Kamertemp liter vorige maand]]</f>
        <v>0</v>
      </c>
      <c r="AG40" s="2">
        <f>Tabel24256789101112[[#This Row],[Verbruik Kamertemp liter deze maand]]/0.15</f>
        <v>0</v>
      </c>
      <c r="AH40" s="11">
        <v>129.1</v>
      </c>
      <c r="AI40" s="11">
        <v>129.1</v>
      </c>
      <c r="AJ40">
        <f>Tabel24256789101112[[#This Row],[Stand Gekoeld liter einde maand]]-Tabel24256789101112[[#This Row],[Stand Gekoeld liter vorige maand]]</f>
        <v>0</v>
      </c>
      <c r="AK40" s="2">
        <f>Tabel24256789101112[[#This Row],[Verbruik Gekoeld liter deze maand]]/0.15</f>
        <v>0</v>
      </c>
      <c r="AL40" s="11">
        <v>608.70000000000005</v>
      </c>
      <c r="AM40" s="11">
        <v>608.70000000000005</v>
      </c>
      <c r="AN40">
        <f>Tabel24256789101112[[#This Row],[Stand Bruisend liter einde maand]]-Tabel24256789101112[[#This Row],[Stand Bruisend liter vorige maand]]</f>
        <v>0</v>
      </c>
      <c r="AO40" s="2">
        <f>Tabel24256789101112[[#This Row],[Verbruik Bruisend liter deze maand]]/0.15</f>
        <v>0</v>
      </c>
      <c r="AP40" s="11">
        <v>189.3</v>
      </c>
      <c r="AQ40" s="11">
        <v>189.3</v>
      </c>
      <c r="AR40">
        <f>Tabel24256789101112[[#This Row],[Stand licht bruisend liter einde maand]]-Tabel24256789101112[[#This Row],[Stand licht bruisend liter vorige maand]]</f>
        <v>0</v>
      </c>
      <c r="AS40" s="2">
        <f>Tabel24256789101112[[#This Row],[Verbruik licht bruisend liter deze maand]]/0.15</f>
        <v>0</v>
      </c>
      <c r="AT40" s="11">
        <v>960.8</v>
      </c>
      <c r="AU40" s="11">
        <v>960.8</v>
      </c>
      <c r="AV40">
        <f>Tabel24256789101112[[#This Row],[Stand heet water liter einde maand]]-Tabel24256789101112[[#This Row],[Stand heet water liter vorige maand]]</f>
        <v>0</v>
      </c>
      <c r="AW40" s="20">
        <f>Tabel24256789101112[[#This Row],[Verbruik heet Water liter deze maand ]]/0.15</f>
        <v>0</v>
      </c>
      <c r="AX40" s="4">
        <f>Tabel24256789101112[[#This Row],[Aantal consumpties heet water deze maand]]+Tabel24256789101112[[#This Row],[Aantal consumpties licht bruisend water deze maand]]+Tabel24256789101112[[#This Row],[aantal consumpties Bruisend water deze maand]]+Tabel24256789101112[[#This Row],[Aantal consumpties gekoeld water deze maand]]+Tabel24256789101112[[#This Row],[Aantal consumpties Kamertemp deze maand]]</f>
        <v>0</v>
      </c>
      <c r="AY40" s="4">
        <f>Tabel24256789101112[[#This Row],[Subtotaal waterbar in consumpties]]+Tabel24256789101112[[#This Row],[Subtotaal koffieautomaten]]</f>
        <v>0</v>
      </c>
    </row>
    <row r="41" spans="1:51" x14ac:dyDescent="0.25">
      <c r="A41" t="s">
        <v>41</v>
      </c>
      <c r="B41" t="s">
        <v>90</v>
      </c>
      <c r="C41" t="s">
        <v>31</v>
      </c>
      <c r="E41" s="11">
        <v>4966</v>
      </c>
      <c r="F41" s="11">
        <v>4388</v>
      </c>
      <c r="G41" s="12">
        <f>Tabel24256789101112[[#This Row],[Stand Coffee einde maand]]-Tabel24256789101112[[#This Row],[Coffee vorige maand]]</f>
        <v>578</v>
      </c>
      <c r="H41" s="11">
        <v>1869</v>
      </c>
      <c r="I41" s="11">
        <v>1632</v>
      </c>
      <c r="J41" s="12">
        <f>Tabel24256789101112[[#This Row],[Stand Espresso Einde maand]]-Tabel24256789101112[[#This Row],[Espresso vorige maand]]</f>
        <v>237</v>
      </c>
      <c r="K41" s="11">
        <v>720</v>
      </c>
      <c r="L41" s="11">
        <v>659</v>
      </c>
      <c r="M41">
        <f>Tabel24256789101112[[#This Row],[Stand Latte Macchiato einde maand]]-Tabel24256789101112[[#This Row],[Latte Macchiato vorige maand]]</f>
        <v>61</v>
      </c>
      <c r="N41" s="11">
        <v>666</v>
      </c>
      <c r="O41" s="11">
        <v>597</v>
      </c>
      <c r="P41">
        <f>Tabel24256789101112[[#This Row],[Stand Coffee Latte einde maand]]-Tabel24256789101112[[#This Row],[Coffee Latte vorige maand]]</f>
        <v>69</v>
      </c>
      <c r="Q41" s="11">
        <v>13514</v>
      </c>
      <c r="R41" s="11">
        <v>11983</v>
      </c>
      <c r="S41">
        <f>Tabel24256789101112[[#This Row],[Stand Hot Water einde maand]]-Tabel24256789101112[[#This Row],[Hot Water vorige maand]]</f>
        <v>1531</v>
      </c>
      <c r="T41" s="11">
        <v>2152</v>
      </c>
      <c r="U41" s="11">
        <v>1884</v>
      </c>
      <c r="V41">
        <f>Tabel24256789101112[[#This Row],[Stand Cappucino einde maand]]-Tabel24256789101112[[#This Row],[Stand Cappucino vorige maand]]</f>
        <v>268</v>
      </c>
      <c r="W41" s="11">
        <v>228</v>
      </c>
      <c r="X41" s="11">
        <v>212</v>
      </c>
      <c r="Y41">
        <f>Tabel24256789101112[[#This Row],[Stand Cappucino Plantaardig einde maand]]-Tabel24256789101112[[#This Row],[Stand Cappucino Plantaardig vorige maand]]</f>
        <v>16</v>
      </c>
      <c r="Z41" s="11">
        <v>87</v>
      </c>
      <c r="AA41" s="11">
        <v>81</v>
      </c>
      <c r="AB41" s="12">
        <f>Tabel24256789101112[[#This Row],[Stand Latte Macchiato Plantaardig einde maand]]-Tabel24256789101112[[#This Row],[Stand Latte Macchiato Plantaardig vorige maand]]</f>
        <v>6</v>
      </c>
      <c r="AC41" s="3">
        <f>Tabel24256789101112[[#This Row],[Verbruik Stand Latte Macchiato Plantaardig deze maand]]+Tabel24256789101112[[#This Row],[Verbruik  Cappucino Plantaardig deze maand]]+Tabel24256789101112[[#This Row],[Verbruik Cappucino deze maand]]+Tabel24256789101112[[#This Row],[Verbruik Hot Water deze maand]]+Tabel24256789101112[[#This Row],[Verbruik Coffee Latte deze maand]]+Tabel24256789101112[[#This Row],[Verbruik Latte Macchiato deze maand]]+Tabel24256789101112[[#This Row],[Verbruik Espresso deze maand]]+Tabel24256789101112[[#This Row],[Verbruik Coffee deze maand]]</f>
        <v>2766</v>
      </c>
      <c r="AD41" s="26"/>
      <c r="AE41" s="26"/>
      <c r="AF41" s="5"/>
      <c r="AG41" s="5"/>
      <c r="AH41" s="26"/>
      <c r="AI41" s="26"/>
      <c r="AJ41" s="5"/>
      <c r="AK41" s="5"/>
      <c r="AL41" s="26"/>
      <c r="AM41" s="26"/>
      <c r="AN41" s="5"/>
      <c r="AO41" s="5"/>
      <c r="AP41" s="26"/>
      <c r="AQ41" s="26"/>
      <c r="AR41" s="5"/>
      <c r="AS41" s="5"/>
      <c r="AT41" s="26"/>
      <c r="AU41" s="26"/>
      <c r="AV41" s="5"/>
      <c r="AW41" s="16"/>
      <c r="AX41" s="6"/>
      <c r="AY41" s="4">
        <f>Tabel24256789101112[[#This Row],[Subtotaal waterbar in consumpties]]+Tabel24256789101112[[#This Row],[Subtotaal koffieautomaten]]</f>
        <v>2766</v>
      </c>
    </row>
    <row r="42" spans="1:51" x14ac:dyDescent="0.25">
      <c r="A42" t="s">
        <v>43</v>
      </c>
      <c r="B42" t="s">
        <v>91</v>
      </c>
      <c r="C42" t="s">
        <v>47</v>
      </c>
      <c r="E42" s="11">
        <v>5599</v>
      </c>
      <c r="F42" s="11">
        <v>5149</v>
      </c>
      <c r="G42" s="12">
        <f>Tabel24256789101112[[#This Row],[Stand Coffee einde maand]]-Tabel24256789101112[[#This Row],[Coffee vorige maand]]</f>
        <v>450</v>
      </c>
      <c r="H42" s="11">
        <v>1364</v>
      </c>
      <c r="I42" s="11">
        <v>1296</v>
      </c>
      <c r="J42" s="12">
        <f>Tabel24256789101112[[#This Row],[Stand Espresso Einde maand]]-Tabel24256789101112[[#This Row],[Espresso vorige maand]]</f>
        <v>68</v>
      </c>
      <c r="K42" s="11">
        <v>279</v>
      </c>
      <c r="L42" s="11">
        <v>267</v>
      </c>
      <c r="M42">
        <f>Tabel24256789101112[[#This Row],[Stand Latte Macchiato einde maand]]-Tabel24256789101112[[#This Row],[Latte Macchiato vorige maand]]</f>
        <v>12</v>
      </c>
      <c r="N42" s="11">
        <v>311</v>
      </c>
      <c r="O42" s="11">
        <v>291</v>
      </c>
      <c r="P42">
        <f>Tabel24256789101112[[#This Row],[Stand Coffee Latte einde maand]]-Tabel24256789101112[[#This Row],[Coffee Latte vorige maand]]</f>
        <v>20</v>
      </c>
      <c r="Q42" s="11">
        <v>769</v>
      </c>
      <c r="R42" s="11">
        <v>732</v>
      </c>
      <c r="S42">
        <f>Tabel24256789101112[[#This Row],[Stand Hot Water einde maand]]-Tabel24256789101112[[#This Row],[Hot Water vorige maand]]</f>
        <v>37</v>
      </c>
      <c r="T42" s="11">
        <v>2080</v>
      </c>
      <c r="U42" s="11">
        <v>1921</v>
      </c>
      <c r="V42">
        <f>Tabel24256789101112[[#This Row],[Stand Cappucino einde maand]]-Tabel24256789101112[[#This Row],[Stand Cappucino vorige maand]]</f>
        <v>159</v>
      </c>
      <c r="W42" s="11">
        <v>1885</v>
      </c>
      <c r="X42" s="11">
        <v>1730</v>
      </c>
      <c r="Y42">
        <f>Tabel24256789101112[[#This Row],[Stand Cappucino Plantaardig einde maand]]-Tabel24256789101112[[#This Row],[Stand Cappucino Plantaardig vorige maand]]</f>
        <v>155</v>
      </c>
      <c r="Z42" s="11">
        <v>172</v>
      </c>
      <c r="AA42" s="11">
        <v>160</v>
      </c>
      <c r="AB42" s="12">
        <f>Tabel24256789101112[[#This Row],[Stand Latte Macchiato Plantaardig einde maand]]-Tabel24256789101112[[#This Row],[Stand Latte Macchiato Plantaardig vorige maand]]</f>
        <v>12</v>
      </c>
      <c r="AC42" s="3">
        <f>Tabel24256789101112[[#This Row],[Verbruik Stand Latte Macchiato Plantaardig deze maand]]+Tabel24256789101112[[#This Row],[Verbruik  Cappucino Plantaardig deze maand]]+Tabel24256789101112[[#This Row],[Verbruik Cappucino deze maand]]+Tabel24256789101112[[#This Row],[Verbruik Hot Water deze maand]]+Tabel24256789101112[[#This Row],[Verbruik Coffee Latte deze maand]]+Tabel24256789101112[[#This Row],[Verbruik Latte Macchiato deze maand]]+Tabel24256789101112[[#This Row],[Verbruik Espresso deze maand]]+Tabel24256789101112[[#This Row],[Verbruik Coffee deze maand]]</f>
        <v>913</v>
      </c>
      <c r="AD42" s="11">
        <v>108.7</v>
      </c>
      <c r="AE42" s="11">
        <v>93</v>
      </c>
      <c r="AF42">
        <f>Tabel24256789101112[[#This Row],[Stand Kamertemp liter einde maand]]-Tabel24256789101112[[#This Row],[Stand Kamertemp liter vorige maand]]</f>
        <v>15.700000000000003</v>
      </c>
      <c r="AG42" s="2">
        <f>Tabel24256789101112[[#This Row],[Verbruik Kamertemp liter deze maand]]/0.15</f>
        <v>104.66666666666669</v>
      </c>
      <c r="AH42" s="11">
        <v>1099.5</v>
      </c>
      <c r="AI42" s="11">
        <v>1016.4</v>
      </c>
      <c r="AJ42">
        <f>Tabel24256789101112[[#This Row],[Stand Gekoeld liter einde maand]]-Tabel24256789101112[[#This Row],[Stand Gekoeld liter vorige maand]]</f>
        <v>83.100000000000023</v>
      </c>
      <c r="AK42" s="2">
        <f>Tabel24256789101112[[#This Row],[Verbruik Gekoeld liter deze maand]]/0.15</f>
        <v>554.00000000000023</v>
      </c>
      <c r="AL42" s="11">
        <v>1471.6</v>
      </c>
      <c r="AM42" s="11">
        <v>1360.3</v>
      </c>
      <c r="AN42">
        <f>Tabel24256789101112[[#This Row],[Stand Bruisend liter einde maand]]-Tabel24256789101112[[#This Row],[Stand Bruisend liter vorige maand]]</f>
        <v>111.29999999999995</v>
      </c>
      <c r="AO42" s="2">
        <f>Tabel24256789101112[[#This Row],[Verbruik Bruisend liter deze maand]]/0.15</f>
        <v>741.99999999999977</v>
      </c>
      <c r="AP42" s="11">
        <v>747.5</v>
      </c>
      <c r="AQ42" s="11">
        <v>717.7</v>
      </c>
      <c r="AR42">
        <f>Tabel24256789101112[[#This Row],[Stand licht bruisend liter einde maand]]-Tabel24256789101112[[#This Row],[Stand licht bruisend liter vorige maand]]</f>
        <v>29.799999999999955</v>
      </c>
      <c r="AS42" s="2">
        <f>Tabel24256789101112[[#This Row],[Verbruik licht bruisend liter deze maand]]/0.15</f>
        <v>198.66666666666637</v>
      </c>
      <c r="AT42" s="11">
        <v>4767.1000000000004</v>
      </c>
      <c r="AU42" s="11">
        <v>4299.7</v>
      </c>
      <c r="AV42">
        <f>Tabel24256789101112[[#This Row],[Stand heet water liter einde maand]]-Tabel24256789101112[[#This Row],[Stand heet water liter vorige maand]]</f>
        <v>467.40000000000055</v>
      </c>
      <c r="AW42" s="20">
        <f>Tabel24256789101112[[#This Row],[Verbruik heet Water liter deze maand ]]/0.15</f>
        <v>3116.0000000000036</v>
      </c>
      <c r="AX42" s="4">
        <f>Tabel24256789101112[[#This Row],[Aantal consumpties heet water deze maand]]+Tabel24256789101112[[#This Row],[Aantal consumpties licht bruisend water deze maand]]+Tabel24256789101112[[#This Row],[aantal consumpties Bruisend water deze maand]]+Tabel24256789101112[[#This Row],[Aantal consumpties gekoeld water deze maand]]+Tabel24256789101112[[#This Row],[Aantal consumpties Kamertemp deze maand]]</f>
        <v>4715.3333333333367</v>
      </c>
      <c r="AY42" s="4">
        <f>Tabel24256789101112[[#This Row],[Subtotaal waterbar in consumpties]]+Tabel24256789101112[[#This Row],[Subtotaal koffieautomaten]]</f>
        <v>5628.3333333333367</v>
      </c>
    </row>
    <row r="43" spans="1:51" x14ac:dyDescent="0.25">
      <c r="A43" t="s">
        <v>45</v>
      </c>
      <c r="B43" t="s">
        <v>92</v>
      </c>
      <c r="C43" t="s">
        <v>36</v>
      </c>
      <c r="E43" s="42"/>
      <c r="F43" s="42"/>
      <c r="G43" s="43"/>
      <c r="H43" s="42"/>
      <c r="I43" s="42"/>
      <c r="J43" s="43"/>
      <c r="K43" s="42"/>
      <c r="L43" s="42"/>
      <c r="M43" s="43"/>
      <c r="N43" s="42"/>
      <c r="O43" s="42"/>
      <c r="P43" s="43"/>
      <c r="Q43" s="42"/>
      <c r="R43" s="42"/>
      <c r="S43" s="43"/>
      <c r="T43" s="42"/>
      <c r="U43" s="42"/>
      <c r="V43" s="43"/>
      <c r="W43" s="42"/>
      <c r="X43" s="42"/>
      <c r="Y43" s="43"/>
      <c r="Z43" s="42"/>
      <c r="AA43" s="42"/>
      <c r="AB43" s="43"/>
      <c r="AC43" s="43"/>
      <c r="AD43" s="11">
        <v>70.900000000000006</v>
      </c>
      <c r="AE43" s="11">
        <v>67.400000000000006</v>
      </c>
      <c r="AF43">
        <f>Tabel24256789101112[[#This Row],[Stand Kamertemp liter einde maand]]-Tabel24256789101112[[#This Row],[Stand Kamertemp liter vorige maand]]</f>
        <v>3.5</v>
      </c>
      <c r="AG43" s="2">
        <f>Tabel24256789101112[[#This Row],[Verbruik Kamertemp liter deze maand]]/0.15</f>
        <v>23.333333333333336</v>
      </c>
      <c r="AH43" s="11">
        <v>530.4</v>
      </c>
      <c r="AI43" s="11">
        <v>502.3</v>
      </c>
      <c r="AJ43">
        <f>Tabel24256789101112[[#This Row],[Stand Gekoeld liter einde maand]]-Tabel24256789101112[[#This Row],[Stand Gekoeld liter vorige maand]]</f>
        <v>28.099999999999966</v>
      </c>
      <c r="AK43" s="2">
        <f>Tabel24256789101112[[#This Row],[Verbruik Gekoeld liter deze maand]]/0.15</f>
        <v>187.33333333333312</v>
      </c>
      <c r="AL43" s="11">
        <v>526</v>
      </c>
      <c r="AM43" s="11">
        <v>470.9</v>
      </c>
      <c r="AN43">
        <f>Tabel24256789101112[[#This Row],[Stand Bruisend liter einde maand]]-Tabel24256789101112[[#This Row],[Stand Bruisend liter vorige maand]]</f>
        <v>55.100000000000023</v>
      </c>
      <c r="AO43" s="2">
        <f>Tabel24256789101112[[#This Row],[Verbruik Bruisend liter deze maand]]/0.15</f>
        <v>367.33333333333348</v>
      </c>
      <c r="AP43" s="11">
        <v>129.6</v>
      </c>
      <c r="AQ43" s="11">
        <v>121.4</v>
      </c>
      <c r="AR43">
        <f>Tabel24256789101112[[#This Row],[Stand licht bruisend liter einde maand]]-Tabel24256789101112[[#This Row],[Stand licht bruisend liter vorige maand]]</f>
        <v>8.1999999999999886</v>
      </c>
      <c r="AS43" s="2">
        <f>Tabel24256789101112[[#This Row],[Verbruik licht bruisend liter deze maand]]/0.15</f>
        <v>54.666666666666593</v>
      </c>
      <c r="AT43" s="11">
        <v>1733</v>
      </c>
      <c r="AU43" s="11">
        <v>1576.8</v>
      </c>
      <c r="AV43">
        <f>Tabel24256789101112[[#This Row],[Stand heet water liter einde maand]]-Tabel24256789101112[[#This Row],[Stand heet water liter vorige maand]]</f>
        <v>156.20000000000005</v>
      </c>
      <c r="AW43" s="20">
        <f>Tabel24256789101112[[#This Row],[Verbruik heet Water liter deze maand ]]/0.15</f>
        <v>1041.3333333333337</v>
      </c>
      <c r="AX43" s="4">
        <f>Tabel24256789101112[[#This Row],[Aantal consumpties heet water deze maand]]+Tabel24256789101112[[#This Row],[Aantal consumpties licht bruisend water deze maand]]+Tabel24256789101112[[#This Row],[aantal consumpties Bruisend water deze maand]]+Tabel24256789101112[[#This Row],[Aantal consumpties gekoeld water deze maand]]+Tabel24256789101112[[#This Row],[Aantal consumpties Kamertemp deze maand]]</f>
        <v>1674</v>
      </c>
      <c r="AY43" s="4">
        <f>Tabel24256789101112[[#This Row],[Subtotaal waterbar in consumpties]]+Tabel24256789101112[[#This Row],[Subtotaal koffieautomaten]]</f>
        <v>1674</v>
      </c>
    </row>
    <row r="44" spans="1:51" x14ac:dyDescent="0.25">
      <c r="A44" t="s">
        <v>48</v>
      </c>
      <c r="B44" t="s">
        <v>158</v>
      </c>
      <c r="C44" t="s">
        <v>31</v>
      </c>
      <c r="E44" s="11">
        <v>7945</v>
      </c>
      <c r="F44" s="11">
        <v>7104</v>
      </c>
      <c r="G44" s="12">
        <f>Tabel24256789101112[[#This Row],[Stand Coffee einde maand]]-Tabel24256789101112[[#This Row],[Coffee vorige maand]]</f>
        <v>841</v>
      </c>
      <c r="H44" s="11">
        <v>2023</v>
      </c>
      <c r="I44" s="11">
        <v>1790</v>
      </c>
      <c r="J44" s="12">
        <f>Tabel24256789101112[[#This Row],[Stand Espresso Einde maand]]-Tabel24256789101112[[#This Row],[Espresso vorige maand]]</f>
        <v>233</v>
      </c>
      <c r="K44" s="11">
        <v>940</v>
      </c>
      <c r="L44" s="11">
        <v>859</v>
      </c>
      <c r="M44">
        <f>Tabel24256789101112[[#This Row],[Stand Latte Macchiato einde maand]]-Tabel24256789101112[[#This Row],[Latte Macchiato vorige maand]]</f>
        <v>81</v>
      </c>
      <c r="N44" s="11">
        <v>221</v>
      </c>
      <c r="O44" s="11">
        <v>198</v>
      </c>
      <c r="P44">
        <f>Tabel24256789101112[[#This Row],[Stand Coffee Latte einde maand]]-Tabel24256789101112[[#This Row],[Coffee Latte vorige maand]]</f>
        <v>23</v>
      </c>
      <c r="Q44" s="11">
        <v>8070</v>
      </c>
      <c r="R44" s="11">
        <v>7251</v>
      </c>
      <c r="S44">
        <f>Tabel24256789101112[[#This Row],[Stand Hot Water einde maand]]-Tabel24256789101112[[#This Row],[Hot Water vorige maand]]</f>
        <v>819</v>
      </c>
      <c r="T44" s="11">
        <v>3358</v>
      </c>
      <c r="U44" s="11">
        <v>3018</v>
      </c>
      <c r="V44">
        <f>Tabel24256789101112[[#This Row],[Stand Cappucino einde maand]]-Tabel24256789101112[[#This Row],[Stand Cappucino vorige maand]]</f>
        <v>340</v>
      </c>
      <c r="W44" s="11">
        <v>498</v>
      </c>
      <c r="X44" s="11">
        <v>454</v>
      </c>
      <c r="Y44">
        <f>Tabel24256789101112[[#This Row],[Stand Cappucino Plantaardig einde maand]]-Tabel24256789101112[[#This Row],[Stand Cappucino Plantaardig vorige maand]]</f>
        <v>44</v>
      </c>
      <c r="Z44" s="11">
        <v>448</v>
      </c>
      <c r="AA44" s="11">
        <v>400</v>
      </c>
      <c r="AB44" s="12">
        <f>Tabel24256789101112[[#This Row],[Stand Latte Macchiato Plantaardig einde maand]]-Tabel24256789101112[[#This Row],[Stand Latte Macchiato Plantaardig vorige maand]]</f>
        <v>48</v>
      </c>
      <c r="AC44" s="3">
        <f>Tabel24256789101112[[#This Row],[Verbruik Stand Latte Macchiato Plantaardig deze maand]]+Tabel24256789101112[[#This Row],[Verbruik  Cappucino Plantaardig deze maand]]+Tabel24256789101112[[#This Row],[Verbruik Cappucino deze maand]]+Tabel24256789101112[[#This Row],[Verbruik Hot Water deze maand]]+Tabel24256789101112[[#This Row],[Verbruik Coffee Latte deze maand]]+Tabel24256789101112[[#This Row],[Verbruik Latte Macchiato deze maand]]+Tabel24256789101112[[#This Row],[Verbruik Espresso deze maand]]+Tabel24256789101112[[#This Row],[Verbruik Coffee deze maand]]</f>
        <v>2429</v>
      </c>
      <c r="AD44" s="26"/>
      <c r="AE44" s="26"/>
      <c r="AF44" s="5"/>
      <c r="AG44" s="7"/>
      <c r="AH44" s="26"/>
      <c r="AI44" s="26"/>
      <c r="AJ44" s="5"/>
      <c r="AK44" s="7"/>
      <c r="AL44" s="26"/>
      <c r="AM44" s="26"/>
      <c r="AN44" s="5"/>
      <c r="AO44" s="7"/>
      <c r="AP44" s="26"/>
      <c r="AQ44" s="26"/>
      <c r="AR44" s="5"/>
      <c r="AS44" s="7"/>
      <c r="AT44" s="26"/>
      <c r="AU44" s="26"/>
      <c r="AV44" s="5"/>
      <c r="AW44" s="21"/>
      <c r="AX44" s="45">
        <f>Tabel24256789101112[[#This Row],[Aantal consumpties heet water deze maand]]+Tabel24256789101112[[#This Row],[Aantal consumpties licht bruisend water deze maand]]+Tabel24256789101112[[#This Row],[aantal consumpties Bruisend water deze maand]]+Tabel24256789101112[[#This Row],[Aantal consumpties gekoeld water deze maand]]+Tabel24256789101112[[#This Row],[Aantal consumpties Kamertemp deze maand]]</f>
        <v>0</v>
      </c>
      <c r="AY44" s="4">
        <f>Tabel24256789101112[[#This Row],[Subtotaal waterbar in consumpties]]+Tabel24256789101112[[#This Row],[Subtotaal koffieautomaten]]</f>
        <v>2429</v>
      </c>
    </row>
    <row r="45" spans="1:51" x14ac:dyDescent="0.25">
      <c r="A45" t="s">
        <v>50</v>
      </c>
      <c r="B45" t="s">
        <v>93</v>
      </c>
      <c r="C45" t="s">
        <v>36</v>
      </c>
      <c r="E45" s="42"/>
      <c r="F45" s="42"/>
      <c r="G45" s="43"/>
      <c r="H45" s="42"/>
      <c r="I45" s="42"/>
      <c r="J45" s="43"/>
      <c r="K45" s="42"/>
      <c r="L45" s="42"/>
      <c r="M45" s="43"/>
      <c r="N45" s="42"/>
      <c r="O45" s="42"/>
      <c r="P45" s="43"/>
      <c r="Q45" s="42"/>
      <c r="R45" s="42"/>
      <c r="S45" s="43"/>
      <c r="T45" s="42"/>
      <c r="U45" s="42"/>
      <c r="V45" s="43"/>
      <c r="W45" s="42"/>
      <c r="X45" s="42"/>
      <c r="Y45" s="43"/>
      <c r="Z45" s="42"/>
      <c r="AA45" s="42"/>
      <c r="AB45" s="43"/>
      <c r="AC45" s="43"/>
      <c r="AD45" s="11">
        <v>97.4</v>
      </c>
      <c r="AE45" s="11">
        <v>78.8</v>
      </c>
      <c r="AF45">
        <f>Tabel24256789101112[[#This Row],[Stand Kamertemp liter einde maand]]-Tabel24256789101112[[#This Row],[Stand Kamertemp liter vorige maand]]</f>
        <v>18.600000000000009</v>
      </c>
      <c r="AG45" s="2">
        <f>Tabel24256789101112[[#This Row],[Verbruik Kamertemp liter deze maand]]/0.15</f>
        <v>124.00000000000006</v>
      </c>
      <c r="AH45" s="25">
        <v>710.7</v>
      </c>
      <c r="AI45" s="25">
        <v>646.6</v>
      </c>
      <c r="AJ45">
        <f>Tabel24256789101112[[#This Row],[Stand Gekoeld liter einde maand]]-Tabel24256789101112[[#This Row],[Stand Gekoeld liter vorige maand]]</f>
        <v>64.100000000000023</v>
      </c>
      <c r="AK45" s="2">
        <f>Tabel24256789101112[[#This Row],[Verbruik Gekoeld liter deze maand]]/0.15</f>
        <v>427.33333333333348</v>
      </c>
      <c r="AL45" s="25">
        <v>614.20000000000005</v>
      </c>
      <c r="AM45" s="25">
        <v>561.1</v>
      </c>
      <c r="AN45">
        <f>Tabel24256789101112[[#This Row],[Stand Bruisend liter einde maand]]-Tabel24256789101112[[#This Row],[Stand Bruisend liter vorige maand]]</f>
        <v>53.100000000000023</v>
      </c>
      <c r="AO45" s="2">
        <f>Tabel24256789101112[[#This Row],[Verbruik Bruisend liter deze maand]]/0.15</f>
        <v>354.00000000000017</v>
      </c>
      <c r="AP45" s="25">
        <v>254.1</v>
      </c>
      <c r="AQ45" s="25">
        <v>241.5</v>
      </c>
      <c r="AR45">
        <f>Tabel24256789101112[[#This Row],[Stand licht bruisend liter einde maand]]-Tabel24256789101112[[#This Row],[Stand licht bruisend liter vorige maand]]</f>
        <v>12.599999999999994</v>
      </c>
      <c r="AS45" s="2">
        <f>Tabel24256789101112[[#This Row],[Verbruik licht bruisend liter deze maand]]/0.15</f>
        <v>83.999999999999972</v>
      </c>
      <c r="AT45" s="25">
        <v>2003.4</v>
      </c>
      <c r="AU45" s="25">
        <v>1808.9</v>
      </c>
      <c r="AV45">
        <f>Tabel24256789101112[[#This Row],[Stand heet water liter einde maand]]-Tabel24256789101112[[#This Row],[Stand heet water liter vorige maand]]</f>
        <v>194.5</v>
      </c>
      <c r="AW45" s="20">
        <f>Tabel24256789101112[[#This Row],[Verbruik heet Water liter deze maand ]]/0.15</f>
        <v>1296.6666666666667</v>
      </c>
      <c r="AX45" s="4">
        <f>Tabel24256789101112[[#This Row],[Aantal consumpties heet water deze maand]]+Tabel24256789101112[[#This Row],[Aantal consumpties licht bruisend water deze maand]]+Tabel24256789101112[[#This Row],[aantal consumpties Bruisend water deze maand]]+Tabel24256789101112[[#This Row],[Aantal consumpties gekoeld water deze maand]]+Tabel24256789101112[[#This Row],[Aantal consumpties Kamertemp deze maand]]</f>
        <v>2286.0000000000005</v>
      </c>
      <c r="AY45" s="4">
        <f>Tabel24256789101112[[#This Row],[Subtotaal waterbar in consumpties]]+Tabel24256789101112[[#This Row],[Subtotaal koffieautomaten]]</f>
        <v>2286.0000000000005</v>
      </c>
    </row>
    <row r="46" spans="1:51" x14ac:dyDescent="0.25">
      <c r="A46" t="s">
        <v>52</v>
      </c>
      <c r="B46" t="s">
        <v>94</v>
      </c>
      <c r="C46" t="s">
        <v>31</v>
      </c>
      <c r="E46" s="11">
        <v>3758</v>
      </c>
      <c r="F46" s="11">
        <v>3387</v>
      </c>
      <c r="G46" s="12">
        <f>Tabel24256789101112[[#This Row],[Stand Coffee einde maand]]-Tabel24256789101112[[#This Row],[Coffee vorige maand]]</f>
        <v>371</v>
      </c>
      <c r="H46" s="11">
        <v>2243</v>
      </c>
      <c r="I46" s="11">
        <v>2021</v>
      </c>
      <c r="J46" s="12">
        <f>Tabel24256789101112[[#This Row],[Stand Espresso Einde maand]]-Tabel24256789101112[[#This Row],[Espresso vorige maand]]</f>
        <v>222</v>
      </c>
      <c r="K46" s="11">
        <v>553</v>
      </c>
      <c r="L46" s="11">
        <v>506</v>
      </c>
      <c r="M46">
        <f>Tabel24256789101112[[#This Row],[Stand Latte Macchiato einde maand]]-Tabel24256789101112[[#This Row],[Latte Macchiato vorige maand]]</f>
        <v>47</v>
      </c>
      <c r="N46" s="11">
        <v>268</v>
      </c>
      <c r="O46" s="11">
        <v>251</v>
      </c>
      <c r="P46">
        <f>Tabel24256789101112[[#This Row],[Stand Coffee Latte einde maand]]-Tabel24256789101112[[#This Row],[Coffee Latte vorige maand]]</f>
        <v>17</v>
      </c>
      <c r="Q46" s="11">
        <v>6886</v>
      </c>
      <c r="R46" s="11">
        <v>6151</v>
      </c>
      <c r="S46">
        <f>Tabel24256789101112[[#This Row],[Stand Hot Water einde maand]]-Tabel24256789101112[[#This Row],[Hot Water vorige maand]]</f>
        <v>735</v>
      </c>
      <c r="T46" s="11">
        <v>3423</v>
      </c>
      <c r="U46" s="11">
        <v>3109</v>
      </c>
      <c r="V46">
        <f>Tabel24256789101112[[#This Row],[Stand Cappucino einde maand]]-Tabel24256789101112[[#This Row],[Stand Cappucino vorige maand]]</f>
        <v>314</v>
      </c>
      <c r="W46" s="11">
        <v>504</v>
      </c>
      <c r="X46" s="11">
        <v>447</v>
      </c>
      <c r="Y46">
        <f>Tabel24256789101112[[#This Row],[Stand Cappucino Plantaardig einde maand]]-Tabel24256789101112[[#This Row],[Stand Cappucino Plantaardig vorige maand]]</f>
        <v>57</v>
      </c>
      <c r="Z46" s="11">
        <v>76</v>
      </c>
      <c r="AA46" s="11">
        <v>66</v>
      </c>
      <c r="AB46" s="12">
        <f>Tabel24256789101112[[#This Row],[Stand Latte Macchiato Plantaardig einde maand]]-Tabel24256789101112[[#This Row],[Stand Latte Macchiato Plantaardig vorige maand]]</f>
        <v>10</v>
      </c>
      <c r="AC46" s="3">
        <f>Tabel24256789101112[[#This Row],[Verbruik Stand Latte Macchiato Plantaardig deze maand]]+Tabel24256789101112[[#This Row],[Verbruik  Cappucino Plantaardig deze maand]]+Tabel24256789101112[[#This Row],[Verbruik Cappucino deze maand]]+Tabel24256789101112[[#This Row],[Verbruik Hot Water deze maand]]+Tabel24256789101112[[#This Row],[Verbruik Coffee Latte deze maand]]+Tabel24256789101112[[#This Row],[Verbruik Latte Macchiato deze maand]]+Tabel24256789101112[[#This Row],[Verbruik Espresso deze maand]]+Tabel24256789101112[[#This Row],[Verbruik Coffee deze maand]]</f>
        <v>1773</v>
      </c>
      <c r="AD46" s="26"/>
      <c r="AE46" s="26"/>
      <c r="AF46" s="5"/>
      <c r="AG46" s="7"/>
      <c r="AH46" s="26"/>
      <c r="AI46" s="26"/>
      <c r="AJ46" s="5"/>
      <c r="AK46" s="7"/>
      <c r="AL46" s="26"/>
      <c r="AM46" s="26"/>
      <c r="AN46" s="5"/>
      <c r="AO46" s="7"/>
      <c r="AP46" s="26"/>
      <c r="AQ46" s="26"/>
      <c r="AR46" s="5"/>
      <c r="AS46" s="7"/>
      <c r="AT46" s="26"/>
      <c r="AU46" s="26"/>
      <c r="AV46" s="5"/>
      <c r="AW46" s="21"/>
      <c r="AX46" s="8">
        <f>Tabel24256789101112[[#This Row],[Aantal consumpties heet water deze maand]]+Tabel24256789101112[[#This Row],[Aantal consumpties licht bruisend water deze maand]]+Tabel24256789101112[[#This Row],[aantal consumpties Bruisend water deze maand]]+Tabel24256789101112[[#This Row],[Aantal consumpties gekoeld water deze maand]]+Tabel24256789101112[[#This Row],[Aantal consumpties Kamertemp deze maand]]</f>
        <v>0</v>
      </c>
      <c r="AY46" s="4">
        <f>Tabel24256789101112[[#This Row],[Subtotaal waterbar in consumpties]]+Tabel24256789101112[[#This Row],[Subtotaal koffieautomaten]]</f>
        <v>1773</v>
      </c>
    </row>
    <row r="47" spans="1:51" x14ac:dyDescent="0.25">
      <c r="A47" t="s">
        <v>54</v>
      </c>
      <c r="B47" t="s">
        <v>95</v>
      </c>
      <c r="C47" t="s">
        <v>47</v>
      </c>
      <c r="E47" s="11">
        <v>4827</v>
      </c>
      <c r="F47" s="11">
        <v>4467</v>
      </c>
      <c r="G47" s="12">
        <f>Tabel24256789101112[[#This Row],[Stand Coffee einde maand]]-Tabel24256789101112[[#This Row],[Coffee vorige maand]]</f>
        <v>360</v>
      </c>
      <c r="H47" s="11">
        <v>1521</v>
      </c>
      <c r="I47" s="11">
        <v>1377</v>
      </c>
      <c r="J47" s="12">
        <f>Tabel24256789101112[[#This Row],[Stand Espresso Einde maand]]-Tabel24256789101112[[#This Row],[Espresso vorige maand]]</f>
        <v>144</v>
      </c>
      <c r="K47" s="11">
        <v>449</v>
      </c>
      <c r="L47" s="11">
        <v>430</v>
      </c>
      <c r="M47">
        <f>Tabel24256789101112[[#This Row],[Stand Latte Macchiato einde maand]]-Tabel24256789101112[[#This Row],[Latte Macchiato vorige maand]]</f>
        <v>19</v>
      </c>
      <c r="N47" s="11">
        <v>311</v>
      </c>
      <c r="O47" s="11">
        <v>282</v>
      </c>
      <c r="P47">
        <f>Tabel24256789101112[[#This Row],[Stand Coffee Latte einde maand]]-Tabel24256789101112[[#This Row],[Coffee Latte vorige maand]]</f>
        <v>29</v>
      </c>
      <c r="Q47" s="11">
        <v>0</v>
      </c>
      <c r="R47" s="11">
        <v>0</v>
      </c>
      <c r="S47">
        <f>Tabel24256789101112[[#This Row],[Stand Hot Water einde maand]]-Tabel24256789101112[[#This Row],[Hot Water vorige maand]]</f>
        <v>0</v>
      </c>
      <c r="T47" s="11">
        <v>2088</v>
      </c>
      <c r="U47" s="11">
        <v>1934</v>
      </c>
      <c r="V47">
        <f>Tabel24256789101112[[#This Row],[Stand Cappucino einde maand]]-Tabel24256789101112[[#This Row],[Stand Cappucino vorige maand]]</f>
        <v>154</v>
      </c>
      <c r="W47" s="11">
        <v>697</v>
      </c>
      <c r="X47" s="11">
        <v>645</v>
      </c>
      <c r="Y47">
        <f>Tabel24256789101112[[#This Row],[Stand Cappucino Plantaardig einde maand]]-Tabel24256789101112[[#This Row],[Stand Cappucino Plantaardig vorige maand]]</f>
        <v>52</v>
      </c>
      <c r="Z47" s="11">
        <v>363</v>
      </c>
      <c r="AA47" s="11">
        <v>350</v>
      </c>
      <c r="AB47" s="12">
        <f>Tabel24256789101112[[#This Row],[Stand Latte Macchiato Plantaardig einde maand]]-Tabel24256789101112[[#This Row],[Stand Latte Macchiato Plantaardig vorige maand]]</f>
        <v>13</v>
      </c>
      <c r="AC47" s="3">
        <f>Tabel24256789101112[[#This Row],[Verbruik Stand Latte Macchiato Plantaardig deze maand]]+Tabel24256789101112[[#This Row],[Verbruik  Cappucino Plantaardig deze maand]]+Tabel24256789101112[[#This Row],[Verbruik Cappucino deze maand]]+Tabel24256789101112[[#This Row],[Verbruik Hot Water deze maand]]+Tabel24256789101112[[#This Row],[Verbruik Coffee Latte deze maand]]+Tabel24256789101112[[#This Row],[Verbruik Latte Macchiato deze maand]]+Tabel24256789101112[[#This Row],[Verbruik Espresso deze maand]]+Tabel24256789101112[[#This Row],[Verbruik Coffee deze maand]]</f>
        <v>771</v>
      </c>
      <c r="AD47" s="11">
        <v>230.3</v>
      </c>
      <c r="AE47" s="11">
        <v>193.9</v>
      </c>
      <c r="AF47">
        <f>Tabel24256789101112[[#This Row],[Stand Kamertemp liter einde maand]]-Tabel24256789101112[[#This Row],[Stand Kamertemp liter vorige maand]]</f>
        <v>36.400000000000006</v>
      </c>
      <c r="AG47" s="2">
        <f>Tabel24256789101112[[#This Row],[Verbruik Kamertemp liter deze maand]]/0.15</f>
        <v>242.66666666666671</v>
      </c>
      <c r="AH47" s="11">
        <v>899.5</v>
      </c>
      <c r="AI47" s="11">
        <v>829.6</v>
      </c>
      <c r="AJ47">
        <f>Tabel24256789101112[[#This Row],[Stand Gekoeld liter einde maand]]-Tabel24256789101112[[#This Row],[Stand Gekoeld liter vorige maand]]</f>
        <v>69.899999999999977</v>
      </c>
      <c r="AK47" s="2">
        <f>Tabel24256789101112[[#This Row],[Verbruik Gekoeld liter deze maand]]/0.15</f>
        <v>465.99999999999989</v>
      </c>
      <c r="AL47" s="11">
        <v>345.4</v>
      </c>
      <c r="AM47" s="11">
        <v>625.20000000000005</v>
      </c>
      <c r="AN47">
        <f>Tabel24256789101112[[#This Row],[Stand Bruisend liter einde maand]]-Tabel24256789101112[[#This Row],[Stand Bruisend liter vorige maand]]</f>
        <v>-279.80000000000007</v>
      </c>
      <c r="AO47" s="2">
        <f>Tabel24256789101112[[#This Row],[Verbruik Bruisend liter deze maand]]/0.15</f>
        <v>-1865.3333333333339</v>
      </c>
      <c r="AP47" s="11">
        <v>345.4</v>
      </c>
      <c r="AQ47" s="11">
        <v>319.8</v>
      </c>
      <c r="AR47">
        <f>Tabel24256789101112[[#This Row],[Stand licht bruisend liter einde maand]]-Tabel24256789101112[[#This Row],[Stand licht bruisend liter vorige maand]]</f>
        <v>25.599999999999966</v>
      </c>
      <c r="AS47" s="2">
        <f>Tabel24256789101112[[#This Row],[Verbruik licht bruisend liter deze maand]]/0.15</f>
        <v>170.66666666666646</v>
      </c>
      <c r="AT47" s="11">
        <v>2517</v>
      </c>
      <c r="AU47" s="11">
        <v>2272.5</v>
      </c>
      <c r="AV47">
        <f>Tabel24256789101112[[#This Row],[Stand heet water liter einde maand]]-Tabel24256789101112[[#This Row],[Stand heet water liter vorige maand]]</f>
        <v>244.5</v>
      </c>
      <c r="AW47" s="20">
        <f>Tabel24256789101112[[#This Row],[Verbruik heet Water liter deze maand ]]/0.15</f>
        <v>1630</v>
      </c>
      <c r="AX47" s="4">
        <f>Tabel24256789101112[[#This Row],[Aantal consumpties heet water deze maand]]+Tabel24256789101112[[#This Row],[Aantal consumpties licht bruisend water deze maand]]+Tabel24256789101112[[#This Row],[aantal consumpties Bruisend water deze maand]]+Tabel24256789101112[[#This Row],[Aantal consumpties gekoeld water deze maand]]+Tabel24256789101112[[#This Row],[Aantal consumpties Kamertemp deze maand]]</f>
        <v>643.9999999999992</v>
      </c>
      <c r="AY47" s="4">
        <f>Tabel24256789101112[[#This Row],[Subtotaal waterbar in consumpties]]+Tabel24256789101112[[#This Row],[Subtotaal koffieautomaten]]</f>
        <v>1414.9999999999991</v>
      </c>
    </row>
    <row r="48" spans="1:51" x14ac:dyDescent="0.25">
      <c r="A48" t="s">
        <v>56</v>
      </c>
      <c r="B48" t="s">
        <v>96</v>
      </c>
      <c r="C48" t="s">
        <v>36</v>
      </c>
      <c r="E48" s="42"/>
      <c r="F48" s="42"/>
      <c r="G48" s="43"/>
      <c r="H48" s="42"/>
      <c r="I48" s="42"/>
      <c r="J48" s="43"/>
      <c r="K48" s="42"/>
      <c r="L48" s="42"/>
      <c r="M48" s="43"/>
      <c r="N48" s="42"/>
      <c r="O48" s="42"/>
      <c r="P48" s="43"/>
      <c r="Q48" s="42"/>
      <c r="R48" s="42"/>
      <c r="S48" s="43"/>
      <c r="T48" s="42"/>
      <c r="U48" s="42"/>
      <c r="V48" s="43"/>
      <c r="W48" s="42"/>
      <c r="X48" s="42"/>
      <c r="Y48" s="43"/>
      <c r="Z48" s="42"/>
      <c r="AA48" s="42"/>
      <c r="AB48" s="43"/>
      <c r="AC48" s="43"/>
      <c r="AD48" s="11">
        <v>179.1</v>
      </c>
      <c r="AE48" s="11">
        <v>165.4</v>
      </c>
      <c r="AF48">
        <f>Tabel24256789101112[[#This Row],[Stand Kamertemp liter einde maand]]-Tabel24256789101112[[#This Row],[Stand Kamertemp liter vorige maand]]</f>
        <v>13.699999999999989</v>
      </c>
      <c r="AG48" s="2">
        <f>Tabel24256789101112[[#This Row],[Verbruik Kamertemp liter deze maand]]/0.15</f>
        <v>91.333333333333258</v>
      </c>
      <c r="AH48" s="11">
        <v>1302.9000000000001</v>
      </c>
      <c r="AI48" s="11">
        <v>1193.7</v>
      </c>
      <c r="AJ48">
        <f>Tabel24256789101112[[#This Row],[Stand Gekoeld liter einde maand]]-Tabel24256789101112[[#This Row],[Stand Gekoeld liter vorige maand]]</f>
        <v>109.20000000000005</v>
      </c>
      <c r="AK48" s="2">
        <f>Tabel24256789101112[[#This Row],[Verbruik Gekoeld liter deze maand]]/0.15</f>
        <v>728.00000000000034</v>
      </c>
      <c r="AL48" s="11">
        <v>498.4</v>
      </c>
      <c r="AM48" s="11">
        <v>469.7</v>
      </c>
      <c r="AN48">
        <f>Tabel24256789101112[[#This Row],[Stand Bruisend liter einde maand]]-Tabel24256789101112[[#This Row],[Stand Bruisend liter vorige maand]]</f>
        <v>28.699999999999989</v>
      </c>
      <c r="AO48" s="2">
        <f>Tabel24256789101112[[#This Row],[Verbruik Bruisend liter deze maand]]/0.15</f>
        <v>191.33333333333326</v>
      </c>
      <c r="AQ48" s="11">
        <v>316.60000000000002</v>
      </c>
      <c r="AR48">
        <f>Tabel24256789101112[[#This Row],[Stand licht bruisend liter einde maand]]-Tabel24256789101112[[#This Row],[Stand licht bruisend liter vorige maand]]</f>
        <v>-316.60000000000002</v>
      </c>
      <c r="AS48" s="2">
        <f>Tabel24256789101112[[#This Row],[Verbruik licht bruisend liter deze maand]]/0.15</f>
        <v>-2110.666666666667</v>
      </c>
      <c r="AT48" s="11">
        <v>3414</v>
      </c>
      <c r="AU48" s="11">
        <v>3132.3</v>
      </c>
      <c r="AV48">
        <f>Tabel24256789101112[[#This Row],[Stand heet water liter einde maand]]-Tabel24256789101112[[#This Row],[Stand heet water liter vorige maand]]</f>
        <v>281.69999999999982</v>
      </c>
      <c r="AW48" s="20">
        <f>Tabel24256789101112[[#This Row],[Verbruik heet Water liter deze maand ]]/0.15</f>
        <v>1877.9999999999989</v>
      </c>
      <c r="AX48" s="4">
        <f>Tabel24256789101112[[#This Row],[Aantal consumpties heet water deze maand]]+Tabel24256789101112[[#This Row],[Aantal consumpties licht bruisend water deze maand]]+Tabel24256789101112[[#This Row],[aantal consumpties Bruisend water deze maand]]+Tabel24256789101112[[#This Row],[Aantal consumpties gekoeld water deze maand]]+Tabel24256789101112[[#This Row],[Aantal consumpties Kamertemp deze maand]]</f>
        <v>777.99999999999875</v>
      </c>
      <c r="AY48" s="4">
        <f>Tabel24256789101112[[#This Row],[Subtotaal waterbar in consumpties]]+Tabel24256789101112[[#This Row],[Subtotaal koffieautomaten]]</f>
        <v>777.99999999999875</v>
      </c>
    </row>
    <row r="49" spans="1:51" x14ac:dyDescent="0.25">
      <c r="A49" t="s">
        <v>58</v>
      </c>
      <c r="B49" t="s">
        <v>97</v>
      </c>
      <c r="C49" t="s">
        <v>31</v>
      </c>
      <c r="E49" s="11">
        <v>4747</v>
      </c>
      <c r="F49" s="11">
        <v>4307</v>
      </c>
      <c r="G49" s="12">
        <f>Tabel24256789101112[[#This Row],[Stand Coffee einde maand]]-Tabel24256789101112[[#This Row],[Coffee vorige maand]]</f>
        <v>440</v>
      </c>
      <c r="H49" s="11">
        <v>1358</v>
      </c>
      <c r="I49" s="11">
        <v>1188</v>
      </c>
      <c r="J49" s="12">
        <f>Tabel24256789101112[[#This Row],[Stand Espresso Einde maand]]-Tabel24256789101112[[#This Row],[Espresso vorige maand]]</f>
        <v>170</v>
      </c>
      <c r="K49" s="11">
        <v>638</v>
      </c>
      <c r="L49" s="11">
        <v>593</v>
      </c>
      <c r="M49">
        <f>Tabel24256789101112[[#This Row],[Stand Latte Macchiato einde maand]]-Tabel24256789101112[[#This Row],[Latte Macchiato vorige maand]]</f>
        <v>45</v>
      </c>
      <c r="N49" s="11">
        <v>661</v>
      </c>
      <c r="O49" s="11">
        <v>600</v>
      </c>
      <c r="P49">
        <f>Tabel24256789101112[[#This Row],[Stand Coffee Latte einde maand]]-Tabel24256789101112[[#This Row],[Coffee Latte vorige maand]]</f>
        <v>61</v>
      </c>
      <c r="Q49" s="11">
        <v>4937</v>
      </c>
      <c r="R49" s="11">
        <v>4408</v>
      </c>
      <c r="S49">
        <f>Tabel24256789101112[[#This Row],[Stand Hot Water einde maand]]-Tabel24256789101112[[#This Row],[Hot Water vorige maand]]</f>
        <v>529</v>
      </c>
      <c r="T49" s="11">
        <v>3092</v>
      </c>
      <c r="U49" s="11">
        <v>2776</v>
      </c>
      <c r="V49">
        <f>Tabel24256789101112[[#This Row],[Stand Cappucino einde maand]]-Tabel24256789101112[[#This Row],[Stand Cappucino vorige maand]]</f>
        <v>316</v>
      </c>
      <c r="W49" s="11">
        <v>821</v>
      </c>
      <c r="X49" s="11">
        <v>789</v>
      </c>
      <c r="Y49">
        <f>Tabel24256789101112[[#This Row],[Stand Cappucino Plantaardig einde maand]]-Tabel24256789101112[[#This Row],[Stand Cappucino Plantaardig vorige maand]]</f>
        <v>32</v>
      </c>
      <c r="Z49" s="11">
        <v>171</v>
      </c>
      <c r="AA49" s="11">
        <v>152</v>
      </c>
      <c r="AB49" s="12">
        <f>Tabel24256789101112[[#This Row],[Stand Latte Macchiato Plantaardig einde maand]]-Tabel24256789101112[[#This Row],[Stand Latte Macchiato Plantaardig vorige maand]]</f>
        <v>19</v>
      </c>
      <c r="AC49" s="3">
        <f>Tabel24256789101112[[#This Row],[Verbruik Stand Latte Macchiato Plantaardig deze maand]]+Tabel24256789101112[[#This Row],[Verbruik  Cappucino Plantaardig deze maand]]+Tabel24256789101112[[#This Row],[Verbruik Cappucino deze maand]]+Tabel24256789101112[[#This Row],[Verbruik Hot Water deze maand]]+Tabel24256789101112[[#This Row],[Verbruik Coffee Latte deze maand]]+Tabel24256789101112[[#This Row],[Verbruik Latte Macchiato deze maand]]+Tabel24256789101112[[#This Row],[Verbruik Espresso deze maand]]+Tabel24256789101112[[#This Row],[Verbruik Coffee deze maand]]</f>
        <v>1612</v>
      </c>
      <c r="AD49" s="26"/>
      <c r="AE49" s="26"/>
      <c r="AF49" s="5"/>
      <c r="AG49" s="7"/>
      <c r="AH49" s="26"/>
      <c r="AI49" s="26"/>
      <c r="AJ49" s="5"/>
      <c r="AK49" s="7"/>
      <c r="AL49" s="26"/>
      <c r="AM49" s="26"/>
      <c r="AN49" s="5"/>
      <c r="AO49" s="7"/>
      <c r="AP49" s="26"/>
      <c r="AQ49" s="26"/>
      <c r="AR49" s="5"/>
      <c r="AS49" s="7"/>
      <c r="AT49" s="26"/>
      <c r="AU49" s="26"/>
      <c r="AV49" s="5"/>
      <c r="AW49" s="21"/>
      <c r="AX49" s="8">
        <f>Tabel24256789101112[[#This Row],[Aantal consumpties heet water deze maand]]+Tabel24256789101112[[#This Row],[Aantal consumpties licht bruisend water deze maand]]+Tabel24256789101112[[#This Row],[aantal consumpties Bruisend water deze maand]]+Tabel24256789101112[[#This Row],[Aantal consumpties gekoeld water deze maand]]+Tabel24256789101112[[#This Row],[Aantal consumpties Kamertemp deze maand]]</f>
        <v>0</v>
      </c>
      <c r="AY49" s="4">
        <f>Tabel24256789101112[[#This Row],[Subtotaal waterbar in consumpties]]+Tabel24256789101112[[#This Row],[Subtotaal koffieautomaten]]</f>
        <v>1612</v>
      </c>
    </row>
    <row r="50" spans="1:51" x14ac:dyDescent="0.25">
      <c r="A50" t="s">
        <v>60</v>
      </c>
      <c r="B50" t="s">
        <v>98</v>
      </c>
      <c r="C50" t="s">
        <v>47</v>
      </c>
      <c r="E50" s="11">
        <v>2090</v>
      </c>
      <c r="F50" s="11">
        <v>1967</v>
      </c>
      <c r="G50" s="12">
        <f>Tabel24256789101112[[#This Row],[Stand Coffee einde maand]]-Tabel24256789101112[[#This Row],[Coffee vorige maand]]</f>
        <v>123</v>
      </c>
      <c r="H50" s="11">
        <v>684</v>
      </c>
      <c r="I50" s="11">
        <v>623</v>
      </c>
      <c r="J50" s="12">
        <f>Tabel24256789101112[[#This Row],[Stand Espresso Einde maand]]-Tabel24256789101112[[#This Row],[Espresso vorige maand]]</f>
        <v>61</v>
      </c>
      <c r="K50" s="11">
        <v>414</v>
      </c>
      <c r="L50" s="11">
        <v>394</v>
      </c>
      <c r="M50">
        <f>Tabel24256789101112[[#This Row],[Stand Latte Macchiato einde maand]]-Tabel24256789101112[[#This Row],[Latte Macchiato vorige maand]]</f>
        <v>20</v>
      </c>
      <c r="N50" s="11">
        <v>269</v>
      </c>
      <c r="O50" s="11">
        <v>237</v>
      </c>
      <c r="P50">
        <f>Tabel24256789101112[[#This Row],[Stand Coffee Latte einde maand]]-Tabel24256789101112[[#This Row],[Coffee Latte vorige maand]]</f>
        <v>32</v>
      </c>
      <c r="Q50" s="11">
        <v>1</v>
      </c>
      <c r="R50" s="11">
        <v>1</v>
      </c>
      <c r="S50">
        <f>Tabel24256789101112[[#This Row],[Stand Hot Water einde maand]]-Tabel24256789101112[[#This Row],[Hot Water vorige maand]]</f>
        <v>0</v>
      </c>
      <c r="T50" s="11">
        <v>1476</v>
      </c>
      <c r="U50" s="11">
        <v>1358</v>
      </c>
      <c r="V50">
        <f>Tabel24256789101112[[#This Row],[Stand Cappucino einde maand]]-Tabel24256789101112[[#This Row],[Stand Cappucino vorige maand]]</f>
        <v>118</v>
      </c>
      <c r="W50" s="11">
        <v>350</v>
      </c>
      <c r="X50" s="11">
        <v>336</v>
      </c>
      <c r="Y50">
        <f>Tabel24256789101112[[#This Row],[Stand Cappucino Plantaardig einde maand]]-Tabel24256789101112[[#This Row],[Stand Cappucino Plantaardig vorige maand]]</f>
        <v>14</v>
      </c>
      <c r="Z50" s="11">
        <v>106</v>
      </c>
      <c r="AA50" s="11">
        <v>97</v>
      </c>
      <c r="AB50" s="12">
        <f>Tabel24256789101112[[#This Row],[Stand Latte Macchiato Plantaardig einde maand]]-Tabel24256789101112[[#This Row],[Stand Latte Macchiato Plantaardig vorige maand]]</f>
        <v>9</v>
      </c>
      <c r="AC50" s="3">
        <f>Tabel24256789101112[[#This Row],[Verbruik Stand Latte Macchiato Plantaardig deze maand]]+Tabel24256789101112[[#This Row],[Verbruik  Cappucino Plantaardig deze maand]]+Tabel24256789101112[[#This Row],[Verbruik Cappucino deze maand]]+Tabel24256789101112[[#This Row],[Verbruik Hot Water deze maand]]+Tabel24256789101112[[#This Row],[Verbruik Coffee Latte deze maand]]+Tabel24256789101112[[#This Row],[Verbruik Latte Macchiato deze maand]]+Tabel24256789101112[[#This Row],[Verbruik Espresso deze maand]]+Tabel24256789101112[[#This Row],[Verbruik Coffee deze maand]]</f>
        <v>377</v>
      </c>
      <c r="AD50" s="11">
        <v>125.4</v>
      </c>
      <c r="AE50" s="11">
        <v>117.3</v>
      </c>
      <c r="AF50">
        <f>Tabel24256789101112[[#This Row],[Stand Kamertemp liter einde maand]]-Tabel24256789101112[[#This Row],[Stand Kamertemp liter vorige maand]]</f>
        <v>8.1000000000000085</v>
      </c>
      <c r="AG50" s="2">
        <f>Tabel24256789101112[[#This Row],[Verbruik Kamertemp liter deze maand]]/0.15</f>
        <v>54.000000000000057</v>
      </c>
      <c r="AH50" s="11">
        <v>824.3</v>
      </c>
      <c r="AI50" s="11">
        <v>751.4</v>
      </c>
      <c r="AJ50">
        <f>Tabel24256789101112[[#This Row],[Stand Gekoeld liter einde maand]]-Tabel24256789101112[[#This Row],[Stand Gekoeld liter vorige maand]]</f>
        <v>72.899999999999977</v>
      </c>
      <c r="AK50" s="2">
        <f>Tabel24256789101112[[#This Row],[Verbruik Gekoeld liter deze maand]]/0.15</f>
        <v>485.99999999999989</v>
      </c>
      <c r="AL50" s="11">
        <v>342.7</v>
      </c>
      <c r="AM50" s="11">
        <v>321.60000000000002</v>
      </c>
      <c r="AN50">
        <f>Tabel24256789101112[[#This Row],[Stand Bruisend liter einde maand]]-Tabel24256789101112[[#This Row],[Stand Bruisend liter vorige maand]]</f>
        <v>21.099999999999966</v>
      </c>
      <c r="AO50" s="2">
        <f>Tabel24256789101112[[#This Row],[Verbruik Bruisend liter deze maand]]/0.15</f>
        <v>140.66666666666646</v>
      </c>
      <c r="AP50" s="11">
        <v>232.1</v>
      </c>
      <c r="AQ50" s="11">
        <v>186.9</v>
      </c>
      <c r="AR50">
        <f>Tabel24256789101112[[#This Row],[Stand licht bruisend liter einde maand]]-Tabel24256789101112[[#This Row],[Stand licht bruisend liter vorige maand]]</f>
        <v>45.199999999999989</v>
      </c>
      <c r="AS50" s="2">
        <f>Tabel24256789101112[[#This Row],[Verbruik licht bruisend liter deze maand]]/0.15</f>
        <v>301.33333333333326</v>
      </c>
      <c r="AT50" s="11">
        <v>2229.8000000000002</v>
      </c>
      <c r="AU50" s="11">
        <v>2010.9</v>
      </c>
      <c r="AV50">
        <f>Tabel24256789101112[[#This Row],[Stand heet water liter einde maand]]-Tabel24256789101112[[#This Row],[Stand heet water liter vorige maand]]</f>
        <v>218.90000000000009</v>
      </c>
      <c r="AW50" s="20">
        <f>Tabel24256789101112[[#This Row],[Verbruik heet Water liter deze maand ]]/0.15</f>
        <v>1459.3333333333339</v>
      </c>
      <c r="AX50" s="4">
        <f>Tabel24256789101112[[#This Row],[Aantal consumpties heet water deze maand]]+Tabel24256789101112[[#This Row],[Aantal consumpties licht bruisend water deze maand]]+Tabel24256789101112[[#This Row],[aantal consumpties Bruisend water deze maand]]+Tabel24256789101112[[#This Row],[Aantal consumpties gekoeld water deze maand]]+Tabel24256789101112[[#This Row],[Aantal consumpties Kamertemp deze maand]]</f>
        <v>2441.3333333333335</v>
      </c>
      <c r="AY50" s="4">
        <f>Tabel24256789101112[[#This Row],[Subtotaal waterbar in consumpties]]+Tabel24256789101112[[#This Row],[Subtotaal koffieautomaten]]</f>
        <v>2818.3333333333335</v>
      </c>
    </row>
    <row r="51" spans="1:51" x14ac:dyDescent="0.25">
      <c r="A51" s="3" t="s">
        <v>99</v>
      </c>
      <c r="F51" s="11"/>
      <c r="H51" s="11"/>
      <c r="I51" s="11"/>
      <c r="J51" s="12"/>
      <c r="K51" s="11"/>
      <c r="L51" s="11"/>
      <c r="O51" s="11"/>
      <c r="R51" s="11"/>
      <c r="U51" s="11"/>
      <c r="X51" s="11"/>
      <c r="AA51" s="11"/>
      <c r="AC51" s="3">
        <f>Tabel24256789101112[[#This Row],[Verbruik Stand Latte Macchiato Plantaardig deze maand]]+Tabel24256789101112[[#This Row],[Verbruik  Cappucino Plantaardig deze maand]]+Tabel24256789101112[[#This Row],[Verbruik Cappucino deze maand]]+Tabel24256789101112[[#This Row],[Verbruik Hot Water deze maand]]+Tabel24256789101112[[#This Row],[Verbruik Coffee Latte deze maand]]+Tabel24256789101112[[#This Row],[Verbruik Latte Macchiato deze maand]]+Tabel24256789101112[[#This Row],[Verbruik Espresso deze maand]]+Tabel24256789101112[[#This Row],[Verbruik Coffee deze maand]]</f>
        <v>0</v>
      </c>
      <c r="AE51" s="11"/>
      <c r="AG51" s="2"/>
      <c r="AI51" s="11"/>
      <c r="AK51" s="2"/>
      <c r="AM51" s="11"/>
      <c r="AO51" s="2"/>
      <c r="AQ51" s="11"/>
      <c r="AS51" s="2"/>
      <c r="AU51" s="11"/>
      <c r="AV51">
        <f>Tabel24256789101112[[#This Row],[Stand heet water liter einde maand]]-Tabel24256789101112[[#This Row],[Stand heet water liter vorige maand]]</f>
        <v>0</v>
      </c>
      <c r="AW51" s="20">
        <f>Tabel24256789101112[[#This Row],[Verbruik heet Water liter deze maand ]]/0.15</f>
        <v>0</v>
      </c>
      <c r="AX51" s="4"/>
      <c r="AY51" s="4">
        <f>Tabel24256789101112[[#This Row],[Subtotaal waterbar in consumpties]]+Tabel24256789101112[[#This Row],[Subtotaal koffieautomaten]]</f>
        <v>0</v>
      </c>
    </row>
    <row r="52" spans="1:51" x14ac:dyDescent="0.25">
      <c r="A52" t="s">
        <v>43</v>
      </c>
      <c r="B52" t="s">
        <v>100</v>
      </c>
      <c r="C52" t="s">
        <v>31</v>
      </c>
      <c r="E52" s="11">
        <v>4403</v>
      </c>
      <c r="F52" s="11">
        <v>3921</v>
      </c>
      <c r="G52" s="12">
        <f>Tabel24256789101112[[#This Row],[Stand Coffee einde maand]]-Tabel24256789101112[[#This Row],[Coffee vorige maand]]</f>
        <v>482</v>
      </c>
      <c r="H52" s="11">
        <f>824+360</f>
        <v>1184</v>
      </c>
      <c r="I52" s="11">
        <v>824</v>
      </c>
      <c r="J52" s="12">
        <f>Tabel24256789101112[[#This Row],[Stand Espresso Einde maand]]-Tabel24256789101112[[#This Row],[Espresso vorige maand]]</f>
        <v>360</v>
      </c>
      <c r="K52" s="11">
        <v>574</v>
      </c>
      <c r="L52" s="11">
        <v>513</v>
      </c>
      <c r="M52">
        <f>Tabel24256789101112[[#This Row],[Stand Latte Macchiato einde maand]]-Tabel24256789101112[[#This Row],[Latte Macchiato vorige maand]]</f>
        <v>61</v>
      </c>
      <c r="N52" s="11">
        <v>265</v>
      </c>
      <c r="O52" s="11">
        <v>254</v>
      </c>
      <c r="P52">
        <f>Tabel24256789101112[[#This Row],[Stand Coffee Latte einde maand]]-Tabel24256789101112[[#This Row],[Coffee Latte vorige maand]]</f>
        <v>11</v>
      </c>
      <c r="Q52" s="11">
        <v>11034</v>
      </c>
      <c r="R52" s="11">
        <v>9789</v>
      </c>
      <c r="S52">
        <f>Tabel24256789101112[[#This Row],[Stand Hot Water einde maand]]-Tabel24256789101112[[#This Row],[Hot Water vorige maand]]</f>
        <v>1245</v>
      </c>
      <c r="T52" s="11">
        <v>1448</v>
      </c>
      <c r="U52" s="11">
        <v>1209</v>
      </c>
      <c r="V52">
        <f>Tabel24256789101112[[#This Row],[Stand Cappucino einde maand]]-Tabel24256789101112[[#This Row],[Stand Cappucino vorige maand]]</f>
        <v>239</v>
      </c>
      <c r="W52" s="11">
        <v>443</v>
      </c>
      <c r="X52" s="11">
        <v>359</v>
      </c>
      <c r="Y52">
        <f>Tabel24256789101112[[#This Row],[Stand Cappucino Plantaardig einde maand]]-Tabel24256789101112[[#This Row],[Stand Cappucino Plantaardig vorige maand]]</f>
        <v>84</v>
      </c>
      <c r="Z52" s="11">
        <v>124</v>
      </c>
      <c r="AA52" s="11">
        <v>112</v>
      </c>
      <c r="AB52" s="12">
        <f>Tabel24256789101112[[#This Row],[Stand Latte Macchiato Plantaardig einde maand]]-Tabel24256789101112[[#This Row],[Stand Latte Macchiato Plantaardig vorige maand]]</f>
        <v>12</v>
      </c>
      <c r="AC52" s="3">
        <f>Tabel24256789101112[[#This Row],[Verbruik Stand Latte Macchiato Plantaardig deze maand]]+Tabel24256789101112[[#This Row],[Verbruik  Cappucino Plantaardig deze maand]]+Tabel24256789101112[[#This Row],[Verbruik Cappucino deze maand]]+Tabel24256789101112[[#This Row],[Verbruik Hot Water deze maand]]+Tabel24256789101112[[#This Row],[Verbruik Coffee Latte deze maand]]+Tabel24256789101112[[#This Row],[Verbruik Latte Macchiato deze maand]]+Tabel24256789101112[[#This Row],[Verbruik Espresso deze maand]]+Tabel24256789101112[[#This Row],[Verbruik Coffee deze maand]]</f>
        <v>2494</v>
      </c>
      <c r="AD52" s="26"/>
      <c r="AE52" s="26"/>
      <c r="AF52" s="5"/>
      <c r="AG52" s="7"/>
      <c r="AH52" s="26"/>
      <c r="AI52" s="26"/>
      <c r="AJ52" s="5"/>
      <c r="AK52" s="7"/>
      <c r="AL52" s="26"/>
      <c r="AM52" s="26"/>
      <c r="AN52" s="5"/>
      <c r="AO52" s="7"/>
      <c r="AP52" s="26"/>
      <c r="AQ52" s="26"/>
      <c r="AR52" s="5"/>
      <c r="AS52" s="7"/>
      <c r="AT52" s="26"/>
      <c r="AU52" s="26"/>
      <c r="AV52" s="5"/>
      <c r="AW52" s="21"/>
      <c r="AX52" s="8"/>
      <c r="AY52" s="4">
        <f>Tabel24256789101112[[#This Row],[Subtotaal waterbar in consumpties]]+Tabel24256789101112[[#This Row],[Subtotaal koffieautomaten]]</f>
        <v>2494</v>
      </c>
    </row>
    <row r="53" spans="1:51" x14ac:dyDescent="0.25">
      <c r="A53" t="s">
        <v>45</v>
      </c>
      <c r="B53" t="s">
        <v>101</v>
      </c>
      <c r="C53" t="s">
        <v>47</v>
      </c>
      <c r="E53" s="11">
        <v>3793</v>
      </c>
      <c r="F53" s="11">
        <v>3498</v>
      </c>
      <c r="G53" s="12">
        <f>Tabel24256789101112[[#This Row],[Stand Coffee einde maand]]-Tabel24256789101112[[#This Row],[Coffee vorige maand]]</f>
        <v>295</v>
      </c>
      <c r="H53" s="11">
        <v>1451</v>
      </c>
      <c r="I53" s="11">
        <v>1281</v>
      </c>
      <c r="J53" s="12">
        <f>Tabel24256789101112[[#This Row],[Stand Espresso Einde maand]]-Tabel24256789101112[[#This Row],[Espresso vorige maand]]</f>
        <v>170</v>
      </c>
      <c r="K53" s="11">
        <v>354</v>
      </c>
      <c r="L53" s="11">
        <v>323</v>
      </c>
      <c r="M53">
        <f>Tabel24256789101112[[#This Row],[Stand Latte Macchiato einde maand]]-Tabel24256789101112[[#This Row],[Latte Macchiato vorige maand]]</f>
        <v>31</v>
      </c>
      <c r="N53" s="11">
        <v>281</v>
      </c>
      <c r="O53" s="11">
        <v>273</v>
      </c>
      <c r="P53">
        <f>Tabel24256789101112[[#This Row],[Stand Coffee Latte einde maand]]-Tabel24256789101112[[#This Row],[Coffee Latte vorige maand]]</f>
        <v>8</v>
      </c>
      <c r="Q53" s="11">
        <v>1</v>
      </c>
      <c r="R53" s="11">
        <v>1</v>
      </c>
      <c r="S53">
        <f>Tabel24256789101112[[#This Row],[Stand Hot Water einde maand]]-Tabel24256789101112[[#This Row],[Hot Water vorige maand]]</f>
        <v>0</v>
      </c>
      <c r="T53" s="11">
        <v>1836</v>
      </c>
      <c r="U53" s="11">
        <v>1653</v>
      </c>
      <c r="V53">
        <f>Tabel24256789101112[[#This Row],[Stand Cappucino einde maand]]-Tabel24256789101112[[#This Row],[Stand Cappucino vorige maand]]</f>
        <v>183</v>
      </c>
      <c r="W53" s="11">
        <v>403</v>
      </c>
      <c r="X53" s="11">
        <v>362</v>
      </c>
      <c r="Y53">
        <f>Tabel24256789101112[[#This Row],[Stand Cappucino Plantaardig einde maand]]-Tabel24256789101112[[#This Row],[Stand Cappucino Plantaardig vorige maand]]</f>
        <v>41</v>
      </c>
      <c r="Z53" s="11">
        <v>161</v>
      </c>
      <c r="AA53" s="11">
        <v>154</v>
      </c>
      <c r="AB53" s="12">
        <f>Tabel24256789101112[[#This Row],[Stand Latte Macchiato Plantaardig einde maand]]-Tabel24256789101112[[#This Row],[Stand Latte Macchiato Plantaardig vorige maand]]</f>
        <v>7</v>
      </c>
      <c r="AC53" s="3">
        <f>Tabel24256789101112[[#This Row],[Verbruik Stand Latte Macchiato Plantaardig deze maand]]+Tabel24256789101112[[#This Row],[Verbruik  Cappucino Plantaardig deze maand]]+Tabel24256789101112[[#This Row],[Verbruik Cappucino deze maand]]+Tabel24256789101112[[#This Row],[Verbruik Hot Water deze maand]]+Tabel24256789101112[[#This Row],[Verbruik Coffee Latte deze maand]]+Tabel24256789101112[[#This Row],[Verbruik Latte Macchiato deze maand]]+Tabel24256789101112[[#This Row],[Verbruik Espresso deze maand]]+Tabel24256789101112[[#This Row],[Verbruik Coffee deze maand]]</f>
        <v>735</v>
      </c>
      <c r="AD53" s="11">
        <v>223</v>
      </c>
      <c r="AE53" s="11">
        <v>208.6</v>
      </c>
      <c r="AF53">
        <f>Tabel24256789101112[[#This Row],[Stand Kamertemp liter einde maand]]-Tabel24256789101112[[#This Row],[Stand Kamertemp liter vorige maand]]</f>
        <v>14.400000000000006</v>
      </c>
      <c r="AG53" s="2">
        <f>Tabel24256789101112[[#This Row],[Verbruik Kamertemp liter deze maand]]/0.15</f>
        <v>96.000000000000043</v>
      </c>
      <c r="AH53" s="11">
        <v>966</v>
      </c>
      <c r="AI53" s="11">
        <v>887.1</v>
      </c>
      <c r="AJ53">
        <f>Tabel24256789101112[[#This Row],[Stand Gekoeld liter einde maand]]-Tabel24256789101112[[#This Row],[Stand Gekoeld liter vorige maand]]</f>
        <v>78.899999999999977</v>
      </c>
      <c r="AK53" s="2">
        <f>Tabel24256789101112[[#This Row],[Verbruik Gekoeld liter deze maand]]/0.15</f>
        <v>525.99999999999989</v>
      </c>
      <c r="AL53" s="11">
        <v>1274.3</v>
      </c>
      <c r="AM53" s="11">
        <v>1201.3</v>
      </c>
      <c r="AN53">
        <f>Tabel24256789101112[[#This Row],[Stand Bruisend liter einde maand]]-Tabel24256789101112[[#This Row],[Stand Bruisend liter vorige maand]]</f>
        <v>73</v>
      </c>
      <c r="AO53" s="2">
        <f>Tabel24256789101112[[#This Row],[Verbruik Bruisend liter deze maand]]/0.15</f>
        <v>486.66666666666669</v>
      </c>
      <c r="AP53" s="11">
        <v>410.3</v>
      </c>
      <c r="AQ53" s="11">
        <v>401.3</v>
      </c>
      <c r="AR53">
        <f>Tabel24256789101112[[#This Row],[Stand licht bruisend liter einde maand]]-Tabel24256789101112[[#This Row],[Stand licht bruisend liter vorige maand]]</f>
        <v>9</v>
      </c>
      <c r="AS53" s="2">
        <f>Tabel24256789101112[[#This Row],[Verbruik licht bruisend liter deze maand]]/0.15</f>
        <v>60</v>
      </c>
      <c r="AT53" s="11">
        <v>3033.1</v>
      </c>
      <c r="AU53" s="11">
        <v>2738.4</v>
      </c>
      <c r="AV53">
        <f>Tabel24256789101112[[#This Row],[Stand heet water liter einde maand]]-Tabel24256789101112[[#This Row],[Stand heet water liter vorige maand]]</f>
        <v>294.69999999999982</v>
      </c>
      <c r="AW53" s="20">
        <f>Tabel24256789101112[[#This Row],[Verbruik heet Water liter deze maand ]]/0.15</f>
        <v>1964.6666666666656</v>
      </c>
      <c r="AX53" s="4">
        <f>Tabel24256789101112[[#This Row],[Aantal consumpties heet water deze maand]]+Tabel24256789101112[[#This Row],[Aantal consumpties licht bruisend water deze maand]]+Tabel24256789101112[[#This Row],[aantal consumpties Bruisend water deze maand]]+Tabel24256789101112[[#This Row],[Aantal consumpties gekoeld water deze maand]]+Tabel24256789101112[[#This Row],[Aantal consumpties Kamertemp deze maand]]</f>
        <v>3133.3333333333321</v>
      </c>
      <c r="AY53" s="4">
        <f>Tabel24256789101112[[#This Row],[Subtotaal waterbar in consumpties]]+Tabel24256789101112[[#This Row],[Subtotaal koffieautomaten]]</f>
        <v>3868.3333333333321</v>
      </c>
    </row>
    <row r="54" spans="1:51" x14ac:dyDescent="0.25">
      <c r="A54" t="s">
        <v>48</v>
      </c>
      <c r="B54" t="s">
        <v>102</v>
      </c>
      <c r="C54" t="s">
        <v>31</v>
      </c>
      <c r="E54" s="11">
        <v>3028</v>
      </c>
      <c r="F54" s="11">
        <v>2662</v>
      </c>
      <c r="G54" s="12">
        <f>Tabel24256789101112[[#This Row],[Stand Coffee einde maand]]-Tabel24256789101112[[#This Row],[Coffee vorige maand]]</f>
        <v>366</v>
      </c>
      <c r="H54" s="11">
        <v>946</v>
      </c>
      <c r="I54" s="11">
        <v>763</v>
      </c>
      <c r="J54" s="12">
        <f>Tabel24256789101112[[#This Row],[Stand Espresso Einde maand]]-Tabel24256789101112[[#This Row],[Espresso vorige maand]]</f>
        <v>183</v>
      </c>
      <c r="K54" s="11">
        <v>144</v>
      </c>
      <c r="L54" s="11">
        <v>119</v>
      </c>
      <c r="M54">
        <f>Tabel24256789101112[[#This Row],[Stand Latte Macchiato einde maand]]-Tabel24256789101112[[#This Row],[Latte Macchiato vorige maand]]</f>
        <v>25</v>
      </c>
      <c r="N54" s="11">
        <v>191</v>
      </c>
      <c r="O54" s="11">
        <v>185</v>
      </c>
      <c r="P54">
        <f>Tabel24256789101112[[#This Row],[Stand Coffee Latte einde maand]]-Tabel24256789101112[[#This Row],[Coffee Latte vorige maand]]</f>
        <v>6</v>
      </c>
      <c r="Q54" s="11">
        <v>7094</v>
      </c>
      <c r="R54" s="11">
        <v>6105</v>
      </c>
      <c r="S54">
        <f>Tabel24256789101112[[#This Row],[Stand Hot Water einde maand]]-Tabel24256789101112[[#This Row],[Hot Water vorige maand]]</f>
        <v>989</v>
      </c>
      <c r="T54" s="11">
        <v>1228</v>
      </c>
      <c r="U54" s="11">
        <v>1125</v>
      </c>
      <c r="V54">
        <f>Tabel24256789101112[[#This Row],[Stand Cappucino einde maand]]-Tabel24256789101112[[#This Row],[Stand Cappucino vorige maand]]</f>
        <v>103</v>
      </c>
      <c r="W54" s="11">
        <v>872</v>
      </c>
      <c r="X54" s="11">
        <v>798</v>
      </c>
      <c r="Y54">
        <f>Tabel24256789101112[[#This Row],[Stand Cappucino Plantaardig einde maand]]-Tabel24256789101112[[#This Row],[Stand Cappucino Plantaardig vorige maand]]</f>
        <v>74</v>
      </c>
      <c r="Z54" s="11">
        <v>72</v>
      </c>
      <c r="AA54" s="11">
        <v>70</v>
      </c>
      <c r="AB54" s="12">
        <f>Tabel24256789101112[[#This Row],[Stand Latte Macchiato Plantaardig einde maand]]-Tabel24256789101112[[#This Row],[Stand Latte Macchiato Plantaardig vorige maand]]</f>
        <v>2</v>
      </c>
      <c r="AC54" s="3">
        <f>Tabel24256789101112[[#This Row],[Verbruik Stand Latte Macchiato Plantaardig deze maand]]+Tabel24256789101112[[#This Row],[Verbruik  Cappucino Plantaardig deze maand]]+Tabel24256789101112[[#This Row],[Verbruik Cappucino deze maand]]+Tabel24256789101112[[#This Row],[Verbruik Hot Water deze maand]]+Tabel24256789101112[[#This Row],[Verbruik Coffee Latte deze maand]]+Tabel24256789101112[[#This Row],[Verbruik Latte Macchiato deze maand]]+Tabel24256789101112[[#This Row],[Verbruik Espresso deze maand]]+Tabel24256789101112[[#This Row],[Verbruik Coffee deze maand]]</f>
        <v>1748</v>
      </c>
      <c r="AD54" s="26"/>
      <c r="AE54" s="26"/>
      <c r="AF54" s="5"/>
      <c r="AG54" s="7"/>
      <c r="AH54" s="26"/>
      <c r="AI54" s="26"/>
      <c r="AJ54" s="5"/>
      <c r="AK54" s="7"/>
      <c r="AL54" s="26"/>
      <c r="AM54" s="26"/>
      <c r="AN54" s="5"/>
      <c r="AO54" s="7"/>
      <c r="AP54" s="26"/>
      <c r="AQ54" s="26"/>
      <c r="AR54" s="5"/>
      <c r="AS54" s="7"/>
      <c r="AT54" s="26"/>
      <c r="AU54" s="26"/>
      <c r="AV54" s="5"/>
      <c r="AW54" s="21"/>
      <c r="AX54" s="8"/>
      <c r="AY54" s="4">
        <f>Tabel24256789101112[[#This Row],[Subtotaal waterbar in consumpties]]+Tabel24256789101112[[#This Row],[Subtotaal koffieautomaten]]</f>
        <v>1748</v>
      </c>
    </row>
    <row r="55" spans="1:51" x14ac:dyDescent="0.25">
      <c r="A55" t="s">
        <v>50</v>
      </c>
      <c r="B55" t="s">
        <v>103</v>
      </c>
      <c r="C55" t="s">
        <v>47</v>
      </c>
      <c r="E55" s="11">
        <v>4464</v>
      </c>
      <c r="F55" s="11">
        <v>4023</v>
      </c>
      <c r="G55" s="12">
        <f>Tabel24256789101112[[#This Row],[Stand Coffee einde maand]]-Tabel24256789101112[[#This Row],[Coffee vorige maand]]</f>
        <v>441</v>
      </c>
      <c r="H55" s="11">
        <v>1913</v>
      </c>
      <c r="I55" s="11">
        <v>1774</v>
      </c>
      <c r="J55" s="12">
        <f>Tabel24256789101112[[#This Row],[Stand Espresso Einde maand]]-Tabel24256789101112[[#This Row],[Espresso vorige maand]]</f>
        <v>139</v>
      </c>
      <c r="K55" s="11">
        <v>191</v>
      </c>
      <c r="L55" s="11">
        <v>181</v>
      </c>
      <c r="M55">
        <f>Tabel24256789101112[[#This Row],[Stand Latte Macchiato einde maand]]-Tabel24256789101112[[#This Row],[Latte Macchiato vorige maand]]</f>
        <v>10</v>
      </c>
      <c r="N55" s="11">
        <v>78</v>
      </c>
      <c r="O55" s="11">
        <v>66</v>
      </c>
      <c r="P55">
        <f>Tabel24256789101112[[#This Row],[Stand Coffee Latte einde maand]]-Tabel24256789101112[[#This Row],[Coffee Latte vorige maand]]</f>
        <v>12</v>
      </c>
      <c r="Q55" s="11">
        <v>1</v>
      </c>
      <c r="R55" s="11">
        <v>1</v>
      </c>
      <c r="S55">
        <f>Tabel24256789101112[[#This Row],[Stand Hot Water einde maand]]-Tabel24256789101112[[#This Row],[Hot Water vorige maand]]</f>
        <v>0</v>
      </c>
      <c r="T55" s="11">
        <v>4275</v>
      </c>
      <c r="U55" s="11">
        <v>3898</v>
      </c>
      <c r="V55">
        <f>Tabel24256789101112[[#This Row],[Stand Cappucino einde maand]]-Tabel24256789101112[[#This Row],[Stand Cappucino vorige maand]]</f>
        <v>377</v>
      </c>
      <c r="W55" s="11">
        <v>375</v>
      </c>
      <c r="X55" s="11">
        <v>322</v>
      </c>
      <c r="Y55">
        <f>Tabel24256789101112[[#This Row],[Stand Cappucino Plantaardig einde maand]]-Tabel24256789101112[[#This Row],[Stand Cappucino Plantaardig vorige maand]]</f>
        <v>53</v>
      </c>
      <c r="Z55" s="11">
        <v>99</v>
      </c>
      <c r="AA55" s="11">
        <v>90</v>
      </c>
      <c r="AB55" s="12">
        <f>Tabel24256789101112[[#This Row],[Stand Latte Macchiato Plantaardig einde maand]]-Tabel24256789101112[[#This Row],[Stand Latte Macchiato Plantaardig vorige maand]]</f>
        <v>9</v>
      </c>
      <c r="AC55" s="3">
        <f>Tabel24256789101112[[#This Row],[Verbruik Stand Latte Macchiato Plantaardig deze maand]]+Tabel24256789101112[[#This Row],[Verbruik  Cappucino Plantaardig deze maand]]+Tabel24256789101112[[#This Row],[Verbruik Cappucino deze maand]]+Tabel24256789101112[[#This Row],[Verbruik Hot Water deze maand]]+Tabel24256789101112[[#This Row],[Verbruik Coffee Latte deze maand]]+Tabel24256789101112[[#This Row],[Verbruik Latte Macchiato deze maand]]+Tabel24256789101112[[#This Row],[Verbruik Espresso deze maand]]+Tabel24256789101112[[#This Row],[Verbruik Coffee deze maand]]</f>
        <v>1041</v>
      </c>
      <c r="AD55" s="11">
        <v>154.5</v>
      </c>
      <c r="AE55" s="11">
        <v>144.19999999999999</v>
      </c>
      <c r="AF55">
        <f>Tabel24256789101112[[#This Row],[Stand Kamertemp liter einde maand]]-Tabel24256789101112[[#This Row],[Stand Kamertemp liter vorige maand]]</f>
        <v>10.300000000000011</v>
      </c>
      <c r="AG55" s="2">
        <f>Tabel24256789101112[[#This Row],[Verbruik Kamertemp liter deze maand]]/0.15</f>
        <v>68.666666666666742</v>
      </c>
      <c r="AH55" s="11">
        <v>537.70000000000005</v>
      </c>
      <c r="AI55" s="11">
        <v>491.3</v>
      </c>
      <c r="AJ55">
        <f>Tabel24256789101112[[#This Row],[Stand Gekoeld liter einde maand]]-Tabel24256789101112[[#This Row],[Stand Gekoeld liter vorige maand]]</f>
        <v>46.400000000000034</v>
      </c>
      <c r="AK55" s="2">
        <f>Tabel24256789101112[[#This Row],[Verbruik Gekoeld liter deze maand]]/0.15</f>
        <v>309.3333333333336</v>
      </c>
      <c r="AL55" s="11">
        <v>1074</v>
      </c>
      <c r="AM55" s="11">
        <v>967.7</v>
      </c>
      <c r="AN55">
        <f>Tabel24256789101112[[#This Row],[Stand Bruisend liter einde maand]]-Tabel24256789101112[[#This Row],[Stand Bruisend liter vorige maand]]</f>
        <v>106.29999999999995</v>
      </c>
      <c r="AO55" s="2">
        <f>Tabel24256789101112[[#This Row],[Verbruik Bruisend liter deze maand]]/0.15</f>
        <v>708.6666666666664</v>
      </c>
      <c r="AP55" s="11">
        <v>363.1</v>
      </c>
      <c r="AQ55" s="11">
        <v>330.8</v>
      </c>
      <c r="AR55">
        <f>Tabel24256789101112[[#This Row],[Stand licht bruisend liter einde maand]]-Tabel24256789101112[[#This Row],[Stand licht bruisend liter vorige maand]]</f>
        <v>32.300000000000011</v>
      </c>
      <c r="AS55" s="2">
        <f>Tabel24256789101112[[#This Row],[Verbruik licht bruisend liter deze maand]]/0.15</f>
        <v>215.33333333333343</v>
      </c>
      <c r="AT55" s="11">
        <v>2723.9</v>
      </c>
      <c r="AU55" s="11">
        <v>2405.1</v>
      </c>
      <c r="AV55">
        <f>Tabel24256789101112[[#This Row],[Stand heet water liter einde maand]]-Tabel24256789101112[[#This Row],[Stand heet water liter vorige maand]]</f>
        <v>318.80000000000018</v>
      </c>
      <c r="AW55" s="20">
        <f>Tabel24256789101112[[#This Row],[Verbruik heet Water liter deze maand ]]/0.15</f>
        <v>2125.3333333333348</v>
      </c>
      <c r="AX55" s="4">
        <f>Tabel24256789101112[[#This Row],[Aantal consumpties heet water deze maand]]+Tabel24256789101112[[#This Row],[Aantal consumpties licht bruisend water deze maand]]+Tabel24256789101112[[#This Row],[aantal consumpties Bruisend water deze maand]]+Tabel24256789101112[[#This Row],[Aantal consumpties gekoeld water deze maand]]+Tabel24256789101112[[#This Row],[Aantal consumpties Kamertemp deze maand]]</f>
        <v>3427.3333333333348</v>
      </c>
      <c r="AY55" s="4">
        <f>Tabel24256789101112[[#This Row],[Subtotaal waterbar in consumpties]]+Tabel24256789101112[[#This Row],[Subtotaal koffieautomaten]]</f>
        <v>4468.3333333333348</v>
      </c>
    </row>
    <row r="56" spans="1:51" x14ac:dyDescent="0.25">
      <c r="A56" t="s">
        <v>52</v>
      </c>
      <c r="B56" t="s">
        <v>104</v>
      </c>
      <c r="C56" t="s">
        <v>36</v>
      </c>
      <c r="E56" s="42"/>
      <c r="F56" s="42"/>
      <c r="G56" s="43"/>
      <c r="H56" s="42"/>
      <c r="I56" s="42"/>
      <c r="J56" s="43"/>
      <c r="K56" s="42"/>
      <c r="L56" s="42"/>
      <c r="M56" s="43"/>
      <c r="N56" s="42"/>
      <c r="O56" s="42"/>
      <c r="P56" s="43"/>
      <c r="Q56" s="42"/>
      <c r="R56" s="42"/>
      <c r="S56" s="43"/>
      <c r="T56" s="42"/>
      <c r="U56" s="42"/>
      <c r="V56" s="43"/>
      <c r="W56" s="42"/>
      <c r="X56" s="42"/>
      <c r="Y56" s="43"/>
      <c r="Z56" s="42"/>
      <c r="AA56" s="42"/>
      <c r="AB56" s="43"/>
      <c r="AC56" s="43"/>
      <c r="AD56" s="11">
        <v>69</v>
      </c>
      <c r="AE56" s="11">
        <v>64.7</v>
      </c>
      <c r="AF56">
        <f>Tabel24256789101112[[#This Row],[Stand Kamertemp liter einde maand]]-Tabel24256789101112[[#This Row],[Stand Kamertemp liter vorige maand]]</f>
        <v>4.2999999999999972</v>
      </c>
      <c r="AG56" s="2">
        <f>Tabel24256789101112[[#This Row],[Verbruik Kamertemp liter deze maand]]/0.15</f>
        <v>28.66666666666665</v>
      </c>
      <c r="AH56" s="11">
        <v>578.29999999999995</v>
      </c>
      <c r="AI56" s="11">
        <v>537.29999999999995</v>
      </c>
      <c r="AJ56">
        <f>Tabel24256789101112[[#This Row],[Stand Gekoeld liter einde maand]]-Tabel24256789101112[[#This Row],[Stand Gekoeld liter vorige maand]]</f>
        <v>41</v>
      </c>
      <c r="AK56" s="2">
        <f>Tabel24256789101112[[#This Row],[Verbruik Gekoeld liter deze maand]]/0.15</f>
        <v>273.33333333333337</v>
      </c>
      <c r="AL56" s="11">
        <v>660.4</v>
      </c>
      <c r="AM56" s="11">
        <v>619.4</v>
      </c>
      <c r="AN56">
        <f>Tabel24256789101112[[#This Row],[Stand Bruisend liter einde maand]]-Tabel24256789101112[[#This Row],[Stand Bruisend liter vorige maand]]</f>
        <v>41</v>
      </c>
      <c r="AO56" s="2">
        <f>Tabel24256789101112[[#This Row],[Verbruik Bruisend liter deze maand]]/0.15</f>
        <v>273.33333333333337</v>
      </c>
      <c r="AP56" s="11">
        <v>611.4</v>
      </c>
      <c r="AQ56" s="11">
        <v>575.20000000000005</v>
      </c>
      <c r="AR56">
        <f>Tabel24256789101112[[#This Row],[Stand licht bruisend liter einde maand]]-Tabel24256789101112[[#This Row],[Stand licht bruisend liter vorige maand]]</f>
        <v>36.199999999999932</v>
      </c>
      <c r="AS56" s="2">
        <f>Tabel24256789101112[[#This Row],[Verbruik licht bruisend liter deze maand]]/0.15</f>
        <v>241.33333333333289</v>
      </c>
      <c r="AT56" s="11">
        <v>3253.1</v>
      </c>
      <c r="AU56" s="11">
        <v>2977</v>
      </c>
      <c r="AV56">
        <f>Tabel24256789101112[[#This Row],[Stand heet water liter einde maand]]-Tabel24256789101112[[#This Row],[Stand heet water liter vorige maand]]</f>
        <v>276.09999999999991</v>
      </c>
      <c r="AW56" s="20">
        <f>Tabel24256789101112[[#This Row],[Verbruik heet Water liter deze maand ]]/0.15</f>
        <v>1840.6666666666661</v>
      </c>
      <c r="AX56" s="4">
        <f>Tabel24256789101112[[#This Row],[Aantal consumpties heet water deze maand]]+Tabel24256789101112[[#This Row],[Aantal consumpties licht bruisend water deze maand]]+Tabel24256789101112[[#This Row],[aantal consumpties Bruisend water deze maand]]+Tabel24256789101112[[#This Row],[Aantal consumpties gekoeld water deze maand]]+Tabel24256789101112[[#This Row],[Aantal consumpties Kamertemp deze maand]]</f>
        <v>2657.3333333333326</v>
      </c>
      <c r="AY56" s="4">
        <f>Tabel24256789101112[[#This Row],[Subtotaal waterbar in consumpties]]+Tabel24256789101112[[#This Row],[Subtotaal koffieautomaten]]</f>
        <v>2657.3333333333326</v>
      </c>
    </row>
    <row r="57" spans="1:51" x14ac:dyDescent="0.25">
      <c r="A57" t="s">
        <v>54</v>
      </c>
      <c r="B57" t="s">
        <v>105</v>
      </c>
      <c r="C57" t="s">
        <v>31</v>
      </c>
      <c r="E57" s="11">
        <v>3395</v>
      </c>
      <c r="F57" s="11">
        <v>3031</v>
      </c>
      <c r="G57" s="12">
        <f>Tabel24256789101112[[#This Row],[Stand Coffee einde maand]]-Tabel24256789101112[[#This Row],[Coffee vorige maand]]</f>
        <v>364</v>
      </c>
      <c r="H57" s="11">
        <v>1790</v>
      </c>
      <c r="I57" s="11">
        <v>1653</v>
      </c>
      <c r="J57" s="12">
        <f>Tabel24256789101112[[#This Row],[Stand Espresso Einde maand]]-Tabel24256789101112[[#This Row],[Espresso vorige maand]]</f>
        <v>137</v>
      </c>
      <c r="K57" s="11">
        <v>1244</v>
      </c>
      <c r="L57" s="11">
        <v>1135</v>
      </c>
      <c r="M57">
        <f>Tabel24256789101112[[#This Row],[Stand Latte Macchiato einde maand]]-Tabel24256789101112[[#This Row],[Latte Macchiato vorige maand]]</f>
        <v>109</v>
      </c>
      <c r="N57" s="11">
        <v>120</v>
      </c>
      <c r="O57" s="11">
        <v>112</v>
      </c>
      <c r="P57">
        <f>Tabel24256789101112[[#This Row],[Stand Coffee Latte einde maand]]-Tabel24256789101112[[#This Row],[Coffee Latte vorige maand]]</f>
        <v>8</v>
      </c>
      <c r="Q57" s="11">
        <v>11922</v>
      </c>
      <c r="R57" s="11">
        <v>10757</v>
      </c>
      <c r="S57">
        <f>Tabel24256789101112[[#This Row],[Stand Hot Water einde maand]]-Tabel24256789101112[[#This Row],[Hot Water vorige maand]]</f>
        <v>1165</v>
      </c>
      <c r="T57" s="11">
        <v>2821</v>
      </c>
      <c r="U57" s="11">
        <v>2589</v>
      </c>
      <c r="V57">
        <f>Tabel24256789101112[[#This Row],[Stand Cappucino einde maand]]-Tabel24256789101112[[#This Row],[Stand Cappucino vorige maand]]</f>
        <v>232</v>
      </c>
      <c r="W57" s="11">
        <v>581</v>
      </c>
      <c r="X57" s="11">
        <v>537</v>
      </c>
      <c r="Y57">
        <f>Tabel24256789101112[[#This Row],[Stand Cappucino Plantaardig einde maand]]-Tabel24256789101112[[#This Row],[Stand Cappucino Plantaardig vorige maand]]</f>
        <v>44</v>
      </c>
      <c r="Z57" s="11">
        <v>9</v>
      </c>
      <c r="AA57" s="11">
        <v>56</v>
      </c>
      <c r="AB57" s="12">
        <f>Tabel24256789101112[[#This Row],[Stand Latte Macchiato Plantaardig einde maand]]-Tabel24256789101112[[#This Row],[Stand Latte Macchiato Plantaardig vorige maand]]</f>
        <v>-47</v>
      </c>
      <c r="AC57" s="3">
        <f>Tabel24256789101112[[#This Row],[Verbruik Stand Latte Macchiato Plantaardig deze maand]]+Tabel24256789101112[[#This Row],[Verbruik  Cappucino Plantaardig deze maand]]+Tabel24256789101112[[#This Row],[Verbruik Cappucino deze maand]]+Tabel24256789101112[[#This Row],[Verbruik Hot Water deze maand]]+Tabel24256789101112[[#This Row],[Verbruik Coffee Latte deze maand]]+Tabel24256789101112[[#This Row],[Verbruik Latte Macchiato deze maand]]+Tabel24256789101112[[#This Row],[Verbruik Espresso deze maand]]+Tabel24256789101112[[#This Row],[Verbruik Coffee deze maand]]</f>
        <v>2012</v>
      </c>
      <c r="AD57" s="26"/>
      <c r="AE57" s="26"/>
      <c r="AF57" s="5"/>
      <c r="AG57" s="7"/>
      <c r="AH57" s="26"/>
      <c r="AI57" s="26"/>
      <c r="AJ57" s="5"/>
      <c r="AK57" s="7"/>
      <c r="AL57" s="26"/>
      <c r="AM57" s="26"/>
      <c r="AN57" s="5"/>
      <c r="AO57" s="7"/>
      <c r="AP57" s="26"/>
      <c r="AQ57" s="26"/>
      <c r="AR57" s="5"/>
      <c r="AS57" s="7"/>
      <c r="AT57" s="26"/>
      <c r="AU57" s="26"/>
      <c r="AV57" s="5"/>
      <c r="AW57" s="21"/>
      <c r="AX57" s="8"/>
      <c r="AY57" s="4">
        <f>Tabel24256789101112[[#This Row],[Subtotaal waterbar in consumpties]]+Tabel24256789101112[[#This Row],[Subtotaal koffieautomaten]]</f>
        <v>2012</v>
      </c>
    </row>
    <row r="58" spans="1:51" x14ac:dyDescent="0.25">
      <c r="A58" t="s">
        <v>56</v>
      </c>
      <c r="B58" t="s">
        <v>106</v>
      </c>
      <c r="C58" t="s">
        <v>47</v>
      </c>
      <c r="E58" s="11">
        <v>4757</v>
      </c>
      <c r="F58" s="11">
        <v>4355</v>
      </c>
      <c r="G58" s="12">
        <f>Tabel24256789101112[[#This Row],[Stand Coffee einde maand]]-Tabel24256789101112[[#This Row],[Coffee vorige maand]]</f>
        <v>402</v>
      </c>
      <c r="H58" s="11">
        <v>1340</v>
      </c>
      <c r="I58" s="11">
        <v>1205</v>
      </c>
      <c r="J58" s="12">
        <f>Tabel24256789101112[[#This Row],[Stand Espresso Einde maand]]-Tabel24256789101112[[#This Row],[Espresso vorige maand]]</f>
        <v>135</v>
      </c>
      <c r="K58" s="11">
        <v>1531</v>
      </c>
      <c r="L58" s="11">
        <v>1358</v>
      </c>
      <c r="M58">
        <f>Tabel24256789101112[[#This Row],[Stand Latte Macchiato einde maand]]-Tabel24256789101112[[#This Row],[Latte Macchiato vorige maand]]</f>
        <v>173</v>
      </c>
      <c r="N58" s="11">
        <v>117</v>
      </c>
      <c r="O58" s="11">
        <v>111</v>
      </c>
      <c r="P58">
        <f>Tabel24256789101112[[#This Row],[Stand Coffee Latte einde maand]]-Tabel24256789101112[[#This Row],[Coffee Latte vorige maand]]</f>
        <v>6</v>
      </c>
      <c r="Q58" s="11">
        <v>1</v>
      </c>
      <c r="R58" s="11">
        <v>1</v>
      </c>
      <c r="S58">
        <f>Tabel24256789101112[[#This Row],[Stand Hot Water einde maand]]-Tabel24256789101112[[#This Row],[Hot Water vorige maand]]</f>
        <v>0</v>
      </c>
      <c r="T58" s="11">
        <v>2643</v>
      </c>
      <c r="U58" s="11">
        <v>2396</v>
      </c>
      <c r="V58">
        <f>Tabel24256789101112[[#This Row],[Stand Cappucino einde maand]]-Tabel24256789101112[[#This Row],[Stand Cappucino vorige maand]]</f>
        <v>247</v>
      </c>
      <c r="W58" s="11">
        <v>691</v>
      </c>
      <c r="X58" s="11">
        <v>656</v>
      </c>
      <c r="Y58">
        <f>Tabel24256789101112[[#This Row],[Stand Cappucino Plantaardig einde maand]]-Tabel24256789101112[[#This Row],[Stand Cappucino Plantaardig vorige maand]]</f>
        <v>35</v>
      </c>
      <c r="Z58" s="11">
        <v>93</v>
      </c>
      <c r="AA58" s="11">
        <v>88</v>
      </c>
      <c r="AB58" s="12">
        <f>Tabel24256789101112[[#This Row],[Stand Latte Macchiato Plantaardig einde maand]]-Tabel24256789101112[[#This Row],[Stand Latte Macchiato Plantaardig vorige maand]]</f>
        <v>5</v>
      </c>
      <c r="AC58" s="3">
        <f>Tabel24256789101112[[#This Row],[Verbruik Stand Latte Macchiato Plantaardig deze maand]]+Tabel24256789101112[[#This Row],[Verbruik  Cappucino Plantaardig deze maand]]+Tabel24256789101112[[#This Row],[Verbruik Cappucino deze maand]]+Tabel24256789101112[[#This Row],[Verbruik Hot Water deze maand]]+Tabel24256789101112[[#This Row],[Verbruik Coffee Latte deze maand]]+Tabel24256789101112[[#This Row],[Verbruik Latte Macchiato deze maand]]+Tabel24256789101112[[#This Row],[Verbruik Espresso deze maand]]+Tabel24256789101112[[#This Row],[Verbruik Coffee deze maand]]</f>
        <v>1003</v>
      </c>
      <c r="AD58" s="11">
        <v>117</v>
      </c>
      <c r="AE58" s="11">
        <v>97.3</v>
      </c>
      <c r="AF58">
        <f>Tabel24256789101112[[#This Row],[Stand Kamertemp liter einde maand]]-Tabel24256789101112[[#This Row],[Stand Kamertemp liter vorige maand]]</f>
        <v>19.700000000000003</v>
      </c>
      <c r="AG58" s="2">
        <f>Tabel24256789101112[[#This Row],[Verbruik Kamertemp liter deze maand]]/0.15</f>
        <v>131.33333333333337</v>
      </c>
      <c r="AH58" s="11">
        <v>965.7</v>
      </c>
      <c r="AI58" s="11">
        <v>863.7</v>
      </c>
      <c r="AJ58">
        <f>Tabel24256789101112[[#This Row],[Stand Gekoeld liter einde maand]]-Tabel24256789101112[[#This Row],[Stand Gekoeld liter vorige maand]]</f>
        <v>102</v>
      </c>
      <c r="AK58" s="2">
        <f>Tabel24256789101112[[#This Row],[Verbruik Gekoeld liter deze maand]]/0.15</f>
        <v>680</v>
      </c>
      <c r="AL58" s="11">
        <v>845.1</v>
      </c>
      <c r="AM58" s="11">
        <v>781.8</v>
      </c>
      <c r="AN58">
        <f>Tabel24256789101112[[#This Row],[Stand Bruisend liter einde maand]]-Tabel24256789101112[[#This Row],[Stand Bruisend liter vorige maand]]</f>
        <v>63.300000000000068</v>
      </c>
      <c r="AO58" s="2">
        <f>Tabel24256789101112[[#This Row],[Verbruik Bruisend liter deze maand]]/0.15</f>
        <v>422.00000000000045</v>
      </c>
      <c r="AP58" s="11">
        <v>481.6</v>
      </c>
      <c r="AQ58" s="11">
        <v>431.6</v>
      </c>
      <c r="AR58">
        <f>Tabel24256789101112[[#This Row],[Stand licht bruisend liter einde maand]]-Tabel24256789101112[[#This Row],[Stand licht bruisend liter vorige maand]]</f>
        <v>50</v>
      </c>
      <c r="AS58" s="2">
        <f>Tabel24256789101112[[#This Row],[Verbruik licht bruisend liter deze maand]]/0.15</f>
        <v>333.33333333333337</v>
      </c>
      <c r="AT58" s="11">
        <v>3433.8</v>
      </c>
      <c r="AU58" s="11">
        <v>3041.6</v>
      </c>
      <c r="AV58">
        <f>Tabel24256789101112[[#This Row],[Stand heet water liter einde maand]]-Tabel24256789101112[[#This Row],[Stand heet water liter vorige maand]]</f>
        <v>392.20000000000027</v>
      </c>
      <c r="AW58" s="20">
        <f>Tabel24256789101112[[#This Row],[Verbruik heet Water liter deze maand ]]/0.15</f>
        <v>2614.6666666666688</v>
      </c>
      <c r="AX58" s="4">
        <f>Tabel24256789101112[[#This Row],[Aantal consumpties heet water deze maand]]+Tabel24256789101112[[#This Row],[Aantal consumpties licht bruisend water deze maand]]+Tabel24256789101112[[#This Row],[aantal consumpties Bruisend water deze maand]]+Tabel24256789101112[[#This Row],[Aantal consumpties gekoeld water deze maand]]+Tabel24256789101112[[#This Row],[Aantal consumpties Kamertemp deze maand]]</f>
        <v>4181.3333333333358</v>
      </c>
      <c r="AY58" s="4">
        <f>Tabel24256789101112[[#This Row],[Subtotaal waterbar in consumpties]]+Tabel24256789101112[[#This Row],[Subtotaal koffieautomaten]]</f>
        <v>5184.3333333333358</v>
      </c>
    </row>
    <row r="59" spans="1:51" x14ac:dyDescent="0.25">
      <c r="A59" t="s">
        <v>58</v>
      </c>
      <c r="B59" t="s">
        <v>107</v>
      </c>
      <c r="C59" t="s">
        <v>31</v>
      </c>
      <c r="E59" s="11">
        <v>3592</v>
      </c>
      <c r="F59" s="11">
        <v>3111</v>
      </c>
      <c r="G59" s="12">
        <f>Tabel24256789101112[[#This Row],[Stand Coffee einde maand]]-Tabel24256789101112[[#This Row],[Coffee vorige maand]]</f>
        <v>481</v>
      </c>
      <c r="H59" s="11">
        <v>836</v>
      </c>
      <c r="I59" s="11">
        <v>736</v>
      </c>
      <c r="J59" s="12">
        <f>Tabel24256789101112[[#This Row],[Stand Espresso Einde maand]]-Tabel24256789101112[[#This Row],[Espresso vorige maand]]</f>
        <v>100</v>
      </c>
      <c r="K59" s="11">
        <v>450</v>
      </c>
      <c r="L59" s="11">
        <v>328</v>
      </c>
      <c r="M59">
        <f>Tabel24256789101112[[#This Row],[Stand Latte Macchiato einde maand]]-Tabel24256789101112[[#This Row],[Latte Macchiato vorige maand]]</f>
        <v>122</v>
      </c>
      <c r="N59" s="11">
        <v>130</v>
      </c>
      <c r="O59" s="11">
        <f>130-11</f>
        <v>119</v>
      </c>
      <c r="P59">
        <f>Tabel24256789101112[[#This Row],[Stand Coffee Latte einde maand]]-Tabel24256789101112[[#This Row],[Coffee Latte vorige maand]]</f>
        <v>11</v>
      </c>
      <c r="Q59" s="11">
        <v>7991</v>
      </c>
      <c r="R59" s="11">
        <v>7138</v>
      </c>
      <c r="S59">
        <f>Tabel24256789101112[[#This Row],[Stand Hot Water einde maand]]-Tabel24256789101112[[#This Row],[Hot Water vorige maand]]</f>
        <v>853</v>
      </c>
      <c r="T59" s="11">
        <v>1190</v>
      </c>
      <c r="U59" s="11">
        <v>1037</v>
      </c>
      <c r="V59">
        <f>Tabel24256789101112[[#This Row],[Stand Cappucino einde maand]]-Tabel24256789101112[[#This Row],[Stand Cappucino vorige maand]]</f>
        <v>153</v>
      </c>
      <c r="W59" s="11">
        <v>804</v>
      </c>
      <c r="X59" s="11">
        <v>726</v>
      </c>
      <c r="Y59">
        <f>Tabel24256789101112[[#This Row],[Stand Cappucino Plantaardig einde maand]]-Tabel24256789101112[[#This Row],[Stand Cappucino Plantaardig vorige maand]]</f>
        <v>78</v>
      </c>
      <c r="Z59" s="11">
        <v>331</v>
      </c>
      <c r="AA59" s="11">
        <v>310</v>
      </c>
      <c r="AB59" s="12">
        <f>Tabel24256789101112[[#This Row],[Stand Latte Macchiato Plantaardig einde maand]]-Tabel24256789101112[[#This Row],[Stand Latte Macchiato Plantaardig vorige maand]]</f>
        <v>21</v>
      </c>
      <c r="AC59" s="3">
        <f>Tabel24256789101112[[#This Row],[Verbruik Stand Latte Macchiato Plantaardig deze maand]]+Tabel24256789101112[[#This Row],[Verbruik  Cappucino Plantaardig deze maand]]+Tabel24256789101112[[#This Row],[Verbruik Cappucino deze maand]]+Tabel24256789101112[[#This Row],[Verbruik Hot Water deze maand]]+Tabel24256789101112[[#This Row],[Verbruik Coffee Latte deze maand]]+Tabel24256789101112[[#This Row],[Verbruik Latte Macchiato deze maand]]+Tabel24256789101112[[#This Row],[Verbruik Espresso deze maand]]+Tabel24256789101112[[#This Row],[Verbruik Coffee deze maand]]</f>
        <v>1819</v>
      </c>
      <c r="AD59" s="26"/>
      <c r="AE59" s="26" t="s">
        <v>159</v>
      </c>
      <c r="AF59" s="5"/>
      <c r="AG59" s="7"/>
      <c r="AH59" s="26"/>
      <c r="AI59" s="26"/>
      <c r="AJ59" s="5"/>
      <c r="AK59" s="7"/>
      <c r="AL59" s="26"/>
      <c r="AM59" s="26"/>
      <c r="AN59" s="5"/>
      <c r="AO59" s="7"/>
      <c r="AP59" s="26"/>
      <c r="AQ59" s="26"/>
      <c r="AR59" s="5"/>
      <c r="AS59" s="7"/>
      <c r="AT59" s="26"/>
      <c r="AU59" s="26"/>
      <c r="AV59" s="5"/>
      <c r="AW59" s="21"/>
      <c r="AX59" s="8"/>
      <c r="AY59" s="4">
        <f>Tabel24256789101112[[#This Row],[Subtotaal waterbar in consumpties]]+Tabel24256789101112[[#This Row],[Subtotaal koffieautomaten]]</f>
        <v>1819</v>
      </c>
    </row>
    <row r="60" spans="1:51" x14ac:dyDescent="0.25">
      <c r="A60" t="s">
        <v>60</v>
      </c>
      <c r="B60" t="s">
        <v>108</v>
      </c>
      <c r="C60" t="s">
        <v>36</v>
      </c>
      <c r="E60" s="42"/>
      <c r="F60" s="42"/>
      <c r="G60" s="43"/>
      <c r="H60" s="42"/>
      <c r="I60" s="42"/>
      <c r="J60" s="43"/>
      <c r="K60" s="42"/>
      <c r="L60" s="42"/>
      <c r="M60" s="43"/>
      <c r="N60" s="42"/>
      <c r="O60" s="42"/>
      <c r="P60" s="43"/>
      <c r="Q60" s="42"/>
      <c r="R60" s="42"/>
      <c r="S60" s="43"/>
      <c r="T60" s="42"/>
      <c r="U60" s="42"/>
      <c r="V60" s="43"/>
      <c r="W60" s="42"/>
      <c r="X60" s="42"/>
      <c r="Y60" s="43"/>
      <c r="Z60" s="42"/>
      <c r="AA60" s="42"/>
      <c r="AB60" s="43"/>
      <c r="AC60" s="43"/>
      <c r="AD60" s="11">
        <v>129</v>
      </c>
      <c r="AE60" s="11">
        <v>122.2</v>
      </c>
      <c r="AF60">
        <f>Tabel24256789101112[[#This Row],[Stand Kamertemp liter einde maand]]-Tabel24256789101112[[#This Row],[Stand Kamertemp liter vorige maand]]</f>
        <v>6.7999999999999972</v>
      </c>
      <c r="AG60" s="2">
        <f>Tabel24256789101112[[#This Row],[Verbruik Kamertemp liter deze maand]]/0.15</f>
        <v>45.333333333333314</v>
      </c>
      <c r="AH60" s="11">
        <v>550.29999999999995</v>
      </c>
      <c r="AI60" s="11">
        <v>521.79999999999995</v>
      </c>
      <c r="AJ60">
        <f>Tabel24256789101112[[#This Row],[Stand Gekoeld liter einde maand]]-Tabel24256789101112[[#This Row],[Stand Gekoeld liter vorige maand]]</f>
        <v>28.5</v>
      </c>
      <c r="AK60" s="2">
        <f>Tabel24256789101112[[#This Row],[Verbruik Gekoeld liter deze maand]]/0.15</f>
        <v>190</v>
      </c>
      <c r="AL60" s="11">
        <v>397</v>
      </c>
      <c r="AM60" s="11">
        <v>371.6</v>
      </c>
      <c r="AN60">
        <f>Tabel24256789101112[[#This Row],[Stand Bruisend liter einde maand]]-Tabel24256789101112[[#This Row],[Stand Bruisend liter vorige maand]]</f>
        <v>25.399999999999977</v>
      </c>
      <c r="AO60" s="2">
        <f>Tabel24256789101112[[#This Row],[Verbruik Bruisend liter deze maand]]/0.15</f>
        <v>169.3333333333332</v>
      </c>
      <c r="AP60" s="11">
        <v>460.4</v>
      </c>
      <c r="AQ60" s="11">
        <v>418.3</v>
      </c>
      <c r="AR60">
        <f>Tabel24256789101112[[#This Row],[Stand licht bruisend liter einde maand]]-Tabel24256789101112[[#This Row],[Stand licht bruisend liter vorige maand]]</f>
        <v>42.099999999999966</v>
      </c>
      <c r="AS60" s="2">
        <f>Tabel24256789101112[[#This Row],[Verbruik licht bruisend liter deze maand]]/0.15</f>
        <v>280.66666666666646</v>
      </c>
      <c r="AT60" s="11">
        <v>1497.1</v>
      </c>
      <c r="AU60" s="11">
        <v>1358.1</v>
      </c>
      <c r="AV60">
        <f>Tabel24256789101112[[#This Row],[Stand heet water liter einde maand]]-Tabel24256789101112[[#This Row],[Stand heet water liter vorige maand]]</f>
        <v>139</v>
      </c>
      <c r="AW60" s="20">
        <f>Tabel24256789101112[[#This Row],[Verbruik heet Water liter deze maand ]]/0.15</f>
        <v>926.66666666666674</v>
      </c>
      <c r="AX60" s="4">
        <f>Tabel24256789101112[[#This Row],[Aantal consumpties heet water deze maand]]+Tabel24256789101112[[#This Row],[Aantal consumpties licht bruisend water deze maand]]+Tabel24256789101112[[#This Row],[aantal consumpties Bruisend water deze maand]]+Tabel24256789101112[[#This Row],[Aantal consumpties gekoeld water deze maand]]+Tabel24256789101112[[#This Row],[Aantal consumpties Kamertemp deze maand]]</f>
        <v>1611.9999999999998</v>
      </c>
      <c r="AY60" s="4">
        <f>Tabel24256789101112[[#This Row],[Subtotaal waterbar in consumpties]]+Tabel24256789101112[[#This Row],[Subtotaal koffieautomaten]]</f>
        <v>1611.9999999999998</v>
      </c>
    </row>
    <row r="61" spans="1:51" x14ac:dyDescent="0.25">
      <c r="A61" s="3" t="s">
        <v>109</v>
      </c>
      <c r="F61" s="11"/>
      <c r="H61" s="11"/>
      <c r="I61" s="11"/>
      <c r="J61" s="12"/>
      <c r="K61" s="11"/>
      <c r="L61" s="11"/>
      <c r="O61" s="11"/>
      <c r="R61" s="11"/>
      <c r="U61" s="11"/>
      <c r="X61" s="11"/>
      <c r="AA61" s="11"/>
      <c r="AC61" s="3">
        <f>Tabel24256789101112[[#This Row],[Verbruik Stand Latte Macchiato Plantaardig deze maand]]+Tabel24256789101112[[#This Row],[Verbruik  Cappucino Plantaardig deze maand]]+Tabel24256789101112[[#This Row],[Verbruik Cappucino deze maand]]+Tabel24256789101112[[#This Row],[Verbruik Hot Water deze maand]]+Tabel24256789101112[[#This Row],[Verbruik Coffee Latte deze maand]]+Tabel24256789101112[[#This Row],[Verbruik Latte Macchiato deze maand]]+Tabel24256789101112[[#This Row],[Verbruik Espresso deze maand]]+Tabel24256789101112[[#This Row],[Verbruik Coffee deze maand]]</f>
        <v>0</v>
      </c>
      <c r="AD61" s="25"/>
      <c r="AE61" s="25"/>
      <c r="AG61" s="2"/>
      <c r="AH61" s="25"/>
      <c r="AI61" s="25"/>
      <c r="AK61" s="2"/>
      <c r="AL61" s="25"/>
      <c r="AM61" s="25"/>
      <c r="AO61" s="2"/>
      <c r="AP61" s="25"/>
      <c r="AQ61" s="25"/>
      <c r="AS61" s="2"/>
      <c r="AT61" s="25"/>
      <c r="AU61" s="25"/>
      <c r="AW61" s="20"/>
      <c r="AX61" s="4"/>
      <c r="AY61" s="4">
        <f>Tabel24256789101112[[#This Row],[Subtotaal waterbar in consumpties]]+Tabel24256789101112[[#This Row],[Subtotaal koffieautomaten]]</f>
        <v>0</v>
      </c>
    </row>
    <row r="62" spans="1:51" x14ac:dyDescent="0.25">
      <c r="A62">
        <v>1</v>
      </c>
      <c r="B62" t="s">
        <v>110</v>
      </c>
      <c r="C62" t="s">
        <v>31</v>
      </c>
      <c r="E62" s="11">
        <v>5096</v>
      </c>
      <c r="F62" s="11">
        <v>4511</v>
      </c>
      <c r="G62" s="12">
        <f>Tabel24256789101112[[#This Row],[Stand Coffee einde maand]]-Tabel24256789101112[[#This Row],[Coffee vorige maand]]</f>
        <v>585</v>
      </c>
      <c r="H62" s="11">
        <v>245</v>
      </c>
      <c r="I62" s="11">
        <v>446</v>
      </c>
      <c r="J62" s="12">
        <f>Tabel24256789101112[[#This Row],[Stand Espresso Einde maand]]-Tabel24256789101112[[#This Row],[Espresso vorige maand]]</f>
        <v>-201</v>
      </c>
      <c r="K62" s="11">
        <v>626</v>
      </c>
      <c r="L62" s="11">
        <v>574</v>
      </c>
      <c r="M62">
        <f>Tabel24256789101112[[#This Row],[Stand Latte Macchiato einde maand]]-Tabel24256789101112[[#This Row],[Latte Macchiato vorige maand]]</f>
        <v>52</v>
      </c>
      <c r="N62" s="11">
        <v>396</v>
      </c>
      <c r="O62" s="11">
        <v>376</v>
      </c>
      <c r="P62">
        <f>Tabel24256789101112[[#This Row],[Stand Coffee Latte einde maand]]-Tabel24256789101112[[#This Row],[Coffee Latte vorige maand]]</f>
        <v>20</v>
      </c>
      <c r="Q62" s="11">
        <v>2758</v>
      </c>
      <c r="R62" s="11">
        <v>2498</v>
      </c>
      <c r="S62">
        <f>Tabel24256789101112[[#This Row],[Stand Hot Water einde maand]]-Tabel24256789101112[[#This Row],[Hot Water vorige maand]]</f>
        <v>260</v>
      </c>
      <c r="T62" s="11">
        <v>1393</v>
      </c>
      <c r="U62" s="11">
        <v>1231</v>
      </c>
      <c r="V62">
        <f>Tabel24256789101112[[#This Row],[Stand Cappucino einde maand]]-Tabel24256789101112[[#This Row],[Stand Cappucino vorige maand]]</f>
        <v>162</v>
      </c>
      <c r="W62" s="11">
        <v>30</v>
      </c>
      <c r="X62" s="11">
        <v>28</v>
      </c>
      <c r="Y62">
        <f>Tabel24256789101112[[#This Row],[Stand Cappucino Plantaardig einde maand]]-Tabel24256789101112[[#This Row],[Stand Cappucino Plantaardig vorige maand]]</f>
        <v>2</v>
      </c>
      <c r="Z62" s="11">
        <v>165</v>
      </c>
      <c r="AA62" s="11">
        <v>159</v>
      </c>
      <c r="AB62" s="12">
        <f>Tabel24256789101112[[#This Row],[Stand Latte Macchiato Plantaardig einde maand]]-Tabel24256789101112[[#This Row],[Stand Latte Macchiato Plantaardig vorige maand]]</f>
        <v>6</v>
      </c>
      <c r="AC62" s="3">
        <f>Tabel24256789101112[[#This Row],[Verbruik Stand Latte Macchiato Plantaardig deze maand]]+Tabel24256789101112[[#This Row],[Verbruik  Cappucino Plantaardig deze maand]]+Tabel24256789101112[[#This Row],[Verbruik Cappucino deze maand]]+Tabel24256789101112[[#This Row],[Verbruik Hot Water deze maand]]+Tabel24256789101112[[#This Row],[Verbruik Coffee Latte deze maand]]+Tabel24256789101112[[#This Row],[Verbruik Latte Macchiato deze maand]]+Tabel24256789101112[[#This Row],[Verbruik Espresso deze maand]]+Tabel24256789101112[[#This Row],[Verbruik Coffee deze maand]]</f>
        <v>886</v>
      </c>
      <c r="AD62" s="26"/>
      <c r="AE62" s="26"/>
      <c r="AF62" s="5"/>
      <c r="AG62" s="5"/>
      <c r="AH62" s="26"/>
      <c r="AI62" s="26"/>
      <c r="AJ62" s="5"/>
      <c r="AK62" s="5"/>
      <c r="AL62" s="26"/>
      <c r="AM62" s="26"/>
      <c r="AN62" s="5"/>
      <c r="AO62" s="5"/>
      <c r="AP62" s="26"/>
      <c r="AQ62" s="26"/>
      <c r="AR62" s="5"/>
      <c r="AS62" s="5"/>
      <c r="AT62" s="26"/>
      <c r="AU62" s="26"/>
      <c r="AV62" s="5"/>
      <c r="AW62" s="21"/>
      <c r="AX62" s="8"/>
      <c r="AY62" s="4">
        <f>Tabel24256789101112[[#This Row],[Subtotaal waterbar in consumpties]]+Tabel24256789101112[[#This Row],[Subtotaal koffieautomaten]]</f>
        <v>886</v>
      </c>
    </row>
    <row r="63" spans="1:51" x14ac:dyDescent="0.25">
      <c r="A63">
        <v>1</v>
      </c>
      <c r="B63" t="s">
        <v>111</v>
      </c>
      <c r="C63" t="s">
        <v>31</v>
      </c>
      <c r="E63" s="11">
        <v>5044</v>
      </c>
      <c r="F63" s="11">
        <v>4527</v>
      </c>
      <c r="G63" s="12">
        <f>Tabel24256789101112[[#This Row],[Stand Coffee einde maand]]-Tabel24256789101112[[#This Row],[Coffee vorige maand]]</f>
        <v>517</v>
      </c>
      <c r="H63" s="11">
        <v>466</v>
      </c>
      <c r="I63" s="11">
        <v>229</v>
      </c>
      <c r="J63" s="12">
        <f>Tabel24256789101112[[#This Row],[Stand Espresso Einde maand]]-Tabel24256789101112[[#This Row],[Espresso vorige maand]]</f>
        <v>237</v>
      </c>
      <c r="K63" s="11">
        <v>1164</v>
      </c>
      <c r="L63" s="11">
        <v>1026</v>
      </c>
      <c r="M63">
        <f>Tabel24256789101112[[#This Row],[Stand Latte Macchiato einde maand]]-Tabel24256789101112[[#This Row],[Latte Macchiato vorige maand]]</f>
        <v>138</v>
      </c>
      <c r="N63" s="11">
        <v>879</v>
      </c>
      <c r="O63" s="11">
        <v>777</v>
      </c>
      <c r="P63">
        <f>Tabel24256789101112[[#This Row],[Stand Coffee Latte einde maand]]-Tabel24256789101112[[#This Row],[Coffee Latte vorige maand]]</f>
        <v>102</v>
      </c>
      <c r="Q63" s="11">
        <v>3758</v>
      </c>
      <c r="R63" s="11">
        <v>3397</v>
      </c>
      <c r="S63">
        <f>Tabel24256789101112[[#This Row],[Stand Hot Water einde maand]]-Tabel24256789101112[[#This Row],[Hot Water vorige maand]]</f>
        <v>361</v>
      </c>
      <c r="T63" s="11">
        <v>1326</v>
      </c>
      <c r="U63" s="11">
        <v>1097</v>
      </c>
      <c r="V63">
        <f>Tabel24256789101112[[#This Row],[Stand Cappucino einde maand]]-Tabel24256789101112[[#This Row],[Stand Cappucino vorige maand]]</f>
        <v>229</v>
      </c>
      <c r="W63" s="11">
        <v>125</v>
      </c>
      <c r="X63" s="11">
        <v>122</v>
      </c>
      <c r="Y63">
        <f>Tabel24256789101112[[#This Row],[Stand Cappucino Plantaardig einde maand]]-Tabel24256789101112[[#This Row],[Stand Cappucino Plantaardig vorige maand]]</f>
        <v>3</v>
      </c>
      <c r="Z63" s="11">
        <v>251</v>
      </c>
      <c r="AA63" s="11">
        <v>248</v>
      </c>
      <c r="AB63" s="12">
        <f>Tabel24256789101112[[#This Row],[Stand Latte Macchiato Plantaardig einde maand]]-Tabel24256789101112[[#This Row],[Stand Latte Macchiato Plantaardig vorige maand]]</f>
        <v>3</v>
      </c>
      <c r="AC63" s="3">
        <f>Tabel24256789101112[[#This Row],[Verbruik Stand Latte Macchiato Plantaardig deze maand]]+Tabel24256789101112[[#This Row],[Verbruik  Cappucino Plantaardig deze maand]]+Tabel24256789101112[[#This Row],[Verbruik Cappucino deze maand]]+Tabel24256789101112[[#This Row],[Verbruik Hot Water deze maand]]+Tabel24256789101112[[#This Row],[Verbruik Coffee Latte deze maand]]+Tabel24256789101112[[#This Row],[Verbruik Latte Macchiato deze maand]]+Tabel24256789101112[[#This Row],[Verbruik Espresso deze maand]]+Tabel24256789101112[[#This Row],[Verbruik Coffee deze maand]]</f>
        <v>1590</v>
      </c>
      <c r="AD63" s="26"/>
      <c r="AE63" s="26"/>
      <c r="AF63" s="5"/>
      <c r="AG63" s="5"/>
      <c r="AH63" s="26"/>
      <c r="AI63" s="26"/>
      <c r="AJ63" s="5"/>
      <c r="AK63" s="5"/>
      <c r="AL63" s="26"/>
      <c r="AM63" s="26"/>
      <c r="AN63" s="5"/>
      <c r="AO63" s="5"/>
      <c r="AP63" s="26"/>
      <c r="AQ63" s="26"/>
      <c r="AR63" s="5"/>
      <c r="AS63" s="5"/>
      <c r="AT63" s="26"/>
      <c r="AU63" s="26"/>
      <c r="AV63" s="5"/>
      <c r="AW63" s="21"/>
      <c r="AX63" s="8"/>
      <c r="AY63" s="4">
        <f>Tabel24256789101112[[#This Row],[Subtotaal waterbar in consumpties]]+Tabel24256789101112[[#This Row],[Subtotaal koffieautomaten]]</f>
        <v>1590</v>
      </c>
    </row>
    <row r="64" spans="1:51" x14ac:dyDescent="0.25">
      <c r="A64" s="3" t="s">
        <v>112</v>
      </c>
      <c r="F64" s="24">
        <f>SUM(E3:E63)</f>
        <v>250394</v>
      </c>
      <c r="G64" s="24">
        <f t="shared" ref="G64" si="0">SUM(G3:G63)</f>
        <v>25859</v>
      </c>
      <c r="H64" s="11"/>
      <c r="I64" s="24">
        <f>SUM(H3:H63)</f>
        <v>62821</v>
      </c>
      <c r="J64" s="24">
        <f t="shared" ref="J64" si="1">SUM(J3:J63)</f>
        <v>7019</v>
      </c>
      <c r="K64" s="11"/>
      <c r="L64" s="24">
        <f>SUM(K3:K63)</f>
        <v>33152</v>
      </c>
      <c r="M64" s="24">
        <f t="shared" ref="M64" si="2">SUM(M3:M63)</f>
        <v>3654</v>
      </c>
      <c r="O64" s="24">
        <f>SUM(N3:N63)</f>
        <v>19299</v>
      </c>
      <c r="P64" s="24">
        <f t="shared" ref="P64" si="3">SUM(P3:P63)</f>
        <v>2935</v>
      </c>
      <c r="R64" s="24">
        <f>SUM(Q3:Q63)</f>
        <v>290317</v>
      </c>
      <c r="S64" s="24">
        <f t="shared" ref="S64" si="4">SUM(S3:S63)</f>
        <v>33676</v>
      </c>
      <c r="U64" s="24">
        <f>SUM(T3:T63)</f>
        <v>145362</v>
      </c>
      <c r="V64" s="24">
        <f t="shared" ref="V64" si="5">SUM(V3:V63)</f>
        <v>15734</v>
      </c>
      <c r="X64" s="24">
        <f>SUM(W3:W63)</f>
        <v>31705</v>
      </c>
      <c r="Y64" s="24">
        <f t="shared" ref="Y64" si="6">SUM(Y3:Y63)</f>
        <v>2674</v>
      </c>
      <c r="AA64" s="24">
        <f>SUM(Z3:Z63)</f>
        <v>11843</v>
      </c>
      <c r="AB64" s="24">
        <f t="shared" ref="AB64" si="7">SUM(AB3:AB63)</f>
        <v>1703</v>
      </c>
      <c r="AC64" s="3">
        <f>SUM(AC3:AC63)</f>
        <v>93254</v>
      </c>
      <c r="AD64" s="24">
        <f>SUM(AD3:AD63)</f>
        <v>3956.2999999999997</v>
      </c>
      <c r="AE64" s="24">
        <f>SUM(AE3:AE63)</f>
        <v>3509.8</v>
      </c>
      <c r="AF64" s="4">
        <f t="shared" ref="AF64:AW64" si="8">SUM(AF3:AF63)</f>
        <v>446.5</v>
      </c>
      <c r="AG64" s="4">
        <f>SUM(AG3:AG63)</f>
        <v>2976.6666666666674</v>
      </c>
      <c r="AH64" s="23">
        <f t="shared" si="8"/>
        <v>24993.9</v>
      </c>
      <c r="AI64" s="23">
        <f t="shared" si="8"/>
        <v>22717.399999999998</v>
      </c>
      <c r="AJ64" s="4">
        <f t="shared" si="8"/>
        <v>2276.5</v>
      </c>
      <c r="AK64" s="4">
        <f t="shared" si="8"/>
        <v>15176.666666666672</v>
      </c>
      <c r="AL64" s="23">
        <f t="shared" si="8"/>
        <v>23890.700000000008</v>
      </c>
      <c r="AM64" s="23">
        <f t="shared" si="8"/>
        <v>20919.2</v>
      </c>
      <c r="AN64" s="4">
        <f t="shared" si="8"/>
        <v>2971.4999999999995</v>
      </c>
      <c r="AO64" s="4">
        <f t="shared" si="8"/>
        <v>19810</v>
      </c>
      <c r="AP64" s="23">
        <f t="shared" si="8"/>
        <v>10397.900000000001</v>
      </c>
      <c r="AQ64" s="23">
        <f t="shared" si="8"/>
        <v>9909.6</v>
      </c>
      <c r="AR64" s="3">
        <f>SUM(AR4:AR63)</f>
        <v>488.3</v>
      </c>
      <c r="AS64" s="4">
        <f t="shared" si="8"/>
        <v>3255.3333333333326</v>
      </c>
      <c r="AT64" s="23">
        <f t="shared" si="8"/>
        <v>68771.700000000012</v>
      </c>
      <c r="AU64" s="23">
        <f t="shared" si="8"/>
        <v>61503.900000000009</v>
      </c>
      <c r="AV64" s="3">
        <f>SUM(AV4:AV63)</f>
        <v>7267.8000000000011</v>
      </c>
      <c r="AW64" s="22">
        <f t="shared" si="8"/>
        <v>48452.000000000007</v>
      </c>
      <c r="AX64" s="4">
        <f>SUM(AX3:AX63)</f>
        <v>90635.066666666651</v>
      </c>
      <c r="AY64" s="4">
        <f>Tabel24256789101112[[#This Row],[Subtotaal waterbar in consumpties]]+Tabel24256789101112[[#This Row],[Subtotaal koffieautomaten]]</f>
        <v>183889.06666666665</v>
      </c>
    </row>
    <row r="65" spans="1:52" x14ac:dyDescent="0.25">
      <c r="H65" s="13"/>
      <c r="I65" s="14"/>
      <c r="J65" s="15"/>
      <c r="K65" s="13"/>
      <c r="L65" s="14"/>
      <c r="M65" s="14"/>
      <c r="AQ65" s="11"/>
      <c r="AU65" s="11"/>
      <c r="AX65" s="3"/>
      <c r="AY65" s="3"/>
    </row>
    <row r="67" spans="1:52" x14ac:dyDescent="0.25">
      <c r="AY67" s="2"/>
      <c r="AZ67" s="2"/>
    </row>
    <row r="68" spans="1:52" x14ac:dyDescent="0.25">
      <c r="A68" s="28" t="s">
        <v>160</v>
      </c>
      <c r="AY68" s="4" t="s">
        <v>161</v>
      </c>
      <c r="AZ68" s="4">
        <f>AY64-AY63-AY62-AG64-AK64</f>
        <v>163259.73333333334</v>
      </c>
    </row>
    <row r="69" spans="1:52" x14ac:dyDescent="0.25">
      <c r="AY69" s="3" t="s">
        <v>162</v>
      </c>
      <c r="AZ69" s="4">
        <f>AY62+AY63</f>
        <v>2476</v>
      </c>
    </row>
    <row r="71" spans="1:52" x14ac:dyDescent="0.25">
      <c r="AY71" s="2"/>
    </row>
  </sheetData>
  <mergeCells count="3">
    <mergeCell ref="A1:D1"/>
    <mergeCell ref="E1:AC1"/>
    <mergeCell ref="AD1:AY1"/>
  </mergeCells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94797-B7A2-4C67-A2D3-9BFE7AEB0F65}">
  <dimension ref="A1:AZ71"/>
  <sheetViews>
    <sheetView topLeftCell="A4" zoomScale="98" zoomScaleNormal="98" workbookViewId="0">
      <pane xSplit="1" topLeftCell="AK1" activePane="topRight" state="frozen"/>
      <selection activeCell="G19" sqref="G19"/>
      <selection pane="topRight" activeCell="G19" sqref="G19"/>
    </sheetView>
  </sheetViews>
  <sheetFormatPr defaultRowHeight="15" x14ac:dyDescent="0.25"/>
  <cols>
    <col min="1" max="1" width="32.140625" bestFit="1" customWidth="1"/>
    <col min="2" max="2" width="21.42578125" bestFit="1" customWidth="1"/>
    <col min="3" max="3" width="25.42578125" bestFit="1" customWidth="1"/>
    <col min="4" max="4" width="18.5703125" customWidth="1"/>
    <col min="5" max="5" width="10.140625" style="11" customWidth="1"/>
    <col min="6" max="6" width="10.42578125" customWidth="1"/>
    <col min="7" max="7" width="10.5703125" style="12" customWidth="1"/>
    <col min="8" max="8" width="11.85546875" customWidth="1"/>
    <col min="9" max="9" width="11.7109375" customWidth="1"/>
    <col min="10" max="10" width="12.42578125" customWidth="1"/>
    <col min="11" max="11" width="17.140625" customWidth="1"/>
    <col min="12" max="12" width="13.5703125" customWidth="1"/>
    <col min="13" max="13" width="13.42578125" bestFit="1" customWidth="1"/>
    <col min="14" max="14" width="14" style="11" customWidth="1"/>
    <col min="15" max="16" width="14" customWidth="1"/>
    <col min="17" max="17" width="14.140625" style="11" customWidth="1"/>
    <col min="18" max="19" width="12.28515625" customWidth="1"/>
    <col min="20" max="20" width="12.42578125" style="11" customWidth="1"/>
    <col min="21" max="22" width="12.42578125" customWidth="1"/>
    <col min="23" max="23" width="17" style="11" customWidth="1"/>
    <col min="24" max="25" width="17" customWidth="1"/>
    <col min="26" max="26" width="20.7109375" style="11" customWidth="1"/>
    <col min="27" max="27" width="20.7109375" customWidth="1"/>
    <col min="28" max="28" width="20.7109375" style="12" customWidth="1"/>
    <col min="29" max="29" width="13.85546875" customWidth="1"/>
    <col min="30" max="30" width="17.5703125" style="11" customWidth="1"/>
    <col min="31" max="32" width="17.5703125" customWidth="1"/>
    <col min="33" max="33" width="20.28515625" customWidth="1"/>
    <col min="34" max="34" width="14.42578125" style="11" customWidth="1"/>
    <col min="35" max="36" width="14.42578125" customWidth="1"/>
    <col min="37" max="37" width="21.28515625" customWidth="1"/>
    <col min="38" max="38" width="15.140625" style="11" customWidth="1"/>
    <col min="39" max="40" width="15.140625" customWidth="1"/>
    <col min="41" max="41" width="21.28515625" customWidth="1"/>
    <col min="42" max="42" width="19.42578125" style="11" customWidth="1"/>
    <col min="43" max="44" width="19.42578125" customWidth="1"/>
    <col min="45" max="45" width="21.28515625" customWidth="1"/>
    <col min="46" max="46" width="17" style="11" customWidth="1"/>
    <col min="47" max="48" width="17" customWidth="1"/>
    <col min="49" max="49" width="21.28515625" style="12" customWidth="1"/>
    <col min="50" max="50" width="20" customWidth="1"/>
    <col min="51" max="51" width="14.140625" customWidth="1"/>
  </cols>
  <sheetData>
    <row r="1" spans="1:51" x14ac:dyDescent="0.25">
      <c r="A1" s="172" t="s">
        <v>0</v>
      </c>
      <c r="B1" s="172"/>
      <c r="C1" s="172"/>
      <c r="D1" s="172"/>
      <c r="E1" s="172" t="s">
        <v>1</v>
      </c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 t="s">
        <v>2</v>
      </c>
      <c r="AE1" s="172"/>
      <c r="AF1" s="172"/>
      <c r="AG1" s="172"/>
      <c r="AH1" s="172"/>
      <c r="AI1" s="172"/>
      <c r="AJ1" s="172"/>
      <c r="AK1" s="172"/>
      <c r="AL1" s="172"/>
      <c r="AM1" s="172"/>
      <c r="AN1" s="172"/>
      <c r="AO1" s="172"/>
      <c r="AP1" s="172"/>
      <c r="AQ1" s="172"/>
      <c r="AR1" s="172"/>
      <c r="AS1" s="172"/>
      <c r="AT1" s="172"/>
      <c r="AU1" s="172"/>
      <c r="AV1" s="172"/>
      <c r="AW1" s="172"/>
      <c r="AX1" s="172"/>
      <c r="AY1" s="172"/>
    </row>
    <row r="2" spans="1:51" ht="60" x14ac:dyDescent="0.25">
      <c r="A2" t="s">
        <v>3</v>
      </c>
      <c r="B2" t="s">
        <v>4</v>
      </c>
      <c r="C2" t="s">
        <v>5</v>
      </c>
      <c r="D2" t="s">
        <v>6</v>
      </c>
      <c r="E2" s="9" t="s">
        <v>113</v>
      </c>
      <c r="F2" s="1" t="s">
        <v>114</v>
      </c>
      <c r="G2" s="10" t="s">
        <v>115</v>
      </c>
      <c r="H2" s="1" t="s">
        <v>116</v>
      </c>
      <c r="I2" s="1" t="s">
        <v>117</v>
      </c>
      <c r="J2" s="1" t="s">
        <v>118</v>
      </c>
      <c r="K2" s="1" t="s">
        <v>119</v>
      </c>
      <c r="L2" s="1" t="s">
        <v>120</v>
      </c>
      <c r="M2" s="1" t="s">
        <v>121</v>
      </c>
      <c r="N2" s="9" t="s">
        <v>122</v>
      </c>
      <c r="O2" s="1" t="s">
        <v>123</v>
      </c>
      <c r="P2" s="1" t="s">
        <v>124</v>
      </c>
      <c r="Q2" s="9" t="s">
        <v>125</v>
      </c>
      <c r="R2" s="1" t="s">
        <v>126</v>
      </c>
      <c r="S2" s="1" t="s">
        <v>127</v>
      </c>
      <c r="T2" s="9" t="s">
        <v>128</v>
      </c>
      <c r="U2" s="1" t="s">
        <v>129</v>
      </c>
      <c r="V2" s="1" t="s">
        <v>130</v>
      </c>
      <c r="W2" s="9" t="s">
        <v>131</v>
      </c>
      <c r="X2" s="1" t="s">
        <v>132</v>
      </c>
      <c r="Y2" s="1" t="s">
        <v>133</v>
      </c>
      <c r="Z2" s="9" t="s">
        <v>134</v>
      </c>
      <c r="AA2" s="1" t="s">
        <v>135</v>
      </c>
      <c r="AB2" s="10" t="s">
        <v>136</v>
      </c>
      <c r="AC2" s="1" t="s">
        <v>15</v>
      </c>
      <c r="AD2" s="9" t="s">
        <v>137</v>
      </c>
      <c r="AE2" s="1" t="s">
        <v>138</v>
      </c>
      <c r="AF2" s="1" t="s">
        <v>139</v>
      </c>
      <c r="AG2" s="1" t="s">
        <v>140</v>
      </c>
      <c r="AH2" s="9" t="s">
        <v>141</v>
      </c>
      <c r="AI2" s="1" t="s">
        <v>142</v>
      </c>
      <c r="AJ2" s="1" t="s">
        <v>143</v>
      </c>
      <c r="AK2" s="1" t="s">
        <v>144</v>
      </c>
      <c r="AL2" s="9" t="s">
        <v>145</v>
      </c>
      <c r="AM2" s="1" t="s">
        <v>146</v>
      </c>
      <c r="AN2" s="1" t="s">
        <v>147</v>
      </c>
      <c r="AO2" s="1" t="s">
        <v>148</v>
      </c>
      <c r="AP2" s="9" t="s">
        <v>149</v>
      </c>
      <c r="AQ2" s="1" t="s">
        <v>150</v>
      </c>
      <c r="AR2" s="1" t="s">
        <v>151</v>
      </c>
      <c r="AS2" s="1" t="s">
        <v>152</v>
      </c>
      <c r="AT2" s="9" t="s">
        <v>153</v>
      </c>
      <c r="AU2" s="1" t="s">
        <v>154</v>
      </c>
      <c r="AV2" s="1" t="s">
        <v>155</v>
      </c>
      <c r="AW2" s="10" t="s">
        <v>156</v>
      </c>
      <c r="AX2" s="1" t="s">
        <v>157</v>
      </c>
      <c r="AY2" t="s">
        <v>27</v>
      </c>
    </row>
    <row r="3" spans="1:51" x14ac:dyDescent="0.25">
      <c r="A3" s="3" t="s">
        <v>28</v>
      </c>
      <c r="E3" s="25"/>
      <c r="H3" s="27"/>
      <c r="I3" s="18"/>
      <c r="J3" s="19"/>
      <c r="K3" s="27"/>
      <c r="L3" s="18"/>
      <c r="M3" s="18"/>
      <c r="N3" s="25"/>
      <c r="Q3" s="25"/>
      <c r="T3" s="25"/>
      <c r="W3" s="25"/>
      <c r="Z3" s="25"/>
      <c r="AC3" s="3"/>
      <c r="AG3" s="2"/>
      <c r="AH3" s="25"/>
      <c r="AK3" s="2"/>
      <c r="AL3" s="25"/>
      <c r="AO3" s="2"/>
      <c r="AP3" s="25"/>
      <c r="AS3" s="2"/>
      <c r="AT3" s="25"/>
      <c r="AW3" s="20"/>
      <c r="AX3" s="4"/>
      <c r="AY3" s="4">
        <f>Tabel2425678910111213[[#This Row],[Subtotaal waterbar in consumpties]]+Tabel2425678910111213[[#This Row],[Subtotaal koffieautomaten]]</f>
        <v>0</v>
      </c>
    </row>
    <row r="4" spans="1:51" x14ac:dyDescent="0.25">
      <c r="A4" t="s">
        <v>29</v>
      </c>
      <c r="B4" t="s">
        <v>30</v>
      </c>
      <c r="C4" t="s">
        <v>31</v>
      </c>
      <c r="E4" s="11">
        <v>2245</v>
      </c>
      <c r="F4" s="11">
        <v>2069</v>
      </c>
      <c r="G4" s="12">
        <f>Tabel2425678910111213[[#This Row],[Stand Coffee einde maand]]-Tabel2425678910111213[[#This Row],[Coffee vorige maand]]</f>
        <v>176</v>
      </c>
      <c r="H4" s="11">
        <v>864</v>
      </c>
      <c r="I4" s="11">
        <v>909</v>
      </c>
      <c r="J4" s="12">
        <f>Tabel2425678910111213[[#This Row],[Stand Espresso Einde maand]]-Tabel2425678910111213[[#This Row],[Espresso vorige maand]]</f>
        <v>-45</v>
      </c>
      <c r="K4" s="11">
        <v>718</v>
      </c>
      <c r="L4" s="11">
        <v>836</v>
      </c>
      <c r="M4">
        <f>Tabel2425678910111213[[#This Row],[Stand Latte Macchiato einde maand]]-Tabel2425678910111213[[#This Row],[Latte Macchiato vorige maand]]</f>
        <v>-118</v>
      </c>
      <c r="N4" s="11">
        <v>718</v>
      </c>
      <c r="O4" s="11">
        <v>691</v>
      </c>
      <c r="P4">
        <f>Tabel2425678910111213[[#This Row],[Stand Coffee Latte einde maand]]-Tabel2425678910111213[[#This Row],[Coffee Latte vorige maand]]</f>
        <v>27</v>
      </c>
      <c r="Q4" s="11">
        <v>3274</v>
      </c>
      <c r="R4" s="11">
        <v>3126</v>
      </c>
      <c r="S4">
        <f>Tabel2425678910111213[[#This Row],[Stand Hot Water einde maand]]-Tabel2425678910111213[[#This Row],[Hot Water vorige maand]]</f>
        <v>148</v>
      </c>
      <c r="T4" s="11">
        <v>3302</v>
      </c>
      <c r="U4" s="11">
        <v>3113</v>
      </c>
      <c r="V4">
        <f>Tabel2425678910111213[[#This Row],[Stand Cappucino einde maand]]-Tabel2425678910111213[[#This Row],[Stand Cappucino vorige maand]]</f>
        <v>189</v>
      </c>
      <c r="W4" s="11">
        <v>93</v>
      </c>
      <c r="X4" s="11">
        <v>91</v>
      </c>
      <c r="Y4">
        <f>Tabel2425678910111213[[#This Row],[Stand Cappucino Plantaardig einde maand]]-Tabel2425678910111213[[#This Row],[Stand Cappucino Plantaardig vorige maand]]</f>
        <v>2</v>
      </c>
      <c r="Z4" s="11">
        <v>90</v>
      </c>
      <c r="AA4" s="11">
        <v>88</v>
      </c>
      <c r="AB4" s="12">
        <f>Tabel2425678910111213[[#This Row],[Stand Latte Macchiato Plantaardig einde maand]]-Tabel2425678910111213[[#This Row],[Stand Latte Macchiato Plantaardig vorige maand]]</f>
        <v>2</v>
      </c>
      <c r="AC4" s="3">
        <f>Tabel2425678910111213[[#This Row],[Verbruik Stand Latte Macchiato Plantaardig deze maand]]+Tabel2425678910111213[[#This Row],[Verbruik  Cappucino Plantaardig deze maand]]+Tabel2425678910111213[[#This Row],[Verbruik Cappucino deze maand]]+Tabel2425678910111213[[#This Row],[Verbruik Hot Water deze maand]]+Tabel2425678910111213[[#This Row],[Verbruik Coffee Latte deze maand]]+Tabel2425678910111213[[#This Row],[Verbruik Latte Macchiato deze maand]]+Tabel2425678910111213[[#This Row],[Verbruik Espresso deze maand]]+Tabel2425678910111213[[#This Row],[Verbruik Coffee deze maand]]</f>
        <v>381</v>
      </c>
      <c r="AD4" s="26"/>
      <c r="AE4" s="26"/>
      <c r="AF4" s="5"/>
      <c r="AG4" s="5"/>
      <c r="AH4" s="26"/>
      <c r="AI4" s="26"/>
      <c r="AJ4" s="5"/>
      <c r="AK4" s="5"/>
      <c r="AL4" s="26"/>
      <c r="AM4" s="26"/>
      <c r="AN4" s="5"/>
      <c r="AO4" s="5"/>
      <c r="AP4" s="26"/>
      <c r="AQ4" s="26"/>
      <c r="AR4" s="5"/>
      <c r="AS4" s="5"/>
      <c r="AT4" s="26"/>
      <c r="AU4" s="26"/>
      <c r="AV4" s="5"/>
      <c r="AW4" s="21"/>
      <c r="AX4" s="8"/>
      <c r="AY4" s="4">
        <f>Tabel2425678910111213[[#This Row],[Subtotaal waterbar in consumpties]]+Tabel2425678910111213[[#This Row],[Subtotaal koffieautomaten]]</f>
        <v>381</v>
      </c>
    </row>
    <row r="5" spans="1:51" x14ac:dyDescent="0.25">
      <c r="A5" t="s">
        <v>32</v>
      </c>
      <c r="B5" t="s">
        <v>33</v>
      </c>
      <c r="C5" t="s">
        <v>31</v>
      </c>
      <c r="E5" s="11">
        <v>4529</v>
      </c>
      <c r="F5" s="11">
        <v>4265</v>
      </c>
      <c r="G5" s="12">
        <f>Tabel2425678910111213[[#This Row],[Stand Coffee einde maand]]-Tabel2425678910111213[[#This Row],[Coffee vorige maand]]</f>
        <v>264</v>
      </c>
      <c r="H5" s="11">
        <v>1492</v>
      </c>
      <c r="I5" s="11">
        <v>1407</v>
      </c>
      <c r="J5" s="12">
        <f>Tabel2425678910111213[[#This Row],[Stand Espresso Einde maand]]-Tabel2425678910111213[[#This Row],[Espresso vorige maand]]</f>
        <v>85</v>
      </c>
      <c r="K5" s="11">
        <v>1025</v>
      </c>
      <c r="L5" s="11">
        <v>981</v>
      </c>
      <c r="M5">
        <f>Tabel2425678910111213[[#This Row],[Stand Latte Macchiato einde maand]]-Tabel2425678910111213[[#This Row],[Latte Macchiato vorige maand]]</f>
        <v>44</v>
      </c>
      <c r="N5" s="11">
        <v>1155</v>
      </c>
      <c r="O5" s="11">
        <v>1083</v>
      </c>
      <c r="P5">
        <f>Tabel2425678910111213[[#This Row],[Stand Coffee Latte einde maand]]-Tabel2425678910111213[[#This Row],[Coffee Latte vorige maand]]</f>
        <v>72</v>
      </c>
      <c r="Q5" s="11">
        <v>10588</v>
      </c>
      <c r="R5" s="11">
        <v>9812</v>
      </c>
      <c r="S5">
        <f>Tabel2425678910111213[[#This Row],[Stand Hot Water einde maand]]-Tabel2425678910111213[[#This Row],[Hot Water vorige maand]]</f>
        <v>776</v>
      </c>
      <c r="T5" s="11">
        <v>5889</v>
      </c>
      <c r="U5" s="11">
        <v>5509</v>
      </c>
      <c r="V5">
        <f>Tabel2425678910111213[[#This Row],[Stand Cappucino einde maand]]-Tabel2425678910111213[[#This Row],[Stand Cappucino vorige maand]]</f>
        <v>380</v>
      </c>
      <c r="W5" s="11">
        <v>749</v>
      </c>
      <c r="X5" s="11">
        <v>729</v>
      </c>
      <c r="Y5">
        <f>Tabel2425678910111213[[#This Row],[Stand Cappucino Plantaardig einde maand]]-Tabel2425678910111213[[#This Row],[Stand Cappucino Plantaardig vorige maand]]</f>
        <v>20</v>
      </c>
      <c r="Z5" s="11">
        <v>412</v>
      </c>
      <c r="AA5" s="11">
        <v>401</v>
      </c>
      <c r="AB5" s="12">
        <f>Tabel2425678910111213[[#This Row],[Stand Latte Macchiato Plantaardig einde maand]]-Tabel2425678910111213[[#This Row],[Stand Latte Macchiato Plantaardig vorige maand]]</f>
        <v>11</v>
      </c>
      <c r="AC5" s="3">
        <f>Tabel2425678910111213[[#This Row],[Verbruik Stand Latte Macchiato Plantaardig deze maand]]+Tabel2425678910111213[[#This Row],[Verbruik  Cappucino Plantaardig deze maand]]+Tabel2425678910111213[[#This Row],[Verbruik Cappucino deze maand]]+Tabel2425678910111213[[#This Row],[Verbruik Hot Water deze maand]]+Tabel2425678910111213[[#This Row],[Verbruik Coffee Latte deze maand]]+Tabel2425678910111213[[#This Row],[Verbruik Latte Macchiato deze maand]]+Tabel2425678910111213[[#This Row],[Verbruik Espresso deze maand]]+Tabel2425678910111213[[#This Row],[Verbruik Coffee deze maand]]</f>
        <v>1652</v>
      </c>
      <c r="AD5" s="26"/>
      <c r="AE5" s="26"/>
      <c r="AF5" s="5"/>
      <c r="AG5" s="5"/>
      <c r="AH5" s="26"/>
      <c r="AI5" s="26"/>
      <c r="AJ5" s="5"/>
      <c r="AK5" s="5"/>
      <c r="AL5" s="26"/>
      <c r="AM5" s="26"/>
      <c r="AN5" s="5"/>
      <c r="AO5" s="5"/>
      <c r="AP5" s="26"/>
      <c r="AQ5" s="26"/>
      <c r="AR5" s="5"/>
      <c r="AS5" s="5"/>
      <c r="AT5" s="26"/>
      <c r="AU5" s="26"/>
      <c r="AV5" s="5"/>
      <c r="AW5" s="21"/>
      <c r="AX5" s="8"/>
      <c r="AY5" s="4">
        <f>Tabel2425678910111213[[#This Row],[Subtotaal waterbar in consumpties]]+Tabel2425678910111213[[#This Row],[Subtotaal koffieautomaten]]</f>
        <v>1652</v>
      </c>
    </row>
    <row r="6" spans="1:51" x14ac:dyDescent="0.25">
      <c r="A6" t="s">
        <v>34</v>
      </c>
      <c r="B6" t="s">
        <v>35</v>
      </c>
      <c r="C6" t="s">
        <v>47</v>
      </c>
      <c r="E6" s="11">
        <v>3289</v>
      </c>
      <c r="F6" s="11">
        <v>2937</v>
      </c>
      <c r="G6" s="12">
        <f>Tabel2425678910111213[[#This Row],[Stand Coffee einde maand]]-Tabel2425678910111213[[#This Row],[Coffee vorige maand]]</f>
        <v>352</v>
      </c>
      <c r="H6" s="11">
        <v>572</v>
      </c>
      <c r="I6" s="11">
        <v>516</v>
      </c>
      <c r="J6" s="12">
        <f>Tabel2425678910111213[[#This Row],[Stand Espresso Einde maand]]-Tabel2425678910111213[[#This Row],[Espresso vorige maand]]</f>
        <v>56</v>
      </c>
      <c r="K6" s="11">
        <v>770</v>
      </c>
      <c r="L6" s="11">
        <v>641</v>
      </c>
      <c r="M6">
        <f>Tabel2425678910111213[[#This Row],[Stand Latte Macchiato einde maand]]-Tabel2425678910111213[[#This Row],[Latte Macchiato vorige maand]]</f>
        <v>129</v>
      </c>
      <c r="N6" s="11">
        <v>620</v>
      </c>
      <c r="O6" s="11">
        <v>544</v>
      </c>
      <c r="P6">
        <f>Tabel2425678910111213[[#This Row],[Stand Coffee Latte einde maand]]-Tabel2425678910111213[[#This Row],[Coffee Latte vorige maand]]</f>
        <v>76</v>
      </c>
      <c r="Q6" s="11">
        <v>3839</v>
      </c>
      <c r="R6" s="11">
        <v>3350</v>
      </c>
      <c r="S6">
        <f>Tabel2425678910111213[[#This Row],[Stand Hot Water einde maand]]-Tabel2425678910111213[[#This Row],[Hot Water vorige maand]]</f>
        <v>489</v>
      </c>
      <c r="T6" s="11">
        <v>4558</v>
      </c>
      <c r="U6" s="11">
        <v>4094</v>
      </c>
      <c r="V6">
        <f>Tabel2425678910111213[[#This Row],[Stand Cappucino einde maand]]-Tabel2425678910111213[[#This Row],[Stand Cappucino vorige maand]]</f>
        <v>464</v>
      </c>
      <c r="W6" s="11">
        <v>382</v>
      </c>
      <c r="X6" s="11">
        <v>367</v>
      </c>
      <c r="Y6">
        <f>Tabel2425678910111213[[#This Row],[Stand Cappucino Plantaardig einde maand]]-Tabel2425678910111213[[#This Row],[Stand Cappucino Plantaardig vorige maand]]</f>
        <v>15</v>
      </c>
      <c r="Z6" s="11">
        <v>195</v>
      </c>
      <c r="AA6" s="11">
        <v>182</v>
      </c>
      <c r="AB6" s="12">
        <f>Tabel2425678910111213[[#This Row],[Stand Latte Macchiato Plantaardig einde maand]]-Tabel2425678910111213[[#This Row],[Stand Latte Macchiato Plantaardig vorige maand]]</f>
        <v>13</v>
      </c>
      <c r="AC6" s="3">
        <f>Tabel2425678910111213[[#This Row],[Verbruik Stand Latte Macchiato Plantaardig deze maand]]+Tabel2425678910111213[[#This Row],[Verbruik  Cappucino Plantaardig deze maand]]+Tabel2425678910111213[[#This Row],[Verbruik Cappucino deze maand]]+Tabel2425678910111213[[#This Row],[Verbruik Hot Water deze maand]]+Tabel2425678910111213[[#This Row],[Verbruik Coffee Latte deze maand]]+Tabel2425678910111213[[#This Row],[Verbruik Latte Macchiato deze maand]]+Tabel2425678910111213[[#This Row],[Verbruik Espresso deze maand]]+Tabel2425678910111213[[#This Row],[Verbruik Coffee deze maand]]</f>
        <v>1594</v>
      </c>
      <c r="AD6" s="11">
        <v>196.8</v>
      </c>
      <c r="AE6" s="11">
        <v>173</v>
      </c>
      <c r="AF6">
        <f>Tabel2425678910111213[[#This Row],[Stand Kamertemp liter einde maand]]-Tabel2425678910111213[[#This Row],[Stand Kamertemp liter vorige maand]]</f>
        <v>23.800000000000011</v>
      </c>
      <c r="AG6" s="2">
        <f>Tabel2425678910111213[[#This Row],[Verbruik Kamertemp liter deze maand]]/0.15</f>
        <v>158.66666666666674</v>
      </c>
      <c r="AH6" s="11">
        <v>1686</v>
      </c>
      <c r="AI6" s="11">
        <v>1524</v>
      </c>
      <c r="AJ6">
        <f>Tabel2425678910111213[[#This Row],[Stand Gekoeld liter einde maand]]-Tabel2425678910111213[[#This Row],[Stand Gekoeld liter vorige maand]]</f>
        <v>162</v>
      </c>
      <c r="AK6" s="2">
        <f>Tabel2425678910111213[[#This Row],[Verbruik Gekoeld liter deze maand]]/0.15</f>
        <v>1080</v>
      </c>
      <c r="AL6" s="11">
        <v>1001.8</v>
      </c>
      <c r="AM6" s="11">
        <v>925.6</v>
      </c>
      <c r="AN6">
        <f>Tabel2425678910111213[[#This Row],[Stand Bruisend liter einde maand]]-Tabel2425678910111213[[#This Row],[Stand Bruisend liter vorige maand]]</f>
        <v>76.199999999999932</v>
      </c>
      <c r="AO6" s="2">
        <f>Tabel2425678910111213[[#This Row],[Verbruik Bruisend liter deze maand]]/0.15</f>
        <v>507.99999999999955</v>
      </c>
      <c r="AP6" s="11">
        <v>351.1</v>
      </c>
      <c r="AQ6" s="11">
        <v>331.4</v>
      </c>
      <c r="AR6">
        <f>Tabel2425678910111213[[#This Row],[Stand licht bruisend liter einde maand]]-Tabel2425678910111213[[#This Row],[Stand licht bruisend liter vorige maand]]</f>
        <v>19.700000000000045</v>
      </c>
      <c r="AS6" s="2">
        <f>Tabel2425678910111213[[#This Row],[Verbruik licht bruisend liter deze maand]]/0.15</f>
        <v>131.33333333333366</v>
      </c>
      <c r="AT6" s="11">
        <v>1621.2</v>
      </c>
      <c r="AU6" s="11">
        <v>1493.6</v>
      </c>
      <c r="AV6">
        <f>Tabel2425678910111213[[#This Row],[Stand heet water liter einde maand]]-Tabel2425678910111213[[#This Row],[Stand heet water liter vorige maand]]</f>
        <v>127.60000000000014</v>
      </c>
      <c r="AW6" s="20">
        <f>Tabel2425678910111213[[#This Row],[Verbruik heet Water liter deze maand ]]/0.15</f>
        <v>850.66666666666765</v>
      </c>
      <c r="AX6" s="4">
        <f>Tabel2425678910111213[[#This Row],[Aantal consumpties heet water deze maand]]+Tabel2425678910111213[[#This Row],[Aantal consumpties licht bruisend water deze maand]]+Tabel2425678910111213[[#This Row],[aantal consumpties Bruisend water deze maand]]+Tabel2425678910111213[[#This Row],[Aantal consumpties gekoeld water deze maand]]+Tabel2425678910111213[[#This Row],[Aantal consumpties Kamertemp deze maand]]</f>
        <v>2728.6666666666679</v>
      </c>
      <c r="AY6" s="4">
        <f>Tabel2425678910111213[[#This Row],[Subtotaal waterbar in consumpties]]+Tabel2425678910111213[[#This Row],[Subtotaal koffieautomaten]]</f>
        <v>4322.6666666666679</v>
      </c>
    </row>
    <row r="7" spans="1:51" x14ac:dyDescent="0.25">
      <c r="A7" t="s">
        <v>37</v>
      </c>
      <c r="B7" t="s">
        <v>38</v>
      </c>
      <c r="C7" t="s">
        <v>31</v>
      </c>
      <c r="E7" s="11">
        <v>7523</v>
      </c>
      <c r="F7" s="11">
        <v>6809</v>
      </c>
      <c r="G7" s="12">
        <f>Tabel2425678910111213[[#This Row],[Stand Coffee einde maand]]-Tabel2425678910111213[[#This Row],[Coffee vorige maand]]</f>
        <v>714</v>
      </c>
      <c r="H7" s="11">
        <v>1722</v>
      </c>
      <c r="I7" s="11">
        <v>1624</v>
      </c>
      <c r="J7" s="12">
        <f>Tabel2425678910111213[[#This Row],[Stand Espresso Einde maand]]-Tabel2425678910111213[[#This Row],[Espresso vorige maand]]</f>
        <v>98</v>
      </c>
      <c r="K7" s="11">
        <v>838</v>
      </c>
      <c r="L7" s="11">
        <v>758</v>
      </c>
      <c r="M7">
        <f>Tabel2425678910111213[[#This Row],[Stand Latte Macchiato einde maand]]-Tabel2425678910111213[[#This Row],[Latte Macchiato vorige maand]]</f>
        <v>80</v>
      </c>
      <c r="N7" s="11">
        <v>653</v>
      </c>
      <c r="O7" s="11">
        <v>583</v>
      </c>
      <c r="P7">
        <f>Tabel2425678910111213[[#This Row],[Stand Coffee Latte einde maand]]-Tabel2425678910111213[[#This Row],[Coffee Latte vorige maand]]</f>
        <v>70</v>
      </c>
      <c r="Q7" s="11">
        <v>12134</v>
      </c>
      <c r="R7" s="11">
        <v>10754</v>
      </c>
      <c r="S7">
        <f>Tabel2425678910111213[[#This Row],[Stand Hot Water einde maand]]-Tabel2425678910111213[[#This Row],[Hot Water vorige maand]]</f>
        <v>1380</v>
      </c>
      <c r="T7" s="11">
        <v>4696</v>
      </c>
      <c r="U7" s="11">
        <v>4282</v>
      </c>
      <c r="V7">
        <f>Tabel2425678910111213[[#This Row],[Stand Cappucino einde maand]]-Tabel2425678910111213[[#This Row],[Stand Cappucino vorige maand]]</f>
        <v>414</v>
      </c>
      <c r="W7" s="11">
        <v>269</v>
      </c>
      <c r="X7" s="11">
        <v>257</v>
      </c>
      <c r="Y7">
        <f>Tabel2425678910111213[[#This Row],[Stand Cappucino Plantaardig einde maand]]-Tabel2425678910111213[[#This Row],[Stand Cappucino Plantaardig vorige maand]]</f>
        <v>12</v>
      </c>
      <c r="Z7" s="11">
        <v>166</v>
      </c>
      <c r="AA7" s="11">
        <v>147</v>
      </c>
      <c r="AB7" s="12">
        <f>Tabel2425678910111213[[#This Row],[Stand Latte Macchiato Plantaardig einde maand]]-Tabel2425678910111213[[#This Row],[Stand Latte Macchiato Plantaardig vorige maand]]</f>
        <v>19</v>
      </c>
      <c r="AC7" s="3">
        <f>Tabel2425678910111213[[#This Row],[Verbruik Stand Latte Macchiato Plantaardig deze maand]]+Tabel2425678910111213[[#This Row],[Verbruik  Cappucino Plantaardig deze maand]]+Tabel2425678910111213[[#This Row],[Verbruik Cappucino deze maand]]+Tabel2425678910111213[[#This Row],[Verbruik Hot Water deze maand]]+Tabel2425678910111213[[#This Row],[Verbruik Coffee Latte deze maand]]+Tabel2425678910111213[[#This Row],[Verbruik Latte Macchiato deze maand]]+Tabel2425678910111213[[#This Row],[Verbruik Espresso deze maand]]+Tabel2425678910111213[[#This Row],[Verbruik Coffee deze maand]]</f>
        <v>2787</v>
      </c>
      <c r="AD7" s="26"/>
      <c r="AE7" s="26"/>
      <c r="AF7" s="5"/>
      <c r="AG7" s="5"/>
      <c r="AH7" s="26"/>
      <c r="AI7" s="26"/>
      <c r="AJ7" s="5"/>
      <c r="AK7" s="5"/>
      <c r="AL7" s="26"/>
      <c r="AM7" s="26"/>
      <c r="AN7" s="5"/>
      <c r="AO7" s="5"/>
      <c r="AP7" s="26"/>
      <c r="AQ7" s="26"/>
      <c r="AR7" s="5"/>
      <c r="AS7" s="5"/>
      <c r="AT7" s="26"/>
      <c r="AU7" s="26"/>
      <c r="AV7" s="5"/>
      <c r="AW7" s="21"/>
      <c r="AX7" s="8"/>
      <c r="AY7" s="4">
        <f>Tabel2425678910111213[[#This Row],[Subtotaal waterbar in consumpties]]+Tabel2425678910111213[[#This Row],[Subtotaal koffieautomaten]]</f>
        <v>2787</v>
      </c>
    </row>
    <row r="8" spans="1:51" x14ac:dyDescent="0.25">
      <c r="A8" t="s">
        <v>39</v>
      </c>
      <c r="B8" t="s">
        <v>40</v>
      </c>
      <c r="C8" t="s">
        <v>31</v>
      </c>
      <c r="E8" s="11">
        <v>9479</v>
      </c>
      <c r="F8" s="11">
        <v>8699</v>
      </c>
      <c r="G8" s="12">
        <f>Tabel2425678910111213[[#This Row],[Stand Coffee einde maand]]-Tabel2425678910111213[[#This Row],[Coffee vorige maand]]</f>
        <v>780</v>
      </c>
      <c r="H8" s="11">
        <v>2016</v>
      </c>
      <c r="I8" s="11">
        <v>1949</v>
      </c>
      <c r="J8" s="12">
        <f>Tabel2425678910111213[[#This Row],[Stand Espresso Einde maand]]-Tabel2425678910111213[[#This Row],[Espresso vorige maand]]</f>
        <v>67</v>
      </c>
      <c r="K8" s="11">
        <v>1436</v>
      </c>
      <c r="L8" s="11">
        <v>1313</v>
      </c>
      <c r="M8">
        <f>Tabel2425678910111213[[#This Row],[Stand Latte Macchiato einde maand]]-Tabel2425678910111213[[#This Row],[Latte Macchiato vorige maand]]</f>
        <v>123</v>
      </c>
      <c r="N8" s="11">
        <v>967</v>
      </c>
      <c r="O8" s="11">
        <v>830</v>
      </c>
      <c r="P8">
        <f>Tabel2425678910111213[[#This Row],[Stand Coffee Latte einde maand]]-Tabel2425678910111213[[#This Row],[Coffee Latte vorige maand]]</f>
        <v>137</v>
      </c>
      <c r="Q8" s="11">
        <v>13512</v>
      </c>
      <c r="R8" s="11">
        <v>12295</v>
      </c>
      <c r="S8">
        <f>Tabel2425678910111213[[#This Row],[Stand Hot Water einde maand]]-Tabel2425678910111213[[#This Row],[Hot Water vorige maand]]</f>
        <v>1217</v>
      </c>
      <c r="T8" s="11">
        <v>6895</v>
      </c>
      <c r="U8" s="11">
        <v>6353</v>
      </c>
      <c r="V8">
        <f>Tabel2425678910111213[[#This Row],[Stand Cappucino einde maand]]-Tabel2425678910111213[[#This Row],[Stand Cappucino vorige maand]]</f>
        <v>542</v>
      </c>
      <c r="W8" s="11">
        <v>574</v>
      </c>
      <c r="X8" s="11">
        <v>566</v>
      </c>
      <c r="Y8">
        <f>Tabel2425678910111213[[#This Row],[Stand Cappucino Plantaardig einde maand]]-Tabel2425678910111213[[#This Row],[Stand Cappucino Plantaardig vorige maand]]</f>
        <v>8</v>
      </c>
      <c r="Z8" s="11">
        <v>94</v>
      </c>
      <c r="AA8" s="11">
        <v>85</v>
      </c>
      <c r="AB8" s="12">
        <f>Tabel2425678910111213[[#This Row],[Stand Latte Macchiato Plantaardig einde maand]]-Tabel2425678910111213[[#This Row],[Stand Latte Macchiato Plantaardig vorige maand]]</f>
        <v>9</v>
      </c>
      <c r="AC8" s="3">
        <f>Tabel2425678910111213[[#This Row],[Verbruik Stand Latte Macchiato Plantaardig deze maand]]+Tabel2425678910111213[[#This Row],[Verbruik  Cappucino Plantaardig deze maand]]+Tabel2425678910111213[[#This Row],[Verbruik Cappucino deze maand]]+Tabel2425678910111213[[#This Row],[Verbruik Hot Water deze maand]]+Tabel2425678910111213[[#This Row],[Verbruik Coffee Latte deze maand]]+Tabel2425678910111213[[#This Row],[Verbruik Latte Macchiato deze maand]]+Tabel2425678910111213[[#This Row],[Verbruik Espresso deze maand]]+Tabel2425678910111213[[#This Row],[Verbruik Coffee deze maand]]</f>
        <v>2883</v>
      </c>
      <c r="AD8" s="26"/>
      <c r="AE8" s="26"/>
      <c r="AF8" s="5"/>
      <c r="AG8" s="5"/>
      <c r="AH8" s="26"/>
      <c r="AI8" s="26"/>
      <c r="AJ8" s="5"/>
      <c r="AK8" s="5"/>
      <c r="AL8" s="26"/>
      <c r="AM8" s="26"/>
      <c r="AN8" s="5"/>
      <c r="AO8" s="5"/>
      <c r="AP8" s="26"/>
      <c r="AQ8" s="26"/>
      <c r="AR8" s="5"/>
      <c r="AS8" s="5"/>
      <c r="AT8" s="26"/>
      <c r="AU8" s="26"/>
      <c r="AV8" s="5"/>
      <c r="AW8" s="21"/>
      <c r="AX8" s="8"/>
      <c r="AY8" s="4">
        <f>Tabel2425678910111213[[#This Row],[Subtotaal waterbar in consumpties]]+Tabel2425678910111213[[#This Row],[Subtotaal koffieautomaten]]</f>
        <v>2883</v>
      </c>
    </row>
    <row r="9" spans="1:51" x14ac:dyDescent="0.25">
      <c r="A9" t="s">
        <v>41</v>
      </c>
      <c r="B9" t="s">
        <v>42</v>
      </c>
      <c r="C9" t="s">
        <v>31</v>
      </c>
      <c r="E9" s="11">
        <v>4336</v>
      </c>
      <c r="F9" s="11">
        <v>4070</v>
      </c>
      <c r="G9" s="12">
        <f>Tabel2425678910111213[[#This Row],[Stand Coffee einde maand]]-Tabel2425678910111213[[#This Row],[Coffee vorige maand]]</f>
        <v>266</v>
      </c>
      <c r="H9" s="11">
        <v>1146</v>
      </c>
      <c r="I9" s="11">
        <v>1087</v>
      </c>
      <c r="J9" s="12">
        <f>Tabel2425678910111213[[#This Row],[Stand Espresso Einde maand]]-Tabel2425678910111213[[#This Row],[Espresso vorige maand]]</f>
        <v>59</v>
      </c>
      <c r="K9" s="11">
        <v>1325</v>
      </c>
      <c r="L9" s="11">
        <v>1257</v>
      </c>
      <c r="M9">
        <f>Tabel2425678910111213[[#This Row],[Stand Latte Macchiato einde maand]]-Tabel2425678910111213[[#This Row],[Latte Macchiato vorige maand]]</f>
        <v>68</v>
      </c>
      <c r="N9" s="11">
        <v>642</v>
      </c>
      <c r="O9" s="11">
        <v>615</v>
      </c>
      <c r="P9">
        <f>Tabel2425678910111213[[#This Row],[Stand Coffee Latte einde maand]]-Tabel2425678910111213[[#This Row],[Coffee Latte vorige maand]]</f>
        <v>27</v>
      </c>
      <c r="Q9" s="11">
        <v>13815</v>
      </c>
      <c r="R9" s="11">
        <v>12763</v>
      </c>
      <c r="S9">
        <f>Tabel2425678910111213[[#This Row],[Stand Hot Water einde maand]]-Tabel2425678910111213[[#This Row],[Hot Water vorige maand]]</f>
        <v>1052</v>
      </c>
      <c r="T9" s="11">
        <v>3050</v>
      </c>
      <c r="U9" s="11">
        <v>2852</v>
      </c>
      <c r="V9">
        <f>Tabel2425678910111213[[#This Row],[Stand Cappucino einde maand]]-Tabel2425678910111213[[#This Row],[Stand Cappucino vorige maand]]</f>
        <v>198</v>
      </c>
      <c r="W9" s="11">
        <v>780</v>
      </c>
      <c r="X9" s="11">
        <v>738</v>
      </c>
      <c r="Y9">
        <f>Tabel2425678910111213[[#This Row],[Stand Cappucino Plantaardig einde maand]]-Tabel2425678910111213[[#This Row],[Stand Cappucino Plantaardig vorige maand]]</f>
        <v>42</v>
      </c>
      <c r="Z9" s="11">
        <v>349</v>
      </c>
      <c r="AA9" s="11">
        <v>320</v>
      </c>
      <c r="AB9" s="12">
        <f>Tabel2425678910111213[[#This Row],[Stand Latte Macchiato Plantaardig einde maand]]-Tabel2425678910111213[[#This Row],[Stand Latte Macchiato Plantaardig vorige maand]]</f>
        <v>29</v>
      </c>
      <c r="AC9" s="3">
        <f>Tabel2425678910111213[[#This Row],[Verbruik Stand Latte Macchiato Plantaardig deze maand]]+Tabel2425678910111213[[#This Row],[Verbruik  Cappucino Plantaardig deze maand]]+Tabel2425678910111213[[#This Row],[Verbruik Cappucino deze maand]]+Tabel2425678910111213[[#This Row],[Verbruik Hot Water deze maand]]+Tabel2425678910111213[[#This Row],[Verbruik Coffee Latte deze maand]]+Tabel2425678910111213[[#This Row],[Verbruik Latte Macchiato deze maand]]+Tabel2425678910111213[[#This Row],[Verbruik Espresso deze maand]]+Tabel2425678910111213[[#This Row],[Verbruik Coffee deze maand]]</f>
        <v>1741</v>
      </c>
      <c r="AD9" s="26"/>
      <c r="AE9" s="26"/>
      <c r="AF9" s="5"/>
      <c r="AG9" s="5"/>
      <c r="AH9" s="26"/>
      <c r="AI9" s="26"/>
      <c r="AJ9" s="5"/>
      <c r="AK9" s="5"/>
      <c r="AL9" s="26"/>
      <c r="AM9" s="26"/>
      <c r="AN9" s="5"/>
      <c r="AO9" s="5"/>
      <c r="AP9" s="26"/>
      <c r="AQ9" s="26"/>
      <c r="AR9" s="5"/>
      <c r="AS9" s="5"/>
      <c r="AT9" s="26"/>
      <c r="AU9" s="26"/>
      <c r="AV9" s="5"/>
      <c r="AW9" s="21"/>
      <c r="AX9" s="8"/>
      <c r="AY9" s="4">
        <f>Tabel2425678910111213[[#This Row],[Subtotaal waterbar in consumpties]]+Tabel2425678910111213[[#This Row],[Subtotaal koffieautomaten]]</f>
        <v>1741</v>
      </c>
    </row>
    <row r="10" spans="1:51" x14ac:dyDescent="0.25">
      <c r="A10" t="s">
        <v>43</v>
      </c>
      <c r="B10" t="s">
        <v>44</v>
      </c>
      <c r="C10" t="s">
        <v>31</v>
      </c>
      <c r="E10" s="11">
        <v>6331</v>
      </c>
      <c r="F10" s="11">
        <v>5885</v>
      </c>
      <c r="G10" s="12">
        <f>Tabel2425678910111213[[#This Row],[Stand Coffee einde maand]]-Tabel2425678910111213[[#This Row],[Coffee vorige maand]]</f>
        <v>446</v>
      </c>
      <c r="H10" s="11">
        <v>1229</v>
      </c>
      <c r="I10" s="11">
        <v>1150</v>
      </c>
      <c r="J10" s="12">
        <f>Tabel2425678910111213[[#This Row],[Stand Espresso Einde maand]]-Tabel2425678910111213[[#This Row],[Espresso vorige maand]]</f>
        <v>79</v>
      </c>
      <c r="K10" s="11">
        <v>512</v>
      </c>
      <c r="L10" s="11">
        <v>495</v>
      </c>
      <c r="M10">
        <f>Tabel2425678910111213[[#This Row],[Stand Latte Macchiato einde maand]]-Tabel2425678910111213[[#This Row],[Latte Macchiato vorige maand]]</f>
        <v>17</v>
      </c>
      <c r="N10" s="11">
        <v>527</v>
      </c>
      <c r="O10" s="11">
        <v>484</v>
      </c>
      <c r="P10">
        <f>Tabel2425678910111213[[#This Row],[Stand Coffee Latte einde maand]]-Tabel2425678910111213[[#This Row],[Coffee Latte vorige maand]]</f>
        <v>43</v>
      </c>
      <c r="Q10" s="11">
        <v>11092</v>
      </c>
      <c r="R10" s="11">
        <v>10178</v>
      </c>
      <c r="S10">
        <f>Tabel2425678910111213[[#This Row],[Stand Hot Water einde maand]]-Tabel2425678910111213[[#This Row],[Hot Water vorige maand]]</f>
        <v>914</v>
      </c>
      <c r="T10" s="11">
        <v>3430</v>
      </c>
      <c r="U10" s="11">
        <v>3189</v>
      </c>
      <c r="V10">
        <f>Tabel2425678910111213[[#This Row],[Stand Cappucino einde maand]]-Tabel2425678910111213[[#This Row],[Stand Cappucino vorige maand]]</f>
        <v>241</v>
      </c>
      <c r="W10" s="11">
        <v>961</v>
      </c>
      <c r="X10" s="11">
        <v>911</v>
      </c>
      <c r="Y10">
        <f>Tabel2425678910111213[[#This Row],[Stand Cappucino Plantaardig einde maand]]-Tabel2425678910111213[[#This Row],[Stand Cappucino Plantaardig vorige maand]]</f>
        <v>50</v>
      </c>
      <c r="Z10" s="11">
        <v>591</v>
      </c>
      <c r="AA10" s="11">
        <v>552</v>
      </c>
      <c r="AB10" s="12">
        <f>Tabel2425678910111213[[#This Row],[Stand Latte Macchiato Plantaardig einde maand]]-Tabel2425678910111213[[#This Row],[Stand Latte Macchiato Plantaardig vorige maand]]</f>
        <v>39</v>
      </c>
      <c r="AC10" s="3">
        <f>Tabel2425678910111213[[#This Row],[Verbruik Stand Latte Macchiato Plantaardig deze maand]]+Tabel2425678910111213[[#This Row],[Verbruik  Cappucino Plantaardig deze maand]]+Tabel2425678910111213[[#This Row],[Verbruik Cappucino deze maand]]+Tabel2425678910111213[[#This Row],[Verbruik Hot Water deze maand]]+Tabel2425678910111213[[#This Row],[Verbruik Coffee Latte deze maand]]+Tabel2425678910111213[[#This Row],[Verbruik Latte Macchiato deze maand]]+Tabel2425678910111213[[#This Row],[Verbruik Espresso deze maand]]+Tabel2425678910111213[[#This Row],[Verbruik Coffee deze maand]]</f>
        <v>1829</v>
      </c>
      <c r="AD10" s="26"/>
      <c r="AE10" s="26"/>
      <c r="AF10" s="5"/>
      <c r="AG10" s="7"/>
      <c r="AH10" s="26"/>
      <c r="AI10" s="26"/>
      <c r="AJ10" s="5"/>
      <c r="AK10" s="5"/>
      <c r="AL10" s="26"/>
      <c r="AM10" s="26"/>
      <c r="AN10" s="5"/>
      <c r="AO10" s="5"/>
      <c r="AP10" s="26"/>
      <c r="AQ10" s="26"/>
      <c r="AR10" s="5"/>
      <c r="AS10" s="5"/>
      <c r="AT10" s="26"/>
      <c r="AU10" s="26"/>
      <c r="AV10" s="5"/>
      <c r="AW10" s="21"/>
      <c r="AX10" s="8"/>
      <c r="AY10" s="4">
        <f>Tabel2425678910111213[[#This Row],[Subtotaal waterbar in consumpties]]+Tabel2425678910111213[[#This Row],[Subtotaal koffieautomaten]]</f>
        <v>1829</v>
      </c>
    </row>
    <row r="11" spans="1:51" x14ac:dyDescent="0.25">
      <c r="A11" t="s">
        <v>45</v>
      </c>
      <c r="B11" t="s">
        <v>46</v>
      </c>
      <c r="C11" t="s">
        <v>47</v>
      </c>
      <c r="E11" s="11">
        <v>9919</v>
      </c>
      <c r="F11" s="11">
        <v>9330</v>
      </c>
      <c r="G11" s="12">
        <f>Tabel2425678910111213[[#This Row],[Stand Coffee einde maand]]-Tabel2425678910111213[[#This Row],[Coffee vorige maand]]</f>
        <v>589</v>
      </c>
      <c r="H11" s="11">
        <v>987</v>
      </c>
      <c r="I11" s="11">
        <v>921</v>
      </c>
      <c r="J11" s="12">
        <f>Tabel2425678910111213[[#This Row],[Stand Espresso Einde maand]]-Tabel2425678910111213[[#This Row],[Espresso vorige maand]]</f>
        <v>66</v>
      </c>
      <c r="K11" s="11">
        <v>720</v>
      </c>
      <c r="L11" s="11">
        <v>669</v>
      </c>
      <c r="M11">
        <f>Tabel2425678910111213[[#This Row],[Stand Latte Macchiato einde maand]]-Tabel2425678910111213[[#This Row],[Latte Macchiato vorige maand]]</f>
        <v>51</v>
      </c>
      <c r="N11" s="11">
        <v>371</v>
      </c>
      <c r="O11" s="11">
        <v>669</v>
      </c>
      <c r="P11">
        <f>Tabel2425678910111213[[#This Row],[Stand Coffee Latte einde maand]]-Tabel2425678910111213[[#This Row],[Coffee Latte vorige maand]]</f>
        <v>-298</v>
      </c>
      <c r="Q11" s="11">
        <v>1</v>
      </c>
      <c r="R11" s="11">
        <v>1</v>
      </c>
      <c r="S11">
        <f>Tabel2425678910111213[[#This Row],[Stand Hot Water einde maand]]-Tabel2425678910111213[[#This Row],[Hot Water vorige maand]]</f>
        <v>0</v>
      </c>
      <c r="T11" s="11">
        <v>3340</v>
      </c>
      <c r="U11" s="11">
        <v>3114</v>
      </c>
      <c r="V11">
        <f>Tabel2425678910111213[[#This Row],[Stand Cappucino einde maand]]-Tabel2425678910111213[[#This Row],[Stand Cappucino vorige maand]]</f>
        <v>226</v>
      </c>
      <c r="W11" s="11">
        <v>1518</v>
      </c>
      <c r="X11" s="11">
        <v>1434</v>
      </c>
      <c r="Y11">
        <f>Tabel2425678910111213[[#This Row],[Stand Cappucino Plantaardig einde maand]]-Tabel2425678910111213[[#This Row],[Stand Cappucino Plantaardig vorige maand]]</f>
        <v>84</v>
      </c>
      <c r="Z11" s="11">
        <v>487</v>
      </c>
      <c r="AA11" s="11">
        <v>434</v>
      </c>
      <c r="AB11" s="12">
        <f>Tabel2425678910111213[[#This Row],[Stand Latte Macchiato Plantaardig einde maand]]-Tabel2425678910111213[[#This Row],[Stand Latte Macchiato Plantaardig vorige maand]]</f>
        <v>53</v>
      </c>
      <c r="AC11" s="3">
        <f>Tabel2425678910111213[[#This Row],[Verbruik Stand Latte Macchiato Plantaardig deze maand]]+Tabel2425678910111213[[#This Row],[Verbruik  Cappucino Plantaardig deze maand]]+Tabel2425678910111213[[#This Row],[Verbruik Cappucino deze maand]]+Tabel2425678910111213[[#This Row],[Verbruik Hot Water deze maand]]+Tabel2425678910111213[[#This Row],[Verbruik Coffee Latte deze maand]]+Tabel2425678910111213[[#This Row],[Verbruik Latte Macchiato deze maand]]+Tabel2425678910111213[[#This Row],[Verbruik Espresso deze maand]]+Tabel2425678910111213[[#This Row],[Verbruik Coffee deze maand]]</f>
        <v>771</v>
      </c>
      <c r="AD11" s="11">
        <v>291.60000000000002</v>
      </c>
      <c r="AE11" s="11">
        <v>279.89999999999998</v>
      </c>
      <c r="AF11">
        <f>Tabel2425678910111213[[#This Row],[Stand Kamertemp liter einde maand]]-Tabel2425678910111213[[#This Row],[Stand Kamertemp liter vorige maand]]</f>
        <v>11.700000000000045</v>
      </c>
      <c r="AG11" s="2">
        <f>Tabel2425678910111213[[#This Row],[Verbruik Kamertemp liter deze maand]]/0.15</f>
        <v>78.000000000000313</v>
      </c>
      <c r="AH11" s="11">
        <v>1907.4</v>
      </c>
      <c r="AI11" s="11">
        <v>1812.7</v>
      </c>
      <c r="AJ11">
        <f>Tabel2425678910111213[[#This Row],[Stand Gekoeld liter einde maand]]-Tabel2425678910111213[[#This Row],[Stand Gekoeld liter vorige maand]]</f>
        <v>94.700000000000045</v>
      </c>
      <c r="AK11" s="2">
        <f>Tabel2425678910111213[[#This Row],[Verbruik Gekoeld liter deze maand]]/0.15</f>
        <v>631.33333333333371</v>
      </c>
      <c r="AL11" s="11">
        <v>1662.7</v>
      </c>
      <c r="AM11" s="11">
        <v>1599</v>
      </c>
      <c r="AN11">
        <f>Tabel2425678910111213[[#This Row],[Stand Bruisend liter einde maand]]-Tabel2425678910111213[[#This Row],[Stand Bruisend liter vorige maand]]</f>
        <v>63.700000000000045</v>
      </c>
      <c r="AO11" s="2">
        <f>Tabel2425678910111213[[#This Row],[Verbruik Bruisend liter deze maand]]/0.15</f>
        <v>424.66666666666697</v>
      </c>
      <c r="AP11" s="11">
        <v>710.2</v>
      </c>
      <c r="AQ11" s="11">
        <v>681.5</v>
      </c>
      <c r="AR11">
        <f>Tabel2425678910111213[[#This Row],[Stand licht bruisend liter einde maand]]-Tabel2425678910111213[[#This Row],[Stand licht bruisend liter vorige maand]]</f>
        <v>28.700000000000045</v>
      </c>
      <c r="AS11" s="2">
        <f>Tabel2425678910111213[[#This Row],[Verbruik licht bruisend liter deze maand]]/0.15</f>
        <v>191.33333333333366</v>
      </c>
      <c r="AT11" s="11">
        <v>4557.1000000000004</v>
      </c>
      <c r="AU11" s="11">
        <v>4176</v>
      </c>
      <c r="AV11">
        <f>Tabel2425678910111213[[#This Row],[Stand heet water liter einde maand]]-Tabel2425678910111213[[#This Row],[Stand heet water liter vorige maand]]</f>
        <v>381.10000000000036</v>
      </c>
      <c r="AW11" s="20">
        <f>Tabel2425678910111213[[#This Row],[Verbruik heet Water liter deze maand ]]/0.15</f>
        <v>2540.6666666666692</v>
      </c>
      <c r="AX11" s="4">
        <f>Tabel2425678910111213[[#This Row],[Aantal consumpties heet water deze maand]]+Tabel2425678910111213[[#This Row],[Aantal consumpties licht bruisend water deze maand]]+Tabel2425678910111213[[#This Row],[aantal consumpties Bruisend water deze maand]]+Tabel2425678910111213[[#This Row],[Aantal consumpties gekoeld water deze maand]]+Tabel2425678910111213[[#This Row],[Aantal consumpties Kamertemp deze maand]]</f>
        <v>3866.0000000000041</v>
      </c>
      <c r="AY11" s="4">
        <f>Tabel2425678910111213[[#This Row],[Subtotaal waterbar in consumpties]]+Tabel2425678910111213[[#This Row],[Subtotaal koffieautomaten]]</f>
        <v>4637.0000000000036</v>
      </c>
    </row>
    <row r="12" spans="1:51" x14ac:dyDescent="0.25">
      <c r="A12" t="s">
        <v>48</v>
      </c>
      <c r="B12" t="s">
        <v>49</v>
      </c>
      <c r="C12" t="s">
        <v>31</v>
      </c>
      <c r="E12" s="11">
        <v>10369</v>
      </c>
      <c r="F12" s="11">
        <v>9662</v>
      </c>
      <c r="G12" s="12">
        <f>Tabel2425678910111213[[#This Row],[Stand Coffee einde maand]]-Tabel2425678910111213[[#This Row],[Coffee vorige maand]]</f>
        <v>707</v>
      </c>
      <c r="H12" s="11">
        <v>2988</v>
      </c>
      <c r="I12" s="11">
        <v>2797</v>
      </c>
      <c r="J12" s="12">
        <f>Tabel2425678910111213[[#This Row],[Stand Espresso Einde maand]]-Tabel2425678910111213[[#This Row],[Espresso vorige maand]]</f>
        <v>191</v>
      </c>
      <c r="K12" s="11">
        <v>885</v>
      </c>
      <c r="L12" s="11">
        <v>837</v>
      </c>
      <c r="M12">
        <f>Tabel2425678910111213[[#This Row],[Stand Latte Macchiato einde maand]]-Tabel2425678910111213[[#This Row],[Latte Macchiato vorige maand]]</f>
        <v>48</v>
      </c>
      <c r="N12" s="11">
        <v>157</v>
      </c>
      <c r="O12" s="11">
        <v>140</v>
      </c>
      <c r="P12">
        <f>Tabel2425678910111213[[#This Row],[Stand Coffee Latte einde maand]]-Tabel2425678910111213[[#This Row],[Coffee Latte vorige maand]]</f>
        <v>17</v>
      </c>
      <c r="Q12" s="11">
        <v>25426</v>
      </c>
      <c r="R12" s="11">
        <v>23279</v>
      </c>
      <c r="S12">
        <f>Tabel2425678910111213[[#This Row],[Stand Hot Water einde maand]]-Tabel2425678910111213[[#This Row],[Hot Water vorige maand]]</f>
        <v>2147</v>
      </c>
      <c r="T12" s="11">
        <v>4846</v>
      </c>
      <c r="U12" s="11">
        <v>4439</v>
      </c>
      <c r="V12">
        <f>Tabel2425678910111213[[#This Row],[Stand Cappucino einde maand]]-Tabel2425678910111213[[#This Row],[Stand Cappucino vorige maand]]</f>
        <v>407</v>
      </c>
      <c r="W12" s="11">
        <v>1319</v>
      </c>
      <c r="X12" s="11">
        <v>1255</v>
      </c>
      <c r="Y12">
        <f>Tabel2425678910111213[[#This Row],[Stand Cappucino Plantaardig einde maand]]-Tabel2425678910111213[[#This Row],[Stand Cappucino Plantaardig vorige maand]]</f>
        <v>64</v>
      </c>
      <c r="Z12" s="11">
        <v>326</v>
      </c>
      <c r="AA12" s="11">
        <v>302</v>
      </c>
      <c r="AB12" s="12">
        <f>Tabel2425678910111213[[#This Row],[Stand Latte Macchiato Plantaardig einde maand]]-Tabel2425678910111213[[#This Row],[Stand Latte Macchiato Plantaardig vorige maand]]</f>
        <v>24</v>
      </c>
      <c r="AC12" s="3">
        <f>Tabel2425678910111213[[#This Row],[Verbruik Stand Latte Macchiato Plantaardig deze maand]]+Tabel2425678910111213[[#This Row],[Verbruik  Cappucino Plantaardig deze maand]]+Tabel2425678910111213[[#This Row],[Verbruik Cappucino deze maand]]+Tabel2425678910111213[[#This Row],[Verbruik Hot Water deze maand]]+Tabel2425678910111213[[#This Row],[Verbruik Coffee Latte deze maand]]+Tabel2425678910111213[[#This Row],[Verbruik Latte Macchiato deze maand]]+Tabel2425678910111213[[#This Row],[Verbruik Espresso deze maand]]+Tabel2425678910111213[[#This Row],[Verbruik Coffee deze maand]]</f>
        <v>3605</v>
      </c>
      <c r="AD12" s="26"/>
      <c r="AE12" s="26"/>
      <c r="AF12" s="5"/>
      <c r="AG12" s="7"/>
      <c r="AH12" s="26"/>
      <c r="AI12" s="26"/>
      <c r="AJ12" s="5"/>
      <c r="AK12" s="7"/>
      <c r="AL12" s="26"/>
      <c r="AM12" s="26"/>
      <c r="AN12" s="5"/>
      <c r="AO12" s="5"/>
      <c r="AP12" s="26"/>
      <c r="AQ12" s="26"/>
      <c r="AR12" s="5"/>
      <c r="AS12" s="7"/>
      <c r="AT12" s="26"/>
      <c r="AU12" s="26"/>
      <c r="AV12" s="5"/>
      <c r="AW12" s="21"/>
      <c r="AX12" s="8"/>
      <c r="AY12" s="4">
        <f>Tabel2425678910111213[[#This Row],[Subtotaal waterbar in consumpties]]+Tabel2425678910111213[[#This Row],[Subtotaal koffieautomaten]]</f>
        <v>3605</v>
      </c>
    </row>
    <row r="13" spans="1:51" x14ac:dyDescent="0.25">
      <c r="A13" t="s">
        <v>50</v>
      </c>
      <c r="B13" t="s">
        <v>51</v>
      </c>
      <c r="C13" t="s">
        <v>47</v>
      </c>
      <c r="E13" s="11">
        <v>7807</v>
      </c>
      <c r="F13" s="11">
        <v>7290</v>
      </c>
      <c r="G13" s="12">
        <f>Tabel2425678910111213[[#This Row],[Stand Coffee einde maand]]-Tabel2425678910111213[[#This Row],[Coffee vorige maand]]</f>
        <v>517</v>
      </c>
      <c r="H13" s="11">
        <v>1713</v>
      </c>
      <c r="I13" s="11">
        <v>1646</v>
      </c>
      <c r="J13" s="12">
        <f>Tabel2425678910111213[[#This Row],[Stand Espresso Einde maand]]-Tabel2425678910111213[[#This Row],[Espresso vorige maand]]</f>
        <v>67</v>
      </c>
      <c r="K13" s="11">
        <v>954</v>
      </c>
      <c r="L13" s="11">
        <v>910</v>
      </c>
      <c r="M13">
        <f>Tabel2425678910111213[[#This Row],[Stand Latte Macchiato einde maand]]-Tabel2425678910111213[[#This Row],[Latte Macchiato vorige maand]]</f>
        <v>44</v>
      </c>
      <c r="N13" s="11">
        <v>880</v>
      </c>
      <c r="O13" s="11">
        <v>836</v>
      </c>
      <c r="P13">
        <f>Tabel2425678910111213[[#This Row],[Stand Coffee Latte einde maand]]-Tabel2425678910111213[[#This Row],[Coffee Latte vorige maand]]</f>
        <v>44</v>
      </c>
      <c r="Q13" s="11">
        <v>1</v>
      </c>
      <c r="R13" s="11">
        <v>1</v>
      </c>
      <c r="S13">
        <f>Tabel2425678910111213[[#This Row],[Stand Hot Water einde maand]]-Tabel2425678910111213[[#This Row],[Hot Water vorige maand]]</f>
        <v>0</v>
      </c>
      <c r="T13" s="11">
        <v>3744</v>
      </c>
      <c r="U13" s="11">
        <v>3457</v>
      </c>
      <c r="V13">
        <f>Tabel2425678910111213[[#This Row],[Stand Cappucino einde maand]]-Tabel2425678910111213[[#This Row],[Stand Cappucino vorige maand]]</f>
        <v>287</v>
      </c>
      <c r="W13" s="11">
        <v>924</v>
      </c>
      <c r="X13" s="11">
        <v>905</v>
      </c>
      <c r="Y13">
        <f>Tabel2425678910111213[[#This Row],[Stand Cappucino Plantaardig einde maand]]-Tabel2425678910111213[[#This Row],[Stand Cappucino Plantaardig vorige maand]]</f>
        <v>19</v>
      </c>
      <c r="Z13" s="11">
        <v>317</v>
      </c>
      <c r="AA13" s="11">
        <v>304</v>
      </c>
      <c r="AB13" s="12">
        <f>Tabel2425678910111213[[#This Row],[Stand Latte Macchiato Plantaardig einde maand]]-Tabel2425678910111213[[#This Row],[Stand Latte Macchiato Plantaardig vorige maand]]</f>
        <v>13</v>
      </c>
      <c r="AC13" s="3">
        <f>Tabel2425678910111213[[#This Row],[Verbruik Stand Latte Macchiato Plantaardig deze maand]]+Tabel2425678910111213[[#This Row],[Verbruik  Cappucino Plantaardig deze maand]]+Tabel2425678910111213[[#This Row],[Verbruik Cappucino deze maand]]+Tabel2425678910111213[[#This Row],[Verbruik Hot Water deze maand]]+Tabel2425678910111213[[#This Row],[Verbruik Coffee Latte deze maand]]+Tabel2425678910111213[[#This Row],[Verbruik Latte Macchiato deze maand]]+Tabel2425678910111213[[#This Row],[Verbruik Espresso deze maand]]+Tabel2425678910111213[[#This Row],[Verbruik Coffee deze maand]]</f>
        <v>991</v>
      </c>
      <c r="AD13" s="11">
        <v>217.6</v>
      </c>
      <c r="AE13" s="11">
        <v>206</v>
      </c>
      <c r="AF13">
        <f>Tabel2425678910111213[[#This Row],[Stand Kamertemp liter einde maand]]-Tabel2425678910111213[[#This Row],[Stand Kamertemp liter vorige maand]]</f>
        <v>11.599999999999994</v>
      </c>
      <c r="AG13" s="2">
        <f>Tabel2425678910111213[[#This Row],[Verbruik Kamertemp liter deze maand]]/0.15</f>
        <v>77.3333333333333</v>
      </c>
      <c r="AH13" s="11">
        <v>2194.8000000000002</v>
      </c>
      <c r="AI13" s="11">
        <v>2079.1999999999998</v>
      </c>
      <c r="AJ13">
        <f>Tabel2425678910111213[[#This Row],[Stand Gekoeld liter einde maand]]-Tabel2425678910111213[[#This Row],[Stand Gekoeld liter vorige maand]]</f>
        <v>115.60000000000036</v>
      </c>
      <c r="AK13" s="2">
        <f>Tabel2425678910111213[[#This Row],[Verbruik Gekoeld liter deze maand]]/0.15</f>
        <v>770.66666666666913</v>
      </c>
      <c r="AL13" s="11">
        <v>1515.2</v>
      </c>
      <c r="AM13" s="11">
        <v>1451</v>
      </c>
      <c r="AN13">
        <f>Tabel2425678910111213[[#This Row],[Stand Bruisend liter einde maand]]-Tabel2425678910111213[[#This Row],[Stand Bruisend liter vorige maand]]</f>
        <v>64.200000000000045</v>
      </c>
      <c r="AO13" s="2">
        <f>Tabel2425678910111213[[#This Row],[Verbruik Bruisend liter deze maand]]/0.15</f>
        <v>428.00000000000034</v>
      </c>
      <c r="AP13" s="11">
        <v>1228.5</v>
      </c>
      <c r="AQ13" s="11">
        <v>1132.7</v>
      </c>
      <c r="AR13">
        <f>Tabel2425678910111213[[#This Row],[Stand licht bruisend liter einde maand]]-Tabel2425678910111213[[#This Row],[Stand licht bruisend liter vorige maand]]</f>
        <v>95.799999999999955</v>
      </c>
      <c r="AS13" s="2">
        <f>Tabel2425678910111213[[#This Row],[Verbruik licht bruisend liter deze maand]]/0.15</f>
        <v>638.6666666666664</v>
      </c>
      <c r="AT13" s="11">
        <v>5304.4</v>
      </c>
      <c r="AU13" s="11">
        <v>4924.2</v>
      </c>
      <c r="AV13">
        <f>Tabel2425678910111213[[#This Row],[Stand heet water liter einde maand]]-Tabel2425678910111213[[#This Row],[Stand heet water liter vorige maand]]</f>
        <v>380.19999999999982</v>
      </c>
      <c r="AW13" s="20">
        <f>Tabel2425678910111213[[#This Row],[Verbruik heet Water liter deze maand ]]/0.15</f>
        <v>2534.6666666666656</v>
      </c>
      <c r="AX13" s="4">
        <f>Tabel2425678910111213[[#This Row],[Aantal consumpties heet water deze maand]]+Tabel2425678910111213[[#This Row],[Aantal consumpties licht bruisend water deze maand]]+Tabel2425678910111213[[#This Row],[aantal consumpties Bruisend water deze maand]]+Tabel2425678910111213[[#This Row],[Aantal consumpties gekoeld water deze maand]]+Tabel2425678910111213[[#This Row],[Aantal consumpties Kamertemp deze maand]]</f>
        <v>4449.3333333333348</v>
      </c>
      <c r="AY13" s="4">
        <f>Tabel2425678910111213[[#This Row],[Subtotaal waterbar in consumpties]]+Tabel2425678910111213[[#This Row],[Subtotaal koffieautomaten]]</f>
        <v>5440.3333333333348</v>
      </c>
    </row>
    <row r="14" spans="1:51" x14ac:dyDescent="0.25">
      <c r="A14" t="s">
        <v>52</v>
      </c>
      <c r="B14" t="s">
        <v>53</v>
      </c>
      <c r="C14" t="s">
        <v>31</v>
      </c>
      <c r="E14" s="11">
        <v>8015</v>
      </c>
      <c r="F14" s="11">
        <v>7445</v>
      </c>
      <c r="G14" s="12">
        <f>Tabel2425678910111213[[#This Row],[Stand Coffee einde maand]]-Tabel2425678910111213[[#This Row],[Coffee vorige maand]]</f>
        <v>570</v>
      </c>
      <c r="H14" s="11">
        <v>2104</v>
      </c>
      <c r="I14" s="11">
        <v>1981</v>
      </c>
      <c r="J14" s="12">
        <f>Tabel2425678910111213[[#This Row],[Stand Espresso Einde maand]]-Tabel2425678910111213[[#This Row],[Espresso vorige maand]]</f>
        <v>123</v>
      </c>
      <c r="K14" s="11">
        <v>559</v>
      </c>
      <c r="L14" s="11">
        <v>521</v>
      </c>
      <c r="M14">
        <f>Tabel2425678910111213[[#This Row],[Stand Latte Macchiato einde maand]]-Tabel2425678910111213[[#This Row],[Latte Macchiato vorige maand]]</f>
        <v>38</v>
      </c>
      <c r="N14" s="11">
        <v>436</v>
      </c>
      <c r="O14" s="11">
        <v>406</v>
      </c>
      <c r="P14">
        <f>Tabel2425678910111213[[#This Row],[Stand Coffee Latte einde maand]]-Tabel2425678910111213[[#This Row],[Coffee Latte vorige maand]]</f>
        <v>30</v>
      </c>
      <c r="Q14" s="11">
        <v>12678</v>
      </c>
      <c r="R14" s="11">
        <v>11106</v>
      </c>
      <c r="S14">
        <f>Tabel2425678910111213[[#This Row],[Stand Hot Water einde maand]]-Tabel2425678910111213[[#This Row],[Hot Water vorige maand]]</f>
        <v>1572</v>
      </c>
      <c r="T14" s="11">
        <v>3706</v>
      </c>
      <c r="U14" s="11">
        <v>3473</v>
      </c>
      <c r="V14">
        <f>Tabel2425678910111213[[#This Row],[Stand Cappucino einde maand]]-Tabel2425678910111213[[#This Row],[Stand Cappucino vorige maand]]</f>
        <v>233</v>
      </c>
      <c r="W14" s="11">
        <v>1072</v>
      </c>
      <c r="X14" s="11">
        <v>997</v>
      </c>
      <c r="Y14">
        <f>Tabel2425678910111213[[#This Row],[Stand Cappucino Plantaardig einde maand]]-Tabel2425678910111213[[#This Row],[Stand Cappucino Plantaardig vorige maand]]</f>
        <v>75</v>
      </c>
      <c r="Z14" s="11">
        <v>244</v>
      </c>
      <c r="AA14" s="11">
        <v>234</v>
      </c>
      <c r="AB14" s="12">
        <f>Tabel2425678910111213[[#This Row],[Stand Latte Macchiato Plantaardig einde maand]]-Tabel2425678910111213[[#This Row],[Stand Latte Macchiato Plantaardig vorige maand]]</f>
        <v>10</v>
      </c>
      <c r="AC14" s="3">
        <f>Tabel2425678910111213[[#This Row],[Verbruik Stand Latte Macchiato Plantaardig deze maand]]+Tabel2425678910111213[[#This Row],[Verbruik  Cappucino Plantaardig deze maand]]+Tabel2425678910111213[[#This Row],[Verbruik Cappucino deze maand]]+Tabel2425678910111213[[#This Row],[Verbruik Hot Water deze maand]]+Tabel2425678910111213[[#This Row],[Verbruik Coffee Latte deze maand]]+Tabel2425678910111213[[#This Row],[Verbruik Latte Macchiato deze maand]]+Tabel2425678910111213[[#This Row],[Verbruik Espresso deze maand]]+Tabel2425678910111213[[#This Row],[Verbruik Coffee deze maand]]</f>
        <v>2651</v>
      </c>
      <c r="AD14" s="26"/>
      <c r="AE14" s="26"/>
      <c r="AF14" s="5"/>
      <c r="AG14" s="7"/>
      <c r="AH14" s="26"/>
      <c r="AI14" s="26"/>
      <c r="AJ14" s="5"/>
      <c r="AK14" s="7"/>
      <c r="AL14" s="26"/>
      <c r="AM14" s="26"/>
      <c r="AN14" s="5"/>
      <c r="AO14" s="5"/>
      <c r="AP14" s="26"/>
      <c r="AQ14" s="26"/>
      <c r="AR14" s="5"/>
      <c r="AS14" s="7"/>
      <c r="AT14" s="26"/>
      <c r="AU14" s="26"/>
      <c r="AV14" s="5"/>
      <c r="AW14" s="21"/>
      <c r="AX14" s="8"/>
      <c r="AY14" s="4">
        <f>Tabel2425678910111213[[#This Row],[Subtotaal waterbar in consumpties]]+Tabel2425678910111213[[#This Row],[Subtotaal koffieautomaten]]</f>
        <v>2651</v>
      </c>
    </row>
    <row r="15" spans="1:51" x14ac:dyDescent="0.25">
      <c r="A15" t="s">
        <v>54</v>
      </c>
      <c r="B15" t="s">
        <v>55</v>
      </c>
      <c r="C15" t="s">
        <v>36</v>
      </c>
      <c r="E15" s="42"/>
      <c r="F15" s="42"/>
      <c r="G15" s="43"/>
      <c r="H15" s="42"/>
      <c r="I15" s="42"/>
      <c r="J15" s="43"/>
      <c r="K15" s="42"/>
      <c r="L15" s="42"/>
      <c r="M15" s="43"/>
      <c r="N15" s="42"/>
      <c r="O15" s="42"/>
      <c r="P15" s="43"/>
      <c r="Q15" s="42"/>
      <c r="R15" s="42"/>
      <c r="S15" s="43"/>
      <c r="T15" s="42"/>
      <c r="U15" s="42"/>
      <c r="V15" s="43"/>
      <c r="W15" s="42"/>
      <c r="X15" s="42"/>
      <c r="Y15" s="43"/>
      <c r="Z15" s="42"/>
      <c r="AA15" s="42"/>
      <c r="AB15" s="43"/>
      <c r="AC15" s="43"/>
      <c r="AD15" s="11">
        <v>189.1</v>
      </c>
      <c r="AE15" s="11">
        <v>165.9</v>
      </c>
      <c r="AF15">
        <f>Tabel2425678910111213[[#This Row],[Stand Kamertemp liter einde maand]]-Tabel2425678910111213[[#This Row],[Stand Kamertemp liter vorige maand]]</f>
        <v>23.199999999999989</v>
      </c>
      <c r="AG15" s="2">
        <f>Tabel2425678910111213[[#This Row],[Verbruik Kamertemp liter deze maand]]/0.15</f>
        <v>154.6666666666666</v>
      </c>
      <c r="AH15" s="25">
        <v>950.6</v>
      </c>
      <c r="AI15" s="25">
        <v>903.2</v>
      </c>
      <c r="AJ15">
        <f>Tabel2425678910111213[[#This Row],[Stand Gekoeld liter einde maand]]-Tabel2425678910111213[[#This Row],[Stand Gekoeld liter vorige maand]]</f>
        <v>47.399999999999977</v>
      </c>
      <c r="AK15" s="2">
        <f>Tabel2425678910111213[[#This Row],[Verbruik Gekoeld liter deze maand]]/0.15</f>
        <v>315.99999999999989</v>
      </c>
      <c r="AL15" s="25">
        <v>1148.0999999999999</v>
      </c>
      <c r="AM15" s="25">
        <v>986.8</v>
      </c>
      <c r="AN15">
        <f>Tabel2425678910111213[[#This Row],[Stand Bruisend liter einde maand]]-Tabel2425678910111213[[#This Row],[Stand Bruisend liter vorige maand]]</f>
        <v>161.29999999999995</v>
      </c>
      <c r="AO15" s="2">
        <f>Tabel2425678910111213[[#This Row],[Verbruik Bruisend liter deze maand]]/0.15</f>
        <v>1075.333333333333</v>
      </c>
      <c r="AP15" s="25">
        <v>395.1</v>
      </c>
      <c r="AQ15" s="25">
        <v>383</v>
      </c>
      <c r="AR15">
        <f>Tabel2425678910111213[[#This Row],[Stand licht bruisend liter einde maand]]-Tabel2425678910111213[[#This Row],[Stand licht bruisend liter vorige maand]]</f>
        <v>12.100000000000023</v>
      </c>
      <c r="AS15" s="2">
        <f>Tabel2425678910111213[[#This Row],[Verbruik licht bruisend liter deze maand]]/0.15</f>
        <v>80.666666666666828</v>
      </c>
      <c r="AT15" s="25">
        <v>2696.2</v>
      </c>
      <c r="AU15" s="25">
        <v>2458.9</v>
      </c>
      <c r="AV15">
        <f>Tabel2425678910111213[[#This Row],[Stand heet water liter einde maand]]-Tabel2425678910111213[[#This Row],[Stand heet water liter vorige maand]]</f>
        <v>237.29999999999973</v>
      </c>
      <c r="AW15" s="20">
        <f>Tabel2425678910111213[[#This Row],[Verbruik heet Water liter deze maand ]]/0.15</f>
        <v>1581.9999999999982</v>
      </c>
      <c r="AX15" s="4">
        <f>Tabel2425678910111213[[#This Row],[Aantal consumpties heet water deze maand]]+Tabel2425678910111213[[#This Row],[Aantal consumpties licht bruisend water deze maand]]+Tabel2425678910111213[[#This Row],[aantal consumpties Bruisend water deze maand]]+Tabel2425678910111213[[#This Row],[Aantal consumpties gekoeld water deze maand]]+Tabel2425678910111213[[#This Row],[Aantal consumpties Kamertemp deze maand]]</f>
        <v>3208.6666666666647</v>
      </c>
      <c r="AY15" s="4">
        <f>Tabel2425678910111213[[#This Row],[Subtotaal waterbar in consumpties]]+Tabel2425678910111213[[#This Row],[Subtotaal koffieautomaten]]</f>
        <v>3208.6666666666647</v>
      </c>
    </row>
    <row r="16" spans="1:51" x14ac:dyDescent="0.25">
      <c r="A16" t="s">
        <v>56</v>
      </c>
      <c r="B16" t="s">
        <v>57</v>
      </c>
      <c r="C16" t="s">
        <v>31</v>
      </c>
      <c r="E16" s="11">
        <v>10660</v>
      </c>
      <c r="F16" s="11">
        <v>9952</v>
      </c>
      <c r="G16" s="12">
        <f>Tabel2425678910111213[[#This Row],[Stand Coffee einde maand]]-Tabel2425678910111213[[#This Row],[Coffee vorige maand]]</f>
        <v>708</v>
      </c>
      <c r="H16" s="11">
        <v>2728</v>
      </c>
      <c r="I16" s="11">
        <v>2515</v>
      </c>
      <c r="J16" s="12">
        <f>Tabel2425678910111213[[#This Row],[Stand Espresso Einde maand]]-Tabel2425678910111213[[#This Row],[Espresso vorige maand]]</f>
        <v>213</v>
      </c>
      <c r="K16" s="11">
        <v>375</v>
      </c>
      <c r="L16" s="11">
        <v>355</v>
      </c>
      <c r="M16">
        <f>Tabel2425678910111213[[#This Row],[Stand Latte Macchiato einde maand]]-Tabel2425678910111213[[#This Row],[Latte Macchiato vorige maand]]</f>
        <v>20</v>
      </c>
      <c r="N16" s="11">
        <v>960</v>
      </c>
      <c r="O16" s="11">
        <v>914</v>
      </c>
      <c r="P16">
        <f>Tabel2425678910111213[[#This Row],[Stand Coffee Latte einde maand]]-Tabel2425678910111213[[#This Row],[Coffee Latte vorige maand]]</f>
        <v>46</v>
      </c>
      <c r="Q16" s="11">
        <v>17217</v>
      </c>
      <c r="R16" s="11">
        <v>15911</v>
      </c>
      <c r="S16">
        <f>Tabel2425678910111213[[#This Row],[Stand Hot Water einde maand]]-Tabel2425678910111213[[#This Row],[Hot Water vorige maand]]</f>
        <v>1306</v>
      </c>
      <c r="T16" s="11">
        <v>5765</v>
      </c>
      <c r="U16" s="11">
        <v>5397</v>
      </c>
      <c r="V16">
        <f>Tabel2425678910111213[[#This Row],[Stand Cappucino einde maand]]-Tabel2425678910111213[[#This Row],[Stand Cappucino vorige maand]]</f>
        <v>368</v>
      </c>
      <c r="W16" s="11">
        <v>1788</v>
      </c>
      <c r="X16" s="11">
        <v>1691</v>
      </c>
      <c r="Y16">
        <f>Tabel2425678910111213[[#This Row],[Stand Cappucino Plantaardig einde maand]]-Tabel2425678910111213[[#This Row],[Stand Cappucino Plantaardig vorige maand]]</f>
        <v>97</v>
      </c>
      <c r="Z16" s="11">
        <v>312</v>
      </c>
      <c r="AA16" s="11">
        <v>302</v>
      </c>
      <c r="AB16" s="12">
        <f>Tabel2425678910111213[[#This Row],[Stand Latte Macchiato Plantaardig einde maand]]-Tabel2425678910111213[[#This Row],[Stand Latte Macchiato Plantaardig vorige maand]]</f>
        <v>10</v>
      </c>
      <c r="AC16" s="3">
        <f>Tabel2425678910111213[[#This Row],[Verbruik Stand Latte Macchiato Plantaardig deze maand]]+Tabel2425678910111213[[#This Row],[Verbruik  Cappucino Plantaardig deze maand]]+Tabel2425678910111213[[#This Row],[Verbruik Cappucino deze maand]]+Tabel2425678910111213[[#This Row],[Verbruik Hot Water deze maand]]+Tabel2425678910111213[[#This Row],[Verbruik Coffee Latte deze maand]]+Tabel2425678910111213[[#This Row],[Verbruik Latte Macchiato deze maand]]+Tabel2425678910111213[[#This Row],[Verbruik Espresso deze maand]]+Tabel2425678910111213[[#This Row],[Verbruik Coffee deze maand]]</f>
        <v>2768</v>
      </c>
      <c r="AD16" s="26"/>
      <c r="AE16" s="26"/>
      <c r="AF16" s="5"/>
      <c r="AG16" s="7"/>
      <c r="AH16" s="26"/>
      <c r="AI16" s="26"/>
      <c r="AJ16" s="5"/>
      <c r="AK16" s="7"/>
      <c r="AL16" s="26"/>
      <c r="AM16" s="26"/>
      <c r="AN16" s="5"/>
      <c r="AO16" s="5"/>
      <c r="AP16" s="26"/>
      <c r="AQ16" s="26"/>
      <c r="AR16" s="5"/>
      <c r="AS16" s="7"/>
      <c r="AT16" s="26"/>
      <c r="AU16" s="26"/>
      <c r="AV16" s="5"/>
      <c r="AW16" s="21"/>
      <c r="AX16" s="8"/>
      <c r="AY16" s="4">
        <f>Tabel2425678910111213[[#This Row],[Subtotaal waterbar in consumpties]]+Tabel2425678910111213[[#This Row],[Subtotaal koffieautomaten]]</f>
        <v>2768</v>
      </c>
    </row>
    <row r="17" spans="1:51" x14ac:dyDescent="0.25">
      <c r="A17" t="s">
        <v>58</v>
      </c>
      <c r="B17" t="s">
        <v>59</v>
      </c>
      <c r="C17" t="s">
        <v>47</v>
      </c>
      <c r="E17" s="11">
        <v>8814</v>
      </c>
      <c r="F17" s="11">
        <v>8251</v>
      </c>
      <c r="G17" s="12">
        <f>Tabel2425678910111213[[#This Row],[Stand Coffee einde maand]]-Tabel2425678910111213[[#This Row],[Coffee vorige maand]]</f>
        <v>563</v>
      </c>
      <c r="H17" s="11">
        <v>1564</v>
      </c>
      <c r="I17" s="11">
        <v>1447</v>
      </c>
      <c r="J17" s="12">
        <f>Tabel2425678910111213[[#This Row],[Stand Espresso Einde maand]]-Tabel2425678910111213[[#This Row],[Espresso vorige maand]]</f>
        <v>117</v>
      </c>
      <c r="K17" s="11">
        <v>1053</v>
      </c>
      <c r="L17" s="11">
        <v>942</v>
      </c>
      <c r="M17">
        <f>Tabel2425678910111213[[#This Row],[Stand Latte Macchiato einde maand]]-Tabel2425678910111213[[#This Row],[Latte Macchiato vorige maand]]</f>
        <v>111</v>
      </c>
      <c r="N17" s="11">
        <v>243</v>
      </c>
      <c r="O17" s="11">
        <v>228</v>
      </c>
      <c r="P17">
        <f>Tabel2425678910111213[[#This Row],[Stand Coffee Latte einde maand]]-Tabel2425678910111213[[#This Row],[Coffee Latte vorige maand]]</f>
        <v>15</v>
      </c>
      <c r="Q17" s="11">
        <v>1</v>
      </c>
      <c r="R17" s="11">
        <v>1</v>
      </c>
      <c r="S17">
        <f>Tabel2425678910111213[[#This Row],[Stand Hot Water einde maand]]-Tabel2425678910111213[[#This Row],[Hot Water vorige maand]]</f>
        <v>0</v>
      </c>
      <c r="T17" s="11">
        <v>4142</v>
      </c>
      <c r="U17" s="11">
        <v>3886</v>
      </c>
      <c r="V17">
        <f>Tabel2425678910111213[[#This Row],[Stand Cappucino einde maand]]-Tabel2425678910111213[[#This Row],[Stand Cappucino vorige maand]]</f>
        <v>256</v>
      </c>
      <c r="W17" s="11">
        <v>2008</v>
      </c>
      <c r="X17" s="11">
        <v>1902</v>
      </c>
      <c r="Y17">
        <f>Tabel2425678910111213[[#This Row],[Stand Cappucino Plantaardig einde maand]]-Tabel2425678910111213[[#This Row],[Stand Cappucino Plantaardig vorige maand]]</f>
        <v>106</v>
      </c>
      <c r="Z17" s="11">
        <v>259</v>
      </c>
      <c r="AA17" s="11">
        <v>248</v>
      </c>
      <c r="AB17" s="12">
        <f>Tabel2425678910111213[[#This Row],[Stand Latte Macchiato Plantaardig einde maand]]-Tabel2425678910111213[[#This Row],[Stand Latte Macchiato Plantaardig vorige maand]]</f>
        <v>11</v>
      </c>
      <c r="AC17" s="3">
        <f>Tabel2425678910111213[[#This Row],[Verbruik Stand Latte Macchiato Plantaardig deze maand]]+Tabel2425678910111213[[#This Row],[Verbruik  Cappucino Plantaardig deze maand]]+Tabel2425678910111213[[#This Row],[Verbruik Cappucino deze maand]]+Tabel2425678910111213[[#This Row],[Verbruik Hot Water deze maand]]+Tabel2425678910111213[[#This Row],[Verbruik Coffee Latte deze maand]]+Tabel2425678910111213[[#This Row],[Verbruik Latte Macchiato deze maand]]+Tabel2425678910111213[[#This Row],[Verbruik Espresso deze maand]]+Tabel2425678910111213[[#This Row],[Verbruik Coffee deze maand]]</f>
        <v>1179</v>
      </c>
      <c r="AD17" s="11">
        <v>337</v>
      </c>
      <c r="AE17" s="11">
        <v>312.39999999999998</v>
      </c>
      <c r="AF17">
        <f>Tabel2425678910111213[[#This Row],[Stand Kamertemp liter einde maand]]-Tabel2425678910111213[[#This Row],[Stand Kamertemp liter vorige maand]]</f>
        <v>24.600000000000023</v>
      </c>
      <c r="AG17" s="2">
        <f>Tabel2425678910111213[[#This Row],[Verbruik Kamertemp liter deze maand]]/0.15</f>
        <v>164.00000000000017</v>
      </c>
      <c r="AH17" s="11">
        <v>1506.1</v>
      </c>
      <c r="AI17" s="11">
        <v>1498.9</v>
      </c>
      <c r="AJ17">
        <f>Tabel2425678910111213[[#This Row],[Stand Gekoeld liter einde maand]]-Tabel2425678910111213[[#This Row],[Stand Gekoeld liter vorige maand]]</f>
        <v>7.1999999999998181</v>
      </c>
      <c r="AK17" s="2">
        <f>Tabel2425678910111213[[#This Row],[Verbruik Gekoeld liter deze maand]]/0.15</f>
        <v>47.999999999998792</v>
      </c>
      <c r="AL17" s="11">
        <v>2019.4</v>
      </c>
      <c r="AM17" s="11">
        <v>1916</v>
      </c>
      <c r="AN17">
        <f>Tabel2425678910111213[[#This Row],[Stand Bruisend liter einde maand]]-Tabel2425678910111213[[#This Row],[Stand Bruisend liter vorige maand]]</f>
        <v>103.40000000000009</v>
      </c>
      <c r="AO17" s="2">
        <f>Tabel2425678910111213[[#This Row],[Verbruik Bruisend liter deze maand]]/0.15</f>
        <v>689.33333333333394</v>
      </c>
      <c r="AP17" s="11">
        <v>547.4</v>
      </c>
      <c r="AQ17" s="11">
        <v>512.70000000000005</v>
      </c>
      <c r="AR17">
        <f>Tabel2425678910111213[[#This Row],[Stand licht bruisend liter einde maand]]-Tabel2425678910111213[[#This Row],[Stand licht bruisend liter vorige maand]]</f>
        <v>34.699999999999932</v>
      </c>
      <c r="AS17" s="2">
        <f>Tabel2425678910111213[[#This Row],[Verbruik licht bruisend liter deze maand]]/0.15</f>
        <v>231.33333333333289</v>
      </c>
      <c r="AT17" s="11">
        <v>4156.8</v>
      </c>
      <c r="AU17" s="11">
        <v>3803</v>
      </c>
      <c r="AV17">
        <f>Tabel2425678910111213[[#This Row],[Stand heet water liter einde maand]]-Tabel2425678910111213[[#This Row],[Stand heet water liter vorige maand]]</f>
        <v>353.80000000000018</v>
      </c>
      <c r="AW17" s="20">
        <f>Tabel2425678910111213[[#This Row],[Verbruik heet Water liter deze maand ]]/0.15</f>
        <v>2358.6666666666679</v>
      </c>
      <c r="AX17" s="4">
        <f>Tabel2425678910111213[[#This Row],[Aantal consumpties heet water deze maand]]+Tabel2425678910111213[[#This Row],[Aantal consumpties licht bruisend water deze maand]]+Tabel2425678910111213[[#This Row],[aantal consumpties Bruisend water deze maand]]+Tabel2425678910111213[[#This Row],[Aantal consumpties gekoeld water deze maand]]+Tabel2425678910111213[[#This Row],[Aantal consumpties Kamertemp deze maand]]</f>
        <v>3491.3333333333335</v>
      </c>
      <c r="AY17" s="4">
        <f>Tabel2425678910111213[[#This Row],[Subtotaal waterbar in consumpties]]+Tabel2425678910111213[[#This Row],[Subtotaal koffieautomaten]]</f>
        <v>4670.3333333333339</v>
      </c>
    </row>
    <row r="18" spans="1:51" x14ac:dyDescent="0.25">
      <c r="A18" t="s">
        <v>60</v>
      </c>
      <c r="B18" t="s">
        <v>61</v>
      </c>
      <c r="C18" t="s">
        <v>31</v>
      </c>
      <c r="E18" s="11">
        <v>8851</v>
      </c>
      <c r="F18" s="11">
        <v>8291</v>
      </c>
      <c r="G18" s="12">
        <f>Tabel2425678910111213[[#This Row],[Stand Coffee einde maand]]-Tabel2425678910111213[[#This Row],[Coffee vorige maand]]</f>
        <v>560</v>
      </c>
      <c r="H18" s="11">
        <v>1401</v>
      </c>
      <c r="I18" s="11">
        <v>1233</v>
      </c>
      <c r="J18" s="12">
        <f>Tabel2425678910111213[[#This Row],[Stand Espresso Einde maand]]-Tabel2425678910111213[[#This Row],[Espresso vorige maand]]</f>
        <v>168</v>
      </c>
      <c r="K18" s="11">
        <v>692</v>
      </c>
      <c r="L18" s="11">
        <v>650</v>
      </c>
      <c r="M18">
        <f>Tabel2425678910111213[[#This Row],[Stand Latte Macchiato einde maand]]-Tabel2425678910111213[[#This Row],[Latte Macchiato vorige maand]]</f>
        <v>42</v>
      </c>
      <c r="N18" s="11">
        <v>191</v>
      </c>
      <c r="O18" s="11">
        <v>179</v>
      </c>
      <c r="P18">
        <f>Tabel2425678910111213[[#This Row],[Stand Coffee Latte einde maand]]-Tabel2425678910111213[[#This Row],[Coffee Latte vorige maand]]</f>
        <v>12</v>
      </c>
      <c r="Q18" s="11">
        <v>17248</v>
      </c>
      <c r="R18" s="11">
        <v>15874</v>
      </c>
      <c r="S18">
        <f>Tabel2425678910111213[[#This Row],[Stand Hot Water einde maand]]-Tabel2425678910111213[[#This Row],[Hot Water vorige maand]]</f>
        <v>1374</v>
      </c>
      <c r="T18" s="11">
        <v>5064</v>
      </c>
      <c r="U18" s="11">
        <v>4729</v>
      </c>
      <c r="V18">
        <f>Tabel2425678910111213[[#This Row],[Stand Cappucino einde maand]]-Tabel2425678910111213[[#This Row],[Stand Cappucino vorige maand]]</f>
        <v>335</v>
      </c>
      <c r="W18" s="11">
        <v>1009</v>
      </c>
      <c r="X18" s="11">
        <v>955</v>
      </c>
      <c r="Y18">
        <f>Tabel2425678910111213[[#This Row],[Stand Cappucino Plantaardig einde maand]]-Tabel2425678910111213[[#This Row],[Stand Cappucino Plantaardig vorige maand]]</f>
        <v>54</v>
      </c>
      <c r="Z18" s="11">
        <v>303</v>
      </c>
      <c r="AA18" s="11">
        <v>282</v>
      </c>
      <c r="AB18" s="12">
        <f>Tabel2425678910111213[[#This Row],[Stand Latte Macchiato Plantaardig einde maand]]-Tabel2425678910111213[[#This Row],[Stand Latte Macchiato Plantaardig vorige maand]]</f>
        <v>21</v>
      </c>
      <c r="AC18" s="3">
        <f>Tabel2425678910111213[[#This Row],[Verbruik Stand Latte Macchiato Plantaardig deze maand]]+Tabel2425678910111213[[#This Row],[Verbruik  Cappucino Plantaardig deze maand]]+Tabel2425678910111213[[#This Row],[Verbruik Cappucino deze maand]]+Tabel2425678910111213[[#This Row],[Verbruik Hot Water deze maand]]+Tabel2425678910111213[[#This Row],[Verbruik Coffee Latte deze maand]]+Tabel2425678910111213[[#This Row],[Verbruik Latte Macchiato deze maand]]+Tabel2425678910111213[[#This Row],[Verbruik Espresso deze maand]]+Tabel2425678910111213[[#This Row],[Verbruik Coffee deze maand]]</f>
        <v>2566</v>
      </c>
      <c r="AD18" s="26"/>
      <c r="AE18" s="26"/>
      <c r="AF18" s="5"/>
      <c r="AG18" s="7"/>
      <c r="AH18" s="26"/>
      <c r="AI18" s="26"/>
      <c r="AJ18" s="5"/>
      <c r="AK18" s="7"/>
      <c r="AL18" s="26"/>
      <c r="AM18" s="26"/>
      <c r="AN18" s="5"/>
      <c r="AO18" s="5"/>
      <c r="AP18" s="26"/>
      <c r="AQ18" s="26"/>
      <c r="AR18" s="5"/>
      <c r="AS18" s="7"/>
      <c r="AT18" s="26"/>
      <c r="AU18" s="26"/>
      <c r="AV18" s="5"/>
      <c r="AW18" s="21"/>
      <c r="AX18" s="8"/>
      <c r="AY18" s="4">
        <f>Tabel2425678910111213[[#This Row],[Subtotaal waterbar in consumpties]]+Tabel2425678910111213[[#This Row],[Subtotaal koffieautomaten]]</f>
        <v>2566</v>
      </c>
    </row>
    <row r="19" spans="1:51" x14ac:dyDescent="0.25">
      <c r="A19" s="28" t="s">
        <v>62</v>
      </c>
      <c r="B19" s="28" t="s">
        <v>63</v>
      </c>
      <c r="C19" s="28" t="s">
        <v>36</v>
      </c>
      <c r="D19" s="28"/>
      <c r="E19" s="42"/>
      <c r="F19" s="42"/>
      <c r="G19" s="43"/>
      <c r="H19" s="42"/>
      <c r="I19" s="42"/>
      <c r="J19" s="43"/>
      <c r="K19" s="42"/>
      <c r="L19" s="42"/>
      <c r="M19" s="43"/>
      <c r="N19" s="42"/>
      <c r="O19" s="42"/>
      <c r="P19" s="43"/>
      <c r="Q19" s="42"/>
      <c r="R19" s="42"/>
      <c r="S19" s="43"/>
      <c r="T19" s="42"/>
      <c r="U19" s="42"/>
      <c r="V19" s="43"/>
      <c r="W19" s="42"/>
      <c r="X19" s="42"/>
      <c r="Y19" s="43"/>
      <c r="Z19" s="42"/>
      <c r="AA19" s="42"/>
      <c r="AB19" s="43"/>
      <c r="AC19" s="43"/>
      <c r="AD19" s="11">
        <v>0.1</v>
      </c>
      <c r="AE19" s="11">
        <v>0</v>
      </c>
      <c r="AF19">
        <f>Tabel2425678910111213[[#This Row],[Stand Kamertemp liter einde maand]]-Tabel2425678910111213[[#This Row],[Stand Kamertemp liter vorige maand]]</f>
        <v>0.1</v>
      </c>
      <c r="AG19" s="2">
        <f>Tabel2425678910111213[[#This Row],[Verbruik Kamertemp liter deze maand]]/0.15</f>
        <v>0.66666666666666674</v>
      </c>
      <c r="AH19" s="25">
        <v>0.3</v>
      </c>
      <c r="AI19" s="25">
        <v>0</v>
      </c>
      <c r="AJ19">
        <f>Tabel2425678910111213[[#This Row],[Stand Gekoeld liter einde maand]]-Tabel2425678910111213[[#This Row],[Stand Gekoeld liter vorige maand]]</f>
        <v>0.3</v>
      </c>
      <c r="AK19" s="2">
        <f>Tabel2425678910111213[[#This Row],[Verbruik Gekoeld liter deze maand]]/0.15</f>
        <v>2</v>
      </c>
      <c r="AL19" s="25">
        <v>0.1</v>
      </c>
      <c r="AM19" s="25">
        <v>0</v>
      </c>
      <c r="AN19">
        <f>Tabel2425678910111213[[#This Row],[Stand Bruisend liter einde maand]]-Tabel2425678910111213[[#This Row],[Stand Bruisend liter vorige maand]]</f>
        <v>0.1</v>
      </c>
      <c r="AO19" s="2">
        <f>Tabel2425678910111213[[#This Row],[Verbruik Bruisend liter deze maand]]/0.15</f>
        <v>0.66666666666666674</v>
      </c>
      <c r="AP19" s="25">
        <v>0.2</v>
      </c>
      <c r="AQ19" s="25">
        <v>0</v>
      </c>
      <c r="AR19">
        <f>Tabel2425678910111213[[#This Row],[Stand licht bruisend liter einde maand]]-Tabel2425678910111213[[#This Row],[Stand licht bruisend liter vorige maand]]</f>
        <v>0.2</v>
      </c>
      <c r="AS19" s="2">
        <f>Tabel2425678910111213[[#This Row],[Verbruik licht bruisend liter deze maand]]/0.15</f>
        <v>1.3333333333333335</v>
      </c>
      <c r="AT19" s="25">
        <v>1.9</v>
      </c>
      <c r="AU19" s="25">
        <v>0</v>
      </c>
      <c r="AV19">
        <f>Tabel2425678910111213[[#This Row],[Stand heet water liter einde maand]]-Tabel2425678910111213[[#This Row],[Stand heet water liter vorige maand]]</f>
        <v>1.9</v>
      </c>
      <c r="AW19" s="20">
        <f>Tabel2425678910111213[[#This Row],[Verbruik heet Water liter deze maand ]]/0.15</f>
        <v>12.666666666666666</v>
      </c>
      <c r="AX19" s="4">
        <f>Tabel2425678910111213[[#This Row],[Aantal consumpties heet water deze maand]]+Tabel2425678910111213[[#This Row],[Aantal consumpties licht bruisend water deze maand]]+Tabel2425678910111213[[#This Row],[aantal consumpties Bruisend water deze maand]]+Tabel2425678910111213[[#This Row],[Aantal consumpties gekoeld water deze maand]]+Tabel2425678910111213[[#This Row],[Aantal consumpties Kamertemp deze maand]]</f>
        <v>17.333333333333332</v>
      </c>
      <c r="AY19" s="4">
        <f>Tabel2425678910111213[[#This Row],[Subtotaal waterbar in consumpties]]+Tabel2425678910111213[[#This Row],[Subtotaal koffieautomaten]]</f>
        <v>17.333333333333332</v>
      </c>
    </row>
    <row r="20" spans="1:51" x14ac:dyDescent="0.25">
      <c r="A20" t="s">
        <v>64</v>
      </c>
      <c r="B20" t="s">
        <v>65</v>
      </c>
      <c r="C20" t="s">
        <v>31</v>
      </c>
      <c r="E20" s="11">
        <v>9130</v>
      </c>
      <c r="F20" s="11">
        <v>8455</v>
      </c>
      <c r="G20" s="12">
        <f>Tabel2425678910111213[[#This Row],[Stand Coffee einde maand]]-Tabel2425678910111213[[#This Row],[Coffee vorige maand]]</f>
        <v>675</v>
      </c>
      <c r="H20" s="11">
        <v>2674</v>
      </c>
      <c r="I20" s="11">
        <v>2468</v>
      </c>
      <c r="J20" s="12">
        <f>Tabel2425678910111213[[#This Row],[Stand Espresso Einde maand]]-Tabel2425678910111213[[#This Row],[Espresso vorige maand]]</f>
        <v>206</v>
      </c>
      <c r="K20" s="11">
        <v>1098</v>
      </c>
      <c r="L20" s="11">
        <v>1041</v>
      </c>
      <c r="M20">
        <f>Tabel2425678910111213[[#This Row],[Stand Latte Macchiato einde maand]]-Tabel2425678910111213[[#This Row],[Latte Macchiato vorige maand]]</f>
        <v>57</v>
      </c>
      <c r="N20" s="11">
        <v>482</v>
      </c>
      <c r="O20" s="11">
        <v>434</v>
      </c>
      <c r="P20">
        <f>Tabel2425678910111213[[#This Row],[Stand Coffee Latte einde maand]]-Tabel2425678910111213[[#This Row],[Coffee Latte vorige maand]]</f>
        <v>48</v>
      </c>
      <c r="Q20" s="11">
        <v>18061</v>
      </c>
      <c r="R20" s="11">
        <v>16599</v>
      </c>
      <c r="S20">
        <f>Tabel2425678910111213[[#This Row],[Stand Hot Water einde maand]]-Tabel2425678910111213[[#This Row],[Hot Water vorige maand]]</f>
        <v>1462</v>
      </c>
      <c r="T20" s="11">
        <v>6351</v>
      </c>
      <c r="U20" s="11">
        <v>5857</v>
      </c>
      <c r="V20">
        <f>Tabel2425678910111213[[#This Row],[Stand Cappucino einde maand]]-Tabel2425678910111213[[#This Row],[Stand Cappucino vorige maand]]</f>
        <v>494</v>
      </c>
      <c r="W20" s="11">
        <v>1384</v>
      </c>
      <c r="X20" s="11">
        <v>1231</v>
      </c>
      <c r="Y20">
        <f>Tabel2425678910111213[[#This Row],[Stand Cappucino Plantaardig einde maand]]-Tabel2425678910111213[[#This Row],[Stand Cappucino Plantaardig vorige maand]]</f>
        <v>153</v>
      </c>
      <c r="Z20" s="11">
        <v>302</v>
      </c>
      <c r="AA20" s="11">
        <v>254</v>
      </c>
      <c r="AB20" s="12">
        <f>Tabel2425678910111213[[#This Row],[Stand Latte Macchiato Plantaardig einde maand]]-Tabel2425678910111213[[#This Row],[Stand Latte Macchiato Plantaardig vorige maand]]</f>
        <v>48</v>
      </c>
      <c r="AC20" s="3">
        <f>Tabel2425678910111213[[#This Row],[Verbruik Stand Latte Macchiato Plantaardig deze maand]]+Tabel2425678910111213[[#This Row],[Verbruik  Cappucino Plantaardig deze maand]]+Tabel2425678910111213[[#This Row],[Verbruik Cappucino deze maand]]+Tabel2425678910111213[[#This Row],[Verbruik Hot Water deze maand]]+Tabel2425678910111213[[#This Row],[Verbruik Coffee Latte deze maand]]+Tabel2425678910111213[[#This Row],[Verbruik Latte Macchiato deze maand]]+Tabel2425678910111213[[#This Row],[Verbruik Espresso deze maand]]+Tabel2425678910111213[[#This Row],[Verbruik Coffee deze maand]]</f>
        <v>3143</v>
      </c>
      <c r="AD20" s="26"/>
      <c r="AE20" s="26"/>
      <c r="AF20" s="5"/>
      <c r="AG20" s="7"/>
      <c r="AH20" s="26"/>
      <c r="AI20" s="26"/>
      <c r="AJ20" s="5"/>
      <c r="AK20" s="7"/>
      <c r="AL20" s="26"/>
      <c r="AM20" s="26"/>
      <c r="AN20" s="5"/>
      <c r="AO20" s="5"/>
      <c r="AP20" s="26"/>
      <c r="AQ20" s="26"/>
      <c r="AR20" s="5"/>
      <c r="AS20" s="7"/>
      <c r="AT20" s="26"/>
      <c r="AU20" s="26"/>
      <c r="AV20" s="5"/>
      <c r="AW20" s="21"/>
      <c r="AX20" s="8"/>
      <c r="AY20" s="4">
        <f>Tabel2425678910111213[[#This Row],[Subtotaal waterbar in consumpties]]+Tabel2425678910111213[[#This Row],[Subtotaal koffieautomaten]]</f>
        <v>3143</v>
      </c>
    </row>
    <row r="21" spans="1:51" x14ac:dyDescent="0.25">
      <c r="A21" t="s">
        <v>66</v>
      </c>
      <c r="B21" t="s">
        <v>67</v>
      </c>
      <c r="C21" t="s">
        <v>31</v>
      </c>
      <c r="E21" s="11">
        <v>11187</v>
      </c>
      <c r="F21" s="11">
        <v>10513</v>
      </c>
      <c r="G21" s="12">
        <f>Tabel2425678910111213[[#This Row],[Stand Coffee einde maand]]-Tabel2425678910111213[[#This Row],[Coffee vorige maand]]</f>
        <v>674</v>
      </c>
      <c r="H21" s="11">
        <v>1769</v>
      </c>
      <c r="I21" s="11">
        <v>1600</v>
      </c>
      <c r="J21" s="12">
        <f>Tabel2425678910111213[[#This Row],[Stand Espresso Einde maand]]-Tabel2425678910111213[[#This Row],[Espresso vorige maand]]</f>
        <v>169</v>
      </c>
      <c r="K21" s="11">
        <v>1422</v>
      </c>
      <c r="L21" s="11">
        <v>1325</v>
      </c>
      <c r="M21">
        <f>Tabel2425678910111213[[#This Row],[Stand Latte Macchiato einde maand]]-Tabel2425678910111213[[#This Row],[Latte Macchiato vorige maand]]</f>
        <v>97</v>
      </c>
      <c r="N21" s="11">
        <v>417</v>
      </c>
      <c r="O21" s="11">
        <v>409</v>
      </c>
      <c r="P21">
        <f>Tabel2425678910111213[[#This Row],[Stand Coffee Latte einde maand]]-Tabel2425678910111213[[#This Row],[Coffee Latte vorige maand]]</f>
        <v>8</v>
      </c>
      <c r="Q21" s="11">
        <v>18313</v>
      </c>
      <c r="R21" s="11">
        <v>16956</v>
      </c>
      <c r="S21">
        <f>Tabel2425678910111213[[#This Row],[Stand Hot Water einde maand]]-Tabel2425678910111213[[#This Row],[Hot Water vorige maand]]</f>
        <v>1357</v>
      </c>
      <c r="T21" s="11">
        <v>6055</v>
      </c>
      <c r="U21" s="11">
        <v>5584</v>
      </c>
      <c r="V21">
        <f>Tabel2425678910111213[[#This Row],[Stand Cappucino einde maand]]-Tabel2425678910111213[[#This Row],[Stand Cappucino vorige maand]]</f>
        <v>471</v>
      </c>
      <c r="W21" s="11">
        <v>1676</v>
      </c>
      <c r="X21" s="11">
        <v>1583</v>
      </c>
      <c r="Y21">
        <f>Tabel2425678910111213[[#This Row],[Stand Cappucino Plantaardig einde maand]]-Tabel2425678910111213[[#This Row],[Stand Cappucino Plantaardig vorige maand]]</f>
        <v>93</v>
      </c>
      <c r="Z21" s="11">
        <v>445</v>
      </c>
      <c r="AA21" s="11">
        <v>402</v>
      </c>
      <c r="AB21" s="12">
        <f>Tabel2425678910111213[[#This Row],[Stand Latte Macchiato Plantaardig einde maand]]-Tabel2425678910111213[[#This Row],[Stand Latte Macchiato Plantaardig vorige maand]]</f>
        <v>43</v>
      </c>
      <c r="AC21" s="3">
        <f>Tabel2425678910111213[[#This Row],[Verbruik Stand Latte Macchiato Plantaardig deze maand]]+Tabel2425678910111213[[#This Row],[Verbruik  Cappucino Plantaardig deze maand]]+Tabel2425678910111213[[#This Row],[Verbruik Cappucino deze maand]]+Tabel2425678910111213[[#This Row],[Verbruik Hot Water deze maand]]+Tabel2425678910111213[[#This Row],[Verbruik Coffee Latte deze maand]]+Tabel2425678910111213[[#This Row],[Verbruik Latte Macchiato deze maand]]+Tabel2425678910111213[[#This Row],[Verbruik Espresso deze maand]]+Tabel2425678910111213[[#This Row],[Verbruik Coffee deze maand]]</f>
        <v>2912</v>
      </c>
      <c r="AD21" s="26"/>
      <c r="AE21" s="26"/>
      <c r="AF21" s="5"/>
      <c r="AG21" s="7"/>
      <c r="AH21" s="26"/>
      <c r="AI21" s="26"/>
      <c r="AJ21" s="5"/>
      <c r="AK21" s="7"/>
      <c r="AL21" s="26"/>
      <c r="AM21" s="26"/>
      <c r="AN21" s="5"/>
      <c r="AO21" s="5"/>
      <c r="AP21" s="26"/>
      <c r="AQ21" s="26"/>
      <c r="AR21" s="5"/>
      <c r="AS21" s="7"/>
      <c r="AT21" s="26"/>
      <c r="AU21" s="26"/>
      <c r="AV21" s="5"/>
      <c r="AW21" s="21"/>
      <c r="AX21" s="8"/>
      <c r="AY21" s="4">
        <f>Tabel2425678910111213[[#This Row],[Subtotaal waterbar in consumpties]]+Tabel2425678910111213[[#This Row],[Subtotaal koffieautomaten]]</f>
        <v>2912</v>
      </c>
    </row>
    <row r="22" spans="1:51" x14ac:dyDescent="0.25">
      <c r="A22" t="s">
        <v>68</v>
      </c>
      <c r="B22" t="s">
        <v>69</v>
      </c>
      <c r="C22" t="s">
        <v>47</v>
      </c>
      <c r="E22" s="11">
        <v>6080</v>
      </c>
      <c r="F22" s="11">
        <v>5618</v>
      </c>
      <c r="G22" s="12">
        <f>Tabel2425678910111213[[#This Row],[Stand Coffee einde maand]]-Tabel2425678910111213[[#This Row],[Coffee vorige maand]]</f>
        <v>462</v>
      </c>
      <c r="H22" s="11">
        <v>2384</v>
      </c>
      <c r="I22" s="11">
        <v>2234</v>
      </c>
      <c r="J22" s="12">
        <f>Tabel2425678910111213[[#This Row],[Stand Espresso Einde maand]]-Tabel2425678910111213[[#This Row],[Espresso vorige maand]]</f>
        <v>150</v>
      </c>
      <c r="K22" s="11">
        <v>2060</v>
      </c>
      <c r="L22" s="11">
        <v>1911</v>
      </c>
      <c r="M22">
        <f>Tabel2425678910111213[[#This Row],[Stand Latte Macchiato einde maand]]-Tabel2425678910111213[[#This Row],[Latte Macchiato vorige maand]]</f>
        <v>149</v>
      </c>
      <c r="N22" s="11">
        <v>352</v>
      </c>
      <c r="O22" s="11">
        <v>347</v>
      </c>
      <c r="P22">
        <f>Tabel2425678910111213[[#This Row],[Stand Coffee Latte einde maand]]-Tabel2425678910111213[[#This Row],[Coffee Latte vorige maand]]</f>
        <v>5</v>
      </c>
      <c r="Q22" s="11">
        <v>1</v>
      </c>
      <c r="R22" s="11">
        <v>1</v>
      </c>
      <c r="S22">
        <f>Tabel2425678910111213[[#This Row],[Stand Hot Water einde maand]]-Tabel2425678910111213[[#This Row],[Hot Water vorige maand]]</f>
        <v>0</v>
      </c>
      <c r="T22" s="11">
        <v>7258</v>
      </c>
      <c r="U22" s="11">
        <v>6840</v>
      </c>
      <c r="V22">
        <f>Tabel2425678910111213[[#This Row],[Stand Cappucino einde maand]]-Tabel2425678910111213[[#This Row],[Stand Cappucino vorige maand]]</f>
        <v>418</v>
      </c>
      <c r="W22" s="11">
        <v>1170</v>
      </c>
      <c r="X22" s="11">
        <v>1104</v>
      </c>
      <c r="Y22">
        <f>Tabel2425678910111213[[#This Row],[Stand Cappucino Plantaardig einde maand]]-Tabel2425678910111213[[#This Row],[Stand Cappucino Plantaardig vorige maand]]</f>
        <v>66</v>
      </c>
      <c r="Z22" s="11">
        <v>308</v>
      </c>
      <c r="AA22" s="11">
        <v>298</v>
      </c>
      <c r="AB22" s="12">
        <f>Tabel2425678910111213[[#This Row],[Stand Latte Macchiato Plantaardig einde maand]]-Tabel2425678910111213[[#This Row],[Stand Latte Macchiato Plantaardig vorige maand]]</f>
        <v>10</v>
      </c>
      <c r="AC22" s="3">
        <f>Tabel2425678910111213[[#This Row],[Verbruik Stand Latte Macchiato Plantaardig deze maand]]+Tabel2425678910111213[[#This Row],[Verbruik  Cappucino Plantaardig deze maand]]+Tabel2425678910111213[[#This Row],[Verbruik Cappucino deze maand]]+Tabel2425678910111213[[#This Row],[Verbruik Hot Water deze maand]]+Tabel2425678910111213[[#This Row],[Verbruik Coffee Latte deze maand]]+Tabel2425678910111213[[#This Row],[Verbruik Latte Macchiato deze maand]]+Tabel2425678910111213[[#This Row],[Verbruik Espresso deze maand]]+Tabel2425678910111213[[#This Row],[Verbruik Coffee deze maand]]</f>
        <v>1260</v>
      </c>
      <c r="AD22" s="11">
        <v>153.19999999999999</v>
      </c>
      <c r="AE22" s="11">
        <v>143.30000000000001</v>
      </c>
      <c r="AF22">
        <f>Tabel2425678910111213[[#This Row],[Stand Kamertemp liter einde maand]]-Tabel2425678910111213[[#This Row],[Stand Kamertemp liter vorige maand]]</f>
        <v>9.8999999999999773</v>
      </c>
      <c r="AG22" s="2">
        <f>Tabel2425678910111213[[#This Row],[Verbruik Kamertemp liter deze maand]]/0.15</f>
        <v>65.999999999999858</v>
      </c>
      <c r="AH22" s="11">
        <v>2085.6</v>
      </c>
      <c r="AI22" s="11">
        <v>1954.1</v>
      </c>
      <c r="AJ22">
        <f>Tabel2425678910111213[[#This Row],[Stand Gekoeld liter einde maand]]-Tabel2425678910111213[[#This Row],[Stand Gekoeld liter vorige maand]]</f>
        <v>131.5</v>
      </c>
      <c r="AK22" s="2">
        <f>Tabel2425678910111213[[#This Row],[Verbruik Gekoeld liter deze maand]]/0.15</f>
        <v>876.66666666666674</v>
      </c>
      <c r="AL22" s="11">
        <v>1810</v>
      </c>
      <c r="AM22" s="11">
        <v>1724.7</v>
      </c>
      <c r="AN22">
        <f>Tabel2425678910111213[[#This Row],[Stand Bruisend liter einde maand]]-Tabel2425678910111213[[#This Row],[Stand Bruisend liter vorige maand]]</f>
        <v>85.299999999999955</v>
      </c>
      <c r="AO22" s="2">
        <f>Tabel2425678910111213[[#This Row],[Verbruik Bruisend liter deze maand]]/0.15</f>
        <v>568.6666666666664</v>
      </c>
      <c r="AP22" s="11">
        <v>671.5</v>
      </c>
      <c r="AQ22" s="11">
        <v>653.5</v>
      </c>
      <c r="AR22">
        <f>Tabel2425678910111213[[#This Row],[Stand licht bruisend liter einde maand]]-Tabel2425678910111213[[#This Row],[Stand licht bruisend liter vorige maand]]</f>
        <v>18</v>
      </c>
      <c r="AS22" s="2">
        <f>Tabel2425678910111213[[#This Row],[Verbruik licht bruisend liter deze maand]]/0.15</f>
        <v>120</v>
      </c>
      <c r="AT22" s="11">
        <v>5084.8999999999996</v>
      </c>
      <c r="AU22" s="11">
        <v>4735.2</v>
      </c>
      <c r="AV22">
        <f>Tabel2425678910111213[[#This Row],[Stand heet water liter einde maand]]-Tabel2425678910111213[[#This Row],[Stand heet water liter vorige maand]]</f>
        <v>349.69999999999982</v>
      </c>
      <c r="AW22" s="20">
        <f>Tabel2425678910111213[[#This Row],[Verbruik heet Water liter deze maand ]]/0.15</f>
        <v>2331.3333333333321</v>
      </c>
      <c r="AX22" s="4">
        <f>Tabel2425678910111213[[#This Row],[Aantal consumpties heet water deze maand]]+Tabel2425678910111213[[#This Row],[Aantal consumpties licht bruisend water deze maand]]+Tabel2425678910111213[[#This Row],[aantal consumpties Bruisend water deze maand]]+Tabel2425678910111213[[#This Row],[Aantal consumpties gekoeld water deze maand]]+Tabel2425678910111213[[#This Row],[Aantal consumpties Kamertemp deze maand]]</f>
        <v>3962.6666666666652</v>
      </c>
      <c r="AY22" s="4">
        <f>Tabel2425678910111213[[#This Row],[Subtotaal waterbar in consumpties]]+Tabel2425678910111213[[#This Row],[Subtotaal koffieautomaten]]</f>
        <v>5222.6666666666652</v>
      </c>
    </row>
    <row r="23" spans="1:51" x14ac:dyDescent="0.25">
      <c r="A23" t="s">
        <v>70</v>
      </c>
      <c r="B23" t="s">
        <v>71</v>
      </c>
      <c r="C23" t="s">
        <v>31</v>
      </c>
      <c r="E23" s="11">
        <v>7588</v>
      </c>
      <c r="F23" s="11">
        <v>7101</v>
      </c>
      <c r="G23" s="12">
        <f>Tabel2425678910111213[[#This Row],[Stand Coffee einde maand]]-Tabel2425678910111213[[#This Row],[Coffee vorige maand]]</f>
        <v>487</v>
      </c>
      <c r="H23" s="11">
        <v>1066</v>
      </c>
      <c r="I23" s="11">
        <v>961</v>
      </c>
      <c r="J23" s="12">
        <f>Tabel2425678910111213[[#This Row],[Stand Espresso Einde maand]]-Tabel2425678910111213[[#This Row],[Espresso vorige maand]]</f>
        <v>105</v>
      </c>
      <c r="K23" s="11">
        <v>696</v>
      </c>
      <c r="L23" s="11">
        <v>647</v>
      </c>
      <c r="M23">
        <f>Tabel2425678910111213[[#This Row],[Stand Latte Macchiato einde maand]]-Tabel2425678910111213[[#This Row],[Latte Macchiato vorige maand]]</f>
        <v>49</v>
      </c>
      <c r="N23" s="11">
        <v>669</v>
      </c>
      <c r="O23" s="11">
        <v>632</v>
      </c>
      <c r="P23">
        <f>Tabel2425678910111213[[#This Row],[Stand Coffee Latte einde maand]]-Tabel2425678910111213[[#This Row],[Coffee Latte vorige maand]]</f>
        <v>37</v>
      </c>
      <c r="Q23" s="11">
        <v>13538</v>
      </c>
      <c r="R23" s="11">
        <v>12576</v>
      </c>
      <c r="S23">
        <f>Tabel2425678910111213[[#This Row],[Stand Hot Water einde maand]]-Tabel2425678910111213[[#This Row],[Hot Water vorige maand]]</f>
        <v>962</v>
      </c>
      <c r="T23" s="11">
        <v>3146</v>
      </c>
      <c r="U23" s="11">
        <v>2957</v>
      </c>
      <c r="V23">
        <f>Tabel2425678910111213[[#This Row],[Stand Cappucino einde maand]]-Tabel2425678910111213[[#This Row],[Stand Cappucino vorige maand]]</f>
        <v>189</v>
      </c>
      <c r="W23" s="11">
        <v>750</v>
      </c>
      <c r="X23" s="11">
        <v>720</v>
      </c>
      <c r="Y23">
        <f>Tabel2425678910111213[[#This Row],[Stand Cappucino Plantaardig einde maand]]-Tabel2425678910111213[[#This Row],[Stand Cappucino Plantaardig vorige maand]]</f>
        <v>30</v>
      </c>
      <c r="Z23" s="11">
        <v>949</v>
      </c>
      <c r="AA23" s="11">
        <v>870</v>
      </c>
      <c r="AB23" s="12">
        <f>Tabel2425678910111213[[#This Row],[Stand Latte Macchiato Plantaardig einde maand]]-Tabel2425678910111213[[#This Row],[Stand Latte Macchiato Plantaardig vorige maand]]</f>
        <v>79</v>
      </c>
      <c r="AC23" s="3">
        <f>Tabel2425678910111213[[#This Row],[Verbruik Stand Latte Macchiato Plantaardig deze maand]]+Tabel2425678910111213[[#This Row],[Verbruik  Cappucino Plantaardig deze maand]]+Tabel2425678910111213[[#This Row],[Verbruik Cappucino deze maand]]+Tabel2425678910111213[[#This Row],[Verbruik Hot Water deze maand]]+Tabel2425678910111213[[#This Row],[Verbruik Coffee Latte deze maand]]+Tabel2425678910111213[[#This Row],[Verbruik Latte Macchiato deze maand]]+Tabel2425678910111213[[#This Row],[Verbruik Espresso deze maand]]+Tabel2425678910111213[[#This Row],[Verbruik Coffee deze maand]]</f>
        <v>1938</v>
      </c>
      <c r="AD23" s="26"/>
      <c r="AE23" s="26"/>
      <c r="AF23" s="5"/>
      <c r="AG23" s="7"/>
      <c r="AH23" s="26"/>
      <c r="AI23" s="26"/>
      <c r="AJ23" s="5"/>
      <c r="AK23" s="7"/>
      <c r="AL23" s="26"/>
      <c r="AM23" s="26"/>
      <c r="AN23" s="5"/>
      <c r="AO23" s="5"/>
      <c r="AP23" s="26"/>
      <c r="AQ23" s="26"/>
      <c r="AR23" s="5"/>
      <c r="AS23" s="7"/>
      <c r="AT23" s="26"/>
      <c r="AU23" s="26"/>
      <c r="AV23" s="5"/>
      <c r="AW23" s="21"/>
      <c r="AX23" s="8"/>
      <c r="AY23" s="4">
        <f>Tabel2425678910111213[[#This Row],[Subtotaal waterbar in consumpties]]+Tabel2425678910111213[[#This Row],[Subtotaal koffieautomaten]]</f>
        <v>1938</v>
      </c>
    </row>
    <row r="24" spans="1:51" x14ac:dyDescent="0.25">
      <c r="A24" t="s">
        <v>72</v>
      </c>
      <c r="B24" t="s">
        <v>73</v>
      </c>
      <c r="C24" t="s">
        <v>47</v>
      </c>
      <c r="E24" s="11">
        <v>6097</v>
      </c>
      <c r="F24" s="11">
        <v>5681</v>
      </c>
      <c r="G24" s="12">
        <f>Tabel2425678910111213[[#This Row],[Stand Coffee einde maand]]-Tabel2425678910111213[[#This Row],[Coffee vorige maand]]</f>
        <v>416</v>
      </c>
      <c r="H24" s="11">
        <v>2027</v>
      </c>
      <c r="I24" s="11">
        <v>1880</v>
      </c>
      <c r="J24" s="12">
        <f>Tabel2425678910111213[[#This Row],[Stand Espresso Einde maand]]-Tabel2425678910111213[[#This Row],[Espresso vorige maand]]</f>
        <v>147</v>
      </c>
      <c r="K24" s="11">
        <v>843</v>
      </c>
      <c r="L24" s="11">
        <v>797</v>
      </c>
      <c r="M24">
        <f>Tabel2425678910111213[[#This Row],[Stand Latte Macchiato einde maand]]-Tabel2425678910111213[[#This Row],[Latte Macchiato vorige maand]]</f>
        <v>46</v>
      </c>
      <c r="N24" s="11">
        <v>430</v>
      </c>
      <c r="O24" s="11">
        <v>410</v>
      </c>
      <c r="P24">
        <f>Tabel2425678910111213[[#This Row],[Stand Coffee Latte einde maand]]-Tabel2425678910111213[[#This Row],[Coffee Latte vorige maand]]</f>
        <v>20</v>
      </c>
      <c r="Q24" s="11">
        <v>1</v>
      </c>
      <c r="R24" s="11">
        <v>1</v>
      </c>
      <c r="S24">
        <f>Tabel2425678910111213[[#This Row],[Stand Hot Water einde maand]]-Tabel2425678910111213[[#This Row],[Hot Water vorige maand]]</f>
        <v>0</v>
      </c>
      <c r="T24" s="11">
        <v>4480</v>
      </c>
      <c r="U24" s="11">
        <v>4213</v>
      </c>
      <c r="V24">
        <f>Tabel2425678910111213[[#This Row],[Stand Cappucino einde maand]]-Tabel2425678910111213[[#This Row],[Stand Cappucino vorige maand]]</f>
        <v>267</v>
      </c>
      <c r="W24" s="11">
        <v>810</v>
      </c>
      <c r="X24" s="11">
        <v>769</v>
      </c>
      <c r="Y24">
        <f>Tabel2425678910111213[[#This Row],[Stand Cappucino Plantaardig einde maand]]-Tabel2425678910111213[[#This Row],[Stand Cappucino Plantaardig vorige maand]]</f>
        <v>41</v>
      </c>
      <c r="Z24" s="11">
        <v>230</v>
      </c>
      <c r="AA24" s="11">
        <v>223</v>
      </c>
      <c r="AB24" s="12">
        <f>Tabel2425678910111213[[#This Row],[Stand Latte Macchiato Plantaardig einde maand]]-Tabel2425678910111213[[#This Row],[Stand Latte Macchiato Plantaardig vorige maand]]</f>
        <v>7</v>
      </c>
      <c r="AC24" s="3">
        <f>Tabel2425678910111213[[#This Row],[Verbruik Stand Latte Macchiato Plantaardig deze maand]]+Tabel2425678910111213[[#This Row],[Verbruik  Cappucino Plantaardig deze maand]]+Tabel2425678910111213[[#This Row],[Verbruik Cappucino deze maand]]+Tabel2425678910111213[[#This Row],[Verbruik Hot Water deze maand]]+Tabel2425678910111213[[#This Row],[Verbruik Coffee Latte deze maand]]+Tabel2425678910111213[[#This Row],[Verbruik Latte Macchiato deze maand]]+Tabel2425678910111213[[#This Row],[Verbruik Espresso deze maand]]+Tabel2425678910111213[[#This Row],[Verbruik Coffee deze maand]]</f>
        <v>944</v>
      </c>
      <c r="AD24" s="11">
        <v>181.8</v>
      </c>
      <c r="AE24" s="11">
        <v>168.5</v>
      </c>
      <c r="AF24">
        <f>Tabel2425678910111213[[#This Row],[Stand Kamertemp liter einde maand]]-Tabel2425678910111213[[#This Row],[Stand Kamertemp liter vorige maand]]</f>
        <v>13.300000000000011</v>
      </c>
      <c r="AG24" s="2">
        <f>Tabel2425678910111213[[#This Row],[Verbruik Kamertemp liter deze maand]]/0.15</f>
        <v>88.666666666666742</v>
      </c>
      <c r="AH24" s="11">
        <v>1127.7</v>
      </c>
      <c r="AI24" s="11">
        <v>1057.9000000000001</v>
      </c>
      <c r="AJ24">
        <f>Tabel2425678910111213[[#This Row],[Stand Gekoeld liter einde maand]]-Tabel2425678910111213[[#This Row],[Stand Gekoeld liter vorige maand]]</f>
        <v>69.799999999999955</v>
      </c>
      <c r="AK24" s="2">
        <f>Tabel2425678910111213[[#This Row],[Verbruik Gekoeld liter deze maand]]/0.15</f>
        <v>465.33333333333303</v>
      </c>
      <c r="AL24" s="11">
        <v>1000.8</v>
      </c>
      <c r="AM24" s="11">
        <v>957.7</v>
      </c>
      <c r="AN24">
        <f>Tabel2425678910111213[[#This Row],[Stand Bruisend liter einde maand]]-Tabel2425678910111213[[#This Row],[Stand Bruisend liter vorige maand]]</f>
        <v>43.099999999999909</v>
      </c>
      <c r="AO24" s="2">
        <f>Tabel2425678910111213[[#This Row],[Verbruik Bruisend liter deze maand]]/0.15</f>
        <v>287.33333333333275</v>
      </c>
      <c r="AP24" s="11">
        <v>339.3</v>
      </c>
      <c r="AQ24" s="11">
        <v>331</v>
      </c>
      <c r="AR24">
        <f>Tabel2425678910111213[[#This Row],[Stand licht bruisend liter einde maand]]-Tabel2425678910111213[[#This Row],[Stand licht bruisend liter vorige maand]]</f>
        <v>8.3000000000000114</v>
      </c>
      <c r="AS24" s="2">
        <f>Tabel2425678910111213[[#This Row],[Verbruik licht bruisend liter deze maand]]/0.15</f>
        <v>55.333333333333414</v>
      </c>
      <c r="AT24" s="11">
        <v>1470.9</v>
      </c>
      <c r="AU24" s="11">
        <v>1347</v>
      </c>
      <c r="AV24">
        <f>Tabel2425678910111213[[#This Row],[Stand heet water liter einde maand]]-Tabel2425678910111213[[#This Row],[Stand heet water liter vorige maand]]</f>
        <v>123.90000000000009</v>
      </c>
      <c r="AW24" s="20">
        <f>Tabel2425678910111213[[#This Row],[Verbruik heet Water liter deze maand ]]/0.15</f>
        <v>826.00000000000068</v>
      </c>
      <c r="AX24" s="4">
        <f>Tabel2425678910111213[[#This Row],[Aantal consumpties heet water deze maand]]+Tabel2425678910111213[[#This Row],[Aantal consumpties licht bruisend water deze maand]]+Tabel2425678910111213[[#This Row],[aantal consumpties Bruisend water deze maand]]+Tabel2425678910111213[[#This Row],[Aantal consumpties gekoeld water deze maand]]+Tabel2425678910111213[[#This Row],[Aantal consumpties Kamertemp deze maand]]</f>
        <v>1722.6666666666665</v>
      </c>
      <c r="AY24" s="4">
        <f>Tabel2425678910111213[[#This Row],[Subtotaal waterbar in consumpties]]+Tabel2425678910111213[[#This Row],[Subtotaal koffieautomaten]]</f>
        <v>2666.6666666666665</v>
      </c>
    </row>
    <row r="25" spans="1:51" x14ac:dyDescent="0.25">
      <c r="A25" s="3" t="s">
        <v>74</v>
      </c>
      <c r="F25" s="11"/>
      <c r="H25" s="11"/>
      <c r="I25" s="11"/>
      <c r="J25" s="12"/>
      <c r="K25" s="11"/>
      <c r="L25" s="11"/>
      <c r="O25" s="11"/>
      <c r="R25" s="11"/>
      <c r="U25" s="11"/>
      <c r="X25" s="11"/>
      <c r="AA25" s="11"/>
      <c r="AC25" s="3">
        <f>Tabel2425678910111213[[#This Row],[Verbruik Stand Latte Macchiato Plantaardig deze maand]]+Tabel2425678910111213[[#This Row],[Verbruik  Cappucino Plantaardig deze maand]]+Tabel2425678910111213[[#This Row],[Verbruik Cappucino deze maand]]+Tabel2425678910111213[[#This Row],[Verbruik Hot Water deze maand]]+Tabel2425678910111213[[#This Row],[Verbruik Coffee Latte deze maand]]+Tabel2425678910111213[[#This Row],[Verbruik Latte Macchiato deze maand]]+Tabel2425678910111213[[#This Row],[Verbruik Espresso deze maand]]+Tabel2425678910111213[[#This Row],[Verbruik Coffee deze maand]]</f>
        <v>0</v>
      </c>
      <c r="AE25" s="11"/>
      <c r="AG25" s="2"/>
      <c r="AI25" s="11"/>
      <c r="AK25" s="2"/>
      <c r="AM25" s="11"/>
      <c r="AO25" s="2"/>
      <c r="AQ25" s="11"/>
      <c r="AS25" s="2"/>
      <c r="AU25" s="11"/>
      <c r="AW25" s="20"/>
      <c r="AX25" s="3"/>
      <c r="AY25" s="4">
        <f>Tabel2425678910111213[[#This Row],[Subtotaal waterbar in consumpties]]+Tabel2425678910111213[[#This Row],[Subtotaal koffieautomaten]]</f>
        <v>0</v>
      </c>
    </row>
    <row r="26" spans="1:51" x14ac:dyDescent="0.25">
      <c r="A26" t="s">
        <v>32</v>
      </c>
      <c r="B26" t="s">
        <v>75</v>
      </c>
      <c r="C26" t="s">
        <v>47</v>
      </c>
      <c r="E26" s="11">
        <v>3812</v>
      </c>
      <c r="F26" s="11">
        <v>3533</v>
      </c>
      <c r="G26" s="12">
        <f>Tabel2425678910111213[[#This Row],[Stand Coffee einde maand]]-Tabel2425678910111213[[#This Row],[Coffee vorige maand]]</f>
        <v>279</v>
      </c>
      <c r="H26" s="11">
        <v>773</v>
      </c>
      <c r="I26" s="11">
        <v>693</v>
      </c>
      <c r="J26" s="12">
        <f>Tabel2425678910111213[[#This Row],[Stand Espresso Einde maand]]-Tabel2425678910111213[[#This Row],[Espresso vorige maand]]</f>
        <v>80</v>
      </c>
      <c r="K26" s="11">
        <v>1096</v>
      </c>
      <c r="L26" s="11">
        <v>1055</v>
      </c>
      <c r="M26">
        <f>Tabel2425678910111213[[#This Row],[Stand Latte Macchiato einde maand]]-Tabel2425678910111213[[#This Row],[Latte Macchiato vorige maand]]</f>
        <v>41</v>
      </c>
      <c r="N26" s="11">
        <v>345</v>
      </c>
      <c r="O26" s="11">
        <v>326</v>
      </c>
      <c r="P26">
        <f>Tabel2425678910111213[[#This Row],[Stand Coffee Latte einde maand]]-Tabel2425678910111213[[#This Row],[Coffee Latte vorige maand]]</f>
        <v>19</v>
      </c>
      <c r="Q26" s="11">
        <v>1</v>
      </c>
      <c r="R26" s="11">
        <v>1</v>
      </c>
      <c r="S26">
        <f>Tabel2425678910111213[[#This Row],[Stand Hot Water einde maand]]-Tabel2425678910111213[[#This Row],[Hot Water vorige maand]]</f>
        <v>0</v>
      </c>
      <c r="T26" s="11">
        <v>2566</v>
      </c>
      <c r="U26" s="11">
        <v>2385</v>
      </c>
      <c r="V26">
        <f>Tabel2425678910111213[[#This Row],[Stand Cappucino einde maand]]-Tabel2425678910111213[[#This Row],[Stand Cappucino vorige maand]]</f>
        <v>181</v>
      </c>
      <c r="W26" s="11">
        <v>368</v>
      </c>
      <c r="X26" s="11">
        <v>340</v>
      </c>
      <c r="Y26">
        <f>Tabel2425678910111213[[#This Row],[Stand Cappucino Plantaardig einde maand]]-Tabel2425678910111213[[#This Row],[Stand Cappucino Plantaardig vorige maand]]</f>
        <v>28</v>
      </c>
      <c r="Z26" s="11">
        <v>249</v>
      </c>
      <c r="AA26" s="11">
        <v>245</v>
      </c>
      <c r="AB26" s="12">
        <f>Tabel2425678910111213[[#This Row],[Stand Latte Macchiato Plantaardig einde maand]]-Tabel2425678910111213[[#This Row],[Stand Latte Macchiato Plantaardig vorige maand]]</f>
        <v>4</v>
      </c>
      <c r="AC26" s="3">
        <f>Tabel2425678910111213[[#This Row],[Verbruik Stand Latte Macchiato Plantaardig deze maand]]+Tabel2425678910111213[[#This Row],[Verbruik  Cappucino Plantaardig deze maand]]+Tabel2425678910111213[[#This Row],[Verbruik Cappucino deze maand]]+Tabel2425678910111213[[#This Row],[Verbruik Hot Water deze maand]]+Tabel2425678910111213[[#This Row],[Verbruik Coffee Latte deze maand]]+Tabel2425678910111213[[#This Row],[Verbruik Latte Macchiato deze maand]]+Tabel2425678910111213[[#This Row],[Verbruik Espresso deze maand]]+Tabel2425678910111213[[#This Row],[Verbruik Coffee deze maand]]</f>
        <v>632</v>
      </c>
      <c r="AD26" s="11">
        <v>112.4</v>
      </c>
      <c r="AE26" s="11">
        <v>109.8</v>
      </c>
      <c r="AF26">
        <f>Tabel2425678910111213[[#This Row],[Stand Kamertemp liter einde maand]]-Tabel2425678910111213[[#This Row],[Stand Kamertemp liter vorige maand]]</f>
        <v>2.6000000000000085</v>
      </c>
      <c r="AG26" s="2">
        <f>Tabel2425678910111213[[#This Row],[Verbruik Kamertemp liter deze maand]]/0.15</f>
        <v>17.333333333333393</v>
      </c>
      <c r="AH26" s="11">
        <v>643</v>
      </c>
      <c r="AI26" s="11">
        <v>632.6</v>
      </c>
      <c r="AJ26">
        <f>Tabel2425678910111213[[#This Row],[Stand Gekoeld liter einde maand]]-Tabel2425678910111213[[#This Row],[Stand Gekoeld liter vorige maand]]</f>
        <v>10.399999999999977</v>
      </c>
      <c r="AK26" s="2">
        <f>Tabel2425678910111213[[#This Row],[Verbruik Gekoeld liter deze maand]]/0.15</f>
        <v>69.333333333333186</v>
      </c>
      <c r="AL26" s="11">
        <v>507.3</v>
      </c>
      <c r="AM26" s="11">
        <v>497.1</v>
      </c>
      <c r="AN26">
        <f>Tabel2425678910111213[[#This Row],[Stand Bruisend liter einde maand]]-Tabel2425678910111213[[#This Row],[Stand Bruisend liter vorige maand]]</f>
        <v>10.199999999999989</v>
      </c>
      <c r="AO26" s="2">
        <f>Tabel2425678910111213[[#This Row],[Verbruik Bruisend liter deze maand]]/0.15</f>
        <v>67.999999999999929</v>
      </c>
      <c r="AP26" s="11">
        <v>233.6</v>
      </c>
      <c r="AQ26" s="11">
        <v>230</v>
      </c>
      <c r="AR26">
        <f>Tabel2425678910111213[[#This Row],[Stand licht bruisend liter einde maand]]-Tabel2425678910111213[[#This Row],[Stand licht bruisend liter vorige maand]]</f>
        <v>3.5999999999999943</v>
      </c>
      <c r="AS26" s="2">
        <f>Tabel2425678910111213[[#This Row],[Verbruik licht bruisend liter deze maand]]/0.15</f>
        <v>23.999999999999964</v>
      </c>
      <c r="AT26" s="11">
        <v>2167.4</v>
      </c>
      <c r="AU26" s="11">
        <v>2099.3000000000002</v>
      </c>
      <c r="AV26">
        <f>Tabel2425678910111213[[#This Row],[Stand heet water liter einde maand]]-Tabel2425678910111213[[#This Row],[Stand heet water liter vorige maand]]</f>
        <v>68.099999999999909</v>
      </c>
      <c r="AW26" s="20">
        <f>Tabel2425678910111213[[#This Row],[Verbruik heet Water liter deze maand ]]/0.15</f>
        <v>453.99999999999943</v>
      </c>
      <c r="AX26" s="4">
        <f>Tabel2425678910111213[[#This Row],[Aantal consumpties heet water deze maand]]+Tabel2425678910111213[[#This Row],[Aantal consumpties licht bruisend water deze maand]]+Tabel2425678910111213[[#This Row],[aantal consumpties Bruisend water deze maand]]+Tabel2425678910111213[[#This Row],[Aantal consumpties gekoeld water deze maand]]+Tabel2425678910111213[[#This Row],[Aantal consumpties Kamertemp deze maand]]</f>
        <v>632.66666666666583</v>
      </c>
      <c r="AY26" s="4">
        <f>Tabel2425678910111213[[#This Row],[Subtotaal waterbar in consumpties]]+Tabel2425678910111213[[#This Row],[Subtotaal koffieautomaten]]</f>
        <v>1264.6666666666658</v>
      </c>
    </row>
    <row r="27" spans="1:51" x14ac:dyDescent="0.25">
      <c r="A27" t="s">
        <v>39</v>
      </c>
      <c r="B27" t="s">
        <v>163</v>
      </c>
      <c r="C27" t="s">
        <v>31</v>
      </c>
      <c r="E27" s="11">
        <v>15676</v>
      </c>
      <c r="F27" s="11">
        <v>14697</v>
      </c>
      <c r="G27" s="12">
        <f>Tabel2425678910111213[[#This Row],[Stand Coffee einde maand]]-Tabel2425678910111213[[#This Row],[Coffee vorige maand]]</f>
        <v>979</v>
      </c>
      <c r="H27" s="11">
        <v>3705</v>
      </c>
      <c r="I27" s="11">
        <v>3496</v>
      </c>
      <c r="J27" s="12">
        <f>Tabel2425678910111213[[#This Row],[Stand Espresso Einde maand]]-Tabel2425678910111213[[#This Row],[Espresso vorige maand]]</f>
        <v>209</v>
      </c>
      <c r="K27" s="11">
        <v>1871</v>
      </c>
      <c r="L27" s="11">
        <v>1727</v>
      </c>
      <c r="M27">
        <f>Tabel2425678910111213[[#This Row],[Stand Latte Macchiato einde maand]]-Tabel2425678910111213[[#This Row],[Latte Macchiato vorige maand]]</f>
        <v>144</v>
      </c>
      <c r="N27" s="11">
        <v>803</v>
      </c>
      <c r="O27" s="11">
        <v>732</v>
      </c>
      <c r="P27">
        <f>Tabel2425678910111213[[#This Row],[Stand Coffee Latte einde maand]]-Tabel2425678910111213[[#This Row],[Coffee Latte vorige maand]]</f>
        <v>71</v>
      </c>
      <c r="Q27" s="11">
        <v>11927</v>
      </c>
      <c r="R27" s="11">
        <v>10804</v>
      </c>
      <c r="S27">
        <f>Tabel2425678910111213[[#This Row],[Stand Hot Water einde maand]]-Tabel2425678910111213[[#This Row],[Hot Water vorige maand]]</f>
        <v>1123</v>
      </c>
      <c r="T27" s="11">
        <v>10876</v>
      </c>
      <c r="U27" s="11">
        <v>10125</v>
      </c>
      <c r="V27">
        <f>Tabel2425678910111213[[#This Row],[Stand Cappucino einde maand]]-Tabel2425678910111213[[#This Row],[Stand Cappucino vorige maand]]</f>
        <v>751</v>
      </c>
      <c r="W27" s="11">
        <v>1416</v>
      </c>
      <c r="X27" s="11">
        <v>1358</v>
      </c>
      <c r="Y27">
        <f>Tabel2425678910111213[[#This Row],[Stand Cappucino Plantaardig einde maand]]-Tabel2425678910111213[[#This Row],[Stand Cappucino Plantaardig vorige maand]]</f>
        <v>58</v>
      </c>
      <c r="Z27" s="11">
        <v>411</v>
      </c>
      <c r="AA27" s="11">
        <v>388</v>
      </c>
      <c r="AB27" s="12">
        <f>Tabel2425678910111213[[#This Row],[Stand Latte Macchiato Plantaardig einde maand]]-Tabel2425678910111213[[#This Row],[Stand Latte Macchiato Plantaardig vorige maand]]</f>
        <v>23</v>
      </c>
      <c r="AC27" s="3">
        <f>Tabel2425678910111213[[#This Row],[Verbruik Stand Latte Macchiato Plantaardig deze maand]]+Tabel2425678910111213[[#This Row],[Verbruik  Cappucino Plantaardig deze maand]]+Tabel2425678910111213[[#This Row],[Verbruik Cappucino deze maand]]+Tabel2425678910111213[[#This Row],[Verbruik Hot Water deze maand]]+Tabel2425678910111213[[#This Row],[Verbruik Coffee Latte deze maand]]+Tabel2425678910111213[[#This Row],[Verbruik Latte Macchiato deze maand]]+Tabel2425678910111213[[#This Row],[Verbruik Espresso deze maand]]+Tabel2425678910111213[[#This Row],[Verbruik Coffee deze maand]]</f>
        <v>3358</v>
      </c>
      <c r="AD27" s="26"/>
      <c r="AE27" s="26"/>
      <c r="AF27" s="5"/>
      <c r="AG27" s="7"/>
      <c r="AH27" s="26"/>
      <c r="AI27" s="26"/>
      <c r="AJ27" s="5"/>
      <c r="AK27" s="7"/>
      <c r="AL27" s="26"/>
      <c r="AM27" s="26"/>
      <c r="AN27" s="5"/>
      <c r="AO27" s="7"/>
      <c r="AP27" s="26"/>
      <c r="AQ27" s="26"/>
      <c r="AR27" s="5"/>
      <c r="AS27" s="7"/>
      <c r="AT27" s="26"/>
      <c r="AU27" s="26"/>
      <c r="AV27" s="5"/>
      <c r="AW27" s="21"/>
      <c r="AX27" s="8"/>
      <c r="AY27" s="4">
        <f>Tabel2425678910111213[[#This Row],[Subtotaal waterbar in consumpties]]+Tabel2425678910111213[[#This Row],[Subtotaal koffieautomaten]]</f>
        <v>3358</v>
      </c>
    </row>
    <row r="28" spans="1:51" x14ac:dyDescent="0.25">
      <c r="A28" t="s">
        <v>39</v>
      </c>
      <c r="B28" t="s">
        <v>77</v>
      </c>
      <c r="C28" t="s">
        <v>36</v>
      </c>
      <c r="E28" s="42"/>
      <c r="F28" s="42"/>
      <c r="G28" s="43"/>
      <c r="H28" s="42"/>
      <c r="I28" s="42"/>
      <c r="J28" s="43"/>
      <c r="K28" s="42"/>
      <c r="L28" s="42"/>
      <c r="M28" s="43"/>
      <c r="N28" s="42"/>
      <c r="O28" s="42"/>
      <c r="P28" s="43"/>
      <c r="Q28" s="42"/>
      <c r="R28" s="42"/>
      <c r="S28" s="43"/>
      <c r="T28" s="42"/>
      <c r="U28" s="42"/>
      <c r="V28" s="43"/>
      <c r="W28" s="42"/>
      <c r="X28" s="42"/>
      <c r="Y28" s="43"/>
      <c r="Z28" s="42"/>
      <c r="AA28" s="42"/>
      <c r="AB28" s="43"/>
      <c r="AC28" s="43"/>
      <c r="AD28" s="11">
        <v>192.1</v>
      </c>
      <c r="AE28" s="11">
        <v>179.1</v>
      </c>
      <c r="AF28">
        <f>Tabel2425678910111213[[#This Row],[Stand Kamertemp liter einde maand]]-Tabel2425678910111213[[#This Row],[Stand Kamertemp liter vorige maand]]</f>
        <v>13</v>
      </c>
      <c r="AG28" s="2">
        <f>Tabel2425678910111213[[#This Row],[Verbruik Kamertemp liter deze maand]]/0.15</f>
        <v>86.666666666666671</v>
      </c>
      <c r="AH28" s="11">
        <v>1097.0999999999999</v>
      </c>
      <c r="AI28" s="11">
        <v>1063.5</v>
      </c>
      <c r="AJ28">
        <f>Tabel2425678910111213[[#This Row],[Stand Gekoeld liter einde maand]]-Tabel2425678910111213[[#This Row],[Stand Gekoeld liter vorige maand]]</f>
        <v>33.599999999999909</v>
      </c>
      <c r="AK28" s="2">
        <f>Tabel2425678910111213[[#This Row],[Verbruik Gekoeld liter deze maand]]/0.15</f>
        <v>223.9999999999994</v>
      </c>
      <c r="AL28" s="11">
        <v>930.6</v>
      </c>
      <c r="AM28" s="11">
        <v>894.9</v>
      </c>
      <c r="AN28">
        <f>Tabel2425678910111213[[#This Row],[Stand Bruisend liter einde maand]]-Tabel2425678910111213[[#This Row],[Stand Bruisend liter vorige maand]]</f>
        <v>35.700000000000045</v>
      </c>
      <c r="AO28" s="2">
        <f>Tabel2425678910111213[[#This Row],[Verbruik Bruisend liter deze maand]]/0.15</f>
        <v>238.00000000000031</v>
      </c>
      <c r="AP28" s="11">
        <v>279</v>
      </c>
      <c r="AQ28" s="11">
        <v>273.5</v>
      </c>
      <c r="AR28">
        <f>Tabel2425678910111213[[#This Row],[Stand licht bruisend liter einde maand]]-Tabel2425678910111213[[#This Row],[Stand licht bruisend liter vorige maand]]</f>
        <v>5.5</v>
      </c>
      <c r="AS28" s="2">
        <f>Tabel2425678910111213[[#This Row],[Verbruik licht bruisend liter deze maand]]/0.15</f>
        <v>36.666666666666671</v>
      </c>
      <c r="AT28" s="11">
        <v>829.7</v>
      </c>
      <c r="AU28" s="11">
        <v>799</v>
      </c>
      <c r="AV28">
        <f>Tabel2425678910111213[[#This Row],[Stand heet water liter einde maand]]-Tabel2425678910111213[[#This Row],[Stand heet water liter vorige maand]]</f>
        <v>30.700000000000045</v>
      </c>
      <c r="AW28" s="20">
        <f>Tabel2425678910111213[[#This Row],[Verbruik heet Water liter deze maand ]]/0.15</f>
        <v>204.66666666666697</v>
      </c>
      <c r="AX28" s="4">
        <f>Tabel2425678910111213[[#This Row],[Aantal consumpties heet water deze maand]]+Tabel2425678910111213[[#This Row],[Aantal consumpties licht bruisend water deze maand]]+Tabel2425678910111213[[#This Row],[aantal consumpties Bruisend water deze maand]]+Tabel2425678910111213[[#This Row],[Aantal consumpties gekoeld water deze maand]]+Tabel2425678910111213[[#This Row],[Aantal consumpties Kamertemp deze maand]]</f>
        <v>790</v>
      </c>
      <c r="AY28" s="4">
        <f>Tabel2425678910111213[[#This Row],[Subtotaal waterbar in consumpties]]+Tabel2425678910111213[[#This Row],[Subtotaal koffieautomaten]]</f>
        <v>790</v>
      </c>
    </row>
    <row r="29" spans="1:51" x14ac:dyDescent="0.25">
      <c r="A29" t="s">
        <v>41</v>
      </c>
      <c r="B29" t="s">
        <v>78</v>
      </c>
      <c r="C29" t="s">
        <v>47</v>
      </c>
      <c r="E29" s="11">
        <v>2695</v>
      </c>
      <c r="F29" s="11">
        <v>2482</v>
      </c>
      <c r="G29" s="12">
        <f>Tabel2425678910111213[[#This Row],[Stand Coffee einde maand]]-Tabel2425678910111213[[#This Row],[Coffee vorige maand]]</f>
        <v>213</v>
      </c>
      <c r="H29" s="11">
        <v>1285</v>
      </c>
      <c r="I29" s="11">
        <v>1219</v>
      </c>
      <c r="J29" s="12">
        <f>Tabel2425678910111213[[#This Row],[Stand Espresso Einde maand]]-Tabel2425678910111213[[#This Row],[Espresso vorige maand]]</f>
        <v>66</v>
      </c>
      <c r="K29" s="11">
        <v>246</v>
      </c>
      <c r="L29" s="11">
        <v>231</v>
      </c>
      <c r="M29">
        <f>Tabel2425678910111213[[#This Row],[Stand Latte Macchiato einde maand]]-Tabel2425678910111213[[#This Row],[Latte Macchiato vorige maand]]</f>
        <v>15</v>
      </c>
      <c r="N29" s="11">
        <v>190</v>
      </c>
      <c r="O29" s="11">
        <v>175</v>
      </c>
      <c r="P29">
        <f>Tabel2425678910111213[[#This Row],[Stand Coffee Latte einde maand]]-Tabel2425678910111213[[#This Row],[Coffee Latte vorige maand]]</f>
        <v>15</v>
      </c>
      <c r="Q29" s="11">
        <v>1</v>
      </c>
      <c r="R29" s="11">
        <v>1</v>
      </c>
      <c r="S29">
        <f>Tabel2425678910111213[[#This Row],[Stand Hot Water einde maand]]-Tabel2425678910111213[[#This Row],[Hot Water vorige maand]]</f>
        <v>0</v>
      </c>
      <c r="T29" s="11">
        <v>1546</v>
      </c>
      <c r="U29" s="11">
        <v>1434</v>
      </c>
      <c r="V29">
        <f>Tabel2425678910111213[[#This Row],[Stand Cappucino einde maand]]-Tabel2425678910111213[[#This Row],[Stand Cappucino vorige maand]]</f>
        <v>112</v>
      </c>
      <c r="W29" s="11">
        <v>879</v>
      </c>
      <c r="X29" s="11">
        <v>841</v>
      </c>
      <c r="Y29">
        <f>Tabel2425678910111213[[#This Row],[Stand Cappucino Plantaardig einde maand]]-Tabel2425678910111213[[#This Row],[Stand Cappucino Plantaardig vorige maand]]</f>
        <v>38</v>
      </c>
      <c r="Z29" s="11">
        <v>341</v>
      </c>
      <c r="AA29" s="11">
        <v>300</v>
      </c>
      <c r="AB29" s="12">
        <f>Tabel2425678910111213[[#This Row],[Stand Latte Macchiato Plantaardig einde maand]]-Tabel2425678910111213[[#This Row],[Stand Latte Macchiato Plantaardig vorige maand]]</f>
        <v>41</v>
      </c>
      <c r="AC29" s="3">
        <f>Tabel2425678910111213[[#This Row],[Verbruik Stand Latte Macchiato Plantaardig deze maand]]+Tabel2425678910111213[[#This Row],[Verbruik  Cappucino Plantaardig deze maand]]+Tabel2425678910111213[[#This Row],[Verbruik Cappucino deze maand]]+Tabel2425678910111213[[#This Row],[Verbruik Hot Water deze maand]]+Tabel2425678910111213[[#This Row],[Verbruik Coffee Latte deze maand]]+Tabel2425678910111213[[#This Row],[Verbruik Latte Macchiato deze maand]]+Tabel2425678910111213[[#This Row],[Verbruik Espresso deze maand]]+Tabel2425678910111213[[#This Row],[Verbruik Coffee deze maand]]</f>
        <v>500</v>
      </c>
      <c r="AD29" s="11">
        <v>128.4</v>
      </c>
      <c r="AE29" s="11">
        <v>119</v>
      </c>
      <c r="AF29">
        <f>Tabel2425678910111213[[#This Row],[Stand Kamertemp liter einde maand]]-Tabel2425678910111213[[#This Row],[Stand Kamertemp liter vorige maand]]</f>
        <v>9.4000000000000057</v>
      </c>
      <c r="AG29" s="2">
        <f>Tabel2425678910111213[[#This Row],[Verbruik Kamertemp liter deze maand]]/0.15</f>
        <v>62.666666666666707</v>
      </c>
      <c r="AH29" s="11">
        <v>907.3</v>
      </c>
      <c r="AI29" s="11">
        <v>830.7</v>
      </c>
      <c r="AJ29">
        <f>Tabel2425678910111213[[#This Row],[Stand Gekoeld liter einde maand]]-Tabel2425678910111213[[#This Row],[Stand Gekoeld liter vorige maand]]</f>
        <v>76.599999999999909</v>
      </c>
      <c r="AK29" s="2">
        <f>Tabel2425678910111213[[#This Row],[Verbruik Gekoeld liter deze maand]]/0.15</f>
        <v>510.66666666666606</v>
      </c>
      <c r="AL29" s="11">
        <v>932.2</v>
      </c>
      <c r="AM29" s="11">
        <v>888.1</v>
      </c>
      <c r="AN29">
        <f>Tabel2425678910111213[[#This Row],[Stand Bruisend liter einde maand]]-Tabel2425678910111213[[#This Row],[Stand Bruisend liter vorige maand]]</f>
        <v>44.100000000000023</v>
      </c>
      <c r="AO29" s="2">
        <f>Tabel2425678910111213[[#This Row],[Verbruik Bruisend liter deze maand]]/0.15</f>
        <v>294.00000000000017</v>
      </c>
      <c r="AP29" s="11">
        <v>774.5</v>
      </c>
      <c r="AQ29" s="11">
        <v>740.6</v>
      </c>
      <c r="AR29">
        <f>Tabel2425678910111213[[#This Row],[Stand licht bruisend liter einde maand]]-Tabel2425678910111213[[#This Row],[Stand licht bruisend liter vorige maand]]</f>
        <v>33.899999999999977</v>
      </c>
      <c r="AS29" s="2">
        <f>Tabel2425678910111213[[#This Row],[Verbruik licht bruisend liter deze maand]]/0.15</f>
        <v>225.99999999999986</v>
      </c>
      <c r="AT29" s="11">
        <v>2878.7</v>
      </c>
      <c r="AU29" s="11">
        <v>2674.7</v>
      </c>
      <c r="AV29">
        <f>Tabel2425678910111213[[#This Row],[Stand heet water liter einde maand]]-Tabel2425678910111213[[#This Row],[Stand heet water liter vorige maand]]</f>
        <v>204</v>
      </c>
      <c r="AW29" s="20">
        <f>Tabel2425678910111213[[#This Row],[Verbruik heet Water liter deze maand ]]/0.15</f>
        <v>1360</v>
      </c>
      <c r="AX29" s="4">
        <f>Tabel2425678910111213[[#This Row],[Aantal consumpties heet water deze maand]]+Tabel2425678910111213[[#This Row],[Aantal consumpties licht bruisend water deze maand]]+Tabel2425678910111213[[#This Row],[aantal consumpties Bruisend water deze maand]]+Tabel2425678910111213[[#This Row],[Aantal consumpties gekoeld water deze maand]]+Tabel2425678910111213[[#This Row],[Aantal consumpties Kamertemp deze maand]]</f>
        <v>2453.3333333333326</v>
      </c>
      <c r="AY29" s="4">
        <f>Tabel2425678910111213[[#This Row],[Subtotaal waterbar in consumpties]]+Tabel2425678910111213[[#This Row],[Subtotaal koffieautomaten]]</f>
        <v>2953.3333333333326</v>
      </c>
    </row>
    <row r="30" spans="1:51" x14ac:dyDescent="0.25">
      <c r="A30" t="s">
        <v>43</v>
      </c>
      <c r="B30" t="s">
        <v>79</v>
      </c>
      <c r="C30" t="s">
        <v>31</v>
      </c>
      <c r="E30" s="11">
        <v>5323</v>
      </c>
      <c r="F30" s="11">
        <v>4990</v>
      </c>
      <c r="G30" s="12">
        <f>Tabel2425678910111213[[#This Row],[Stand Coffee einde maand]]-Tabel2425678910111213[[#This Row],[Coffee vorige maand]]</f>
        <v>333</v>
      </c>
      <c r="H30" s="11">
        <v>1479</v>
      </c>
      <c r="I30" s="11">
        <v>1431</v>
      </c>
      <c r="J30" s="12">
        <f>Tabel2425678910111213[[#This Row],[Stand Espresso Einde maand]]-Tabel2425678910111213[[#This Row],[Espresso vorige maand]]</f>
        <v>48</v>
      </c>
      <c r="K30" s="11">
        <v>160</v>
      </c>
      <c r="L30" s="11">
        <v>146</v>
      </c>
      <c r="M30">
        <f>Tabel2425678910111213[[#This Row],[Stand Latte Macchiato einde maand]]-Tabel2425678910111213[[#This Row],[Latte Macchiato vorige maand]]</f>
        <v>14</v>
      </c>
      <c r="N30" s="11">
        <v>112</v>
      </c>
      <c r="O30" s="11">
        <v>108</v>
      </c>
      <c r="P30">
        <f>Tabel2425678910111213[[#This Row],[Stand Coffee Latte einde maand]]-Tabel2425678910111213[[#This Row],[Coffee Latte vorige maand]]</f>
        <v>4</v>
      </c>
      <c r="Q30" s="11">
        <v>4055</v>
      </c>
      <c r="R30" s="11">
        <v>3802</v>
      </c>
      <c r="S30">
        <f>Tabel2425678910111213[[#This Row],[Stand Hot Water einde maand]]-Tabel2425678910111213[[#This Row],[Hot Water vorige maand]]</f>
        <v>253</v>
      </c>
      <c r="T30" s="11">
        <v>2449</v>
      </c>
      <c r="U30" s="11">
        <v>2311</v>
      </c>
      <c r="V30">
        <f>Tabel2425678910111213[[#This Row],[Stand Cappucino einde maand]]-Tabel2425678910111213[[#This Row],[Stand Cappucino vorige maand]]</f>
        <v>138</v>
      </c>
      <c r="W30" s="11">
        <v>162</v>
      </c>
      <c r="X30" s="11">
        <v>154</v>
      </c>
      <c r="Y30">
        <f>Tabel2425678910111213[[#This Row],[Stand Cappucino Plantaardig einde maand]]-Tabel2425678910111213[[#This Row],[Stand Cappucino Plantaardig vorige maand]]</f>
        <v>8</v>
      </c>
      <c r="Z30" s="11">
        <v>23</v>
      </c>
      <c r="AA30" s="11">
        <v>17</v>
      </c>
      <c r="AB30" s="12">
        <f>Tabel2425678910111213[[#This Row],[Stand Latte Macchiato Plantaardig einde maand]]-Tabel2425678910111213[[#This Row],[Stand Latte Macchiato Plantaardig vorige maand]]</f>
        <v>6</v>
      </c>
      <c r="AC30" s="3">
        <f>Tabel2425678910111213[[#This Row],[Verbruik Stand Latte Macchiato Plantaardig deze maand]]+Tabel2425678910111213[[#This Row],[Verbruik  Cappucino Plantaardig deze maand]]+Tabel2425678910111213[[#This Row],[Verbruik Cappucino deze maand]]+Tabel2425678910111213[[#This Row],[Verbruik Hot Water deze maand]]+Tabel2425678910111213[[#This Row],[Verbruik Coffee Latte deze maand]]+Tabel2425678910111213[[#This Row],[Verbruik Latte Macchiato deze maand]]+Tabel2425678910111213[[#This Row],[Verbruik Espresso deze maand]]+Tabel2425678910111213[[#This Row],[Verbruik Coffee deze maand]]</f>
        <v>804</v>
      </c>
      <c r="AD30" s="26"/>
      <c r="AE30" s="26"/>
      <c r="AF30" s="5"/>
      <c r="AG30" s="5"/>
      <c r="AH30" s="26"/>
      <c r="AI30" s="26"/>
      <c r="AJ30" s="5"/>
      <c r="AK30" s="7"/>
      <c r="AL30" s="26"/>
      <c r="AM30" s="26"/>
      <c r="AN30" s="5"/>
      <c r="AO30" s="7"/>
      <c r="AP30" s="26"/>
      <c r="AQ30" s="26"/>
      <c r="AR30" s="5"/>
      <c r="AS30" s="7"/>
      <c r="AT30" s="26"/>
      <c r="AU30" s="26"/>
      <c r="AV30" s="5"/>
      <c r="AW30" s="21"/>
      <c r="AX30" s="8"/>
      <c r="AY30" s="4">
        <f>Tabel2425678910111213[[#This Row],[Subtotaal waterbar in consumpties]]+Tabel2425678910111213[[#This Row],[Subtotaal koffieautomaten]]</f>
        <v>804</v>
      </c>
    </row>
    <row r="31" spans="1:51" x14ac:dyDescent="0.25">
      <c r="A31" t="s">
        <v>45</v>
      </c>
      <c r="B31" t="s">
        <v>80</v>
      </c>
      <c r="C31" t="s">
        <v>36</v>
      </c>
      <c r="E31" s="42"/>
      <c r="F31" s="42"/>
      <c r="G31" s="43"/>
      <c r="H31" s="42"/>
      <c r="I31" s="42"/>
      <c r="J31" s="43"/>
      <c r="K31" s="42"/>
      <c r="L31" s="42"/>
      <c r="M31" s="43"/>
      <c r="N31" s="42"/>
      <c r="O31" s="42"/>
      <c r="P31" s="43"/>
      <c r="Q31" s="42"/>
      <c r="R31" s="42"/>
      <c r="S31" s="43"/>
      <c r="T31" s="42"/>
      <c r="U31" s="42"/>
      <c r="V31" s="43"/>
      <c r="W31" s="42"/>
      <c r="X31" s="42"/>
      <c r="Y31" s="43"/>
      <c r="Z31" s="42"/>
      <c r="AA31" s="42"/>
      <c r="AB31" s="43"/>
      <c r="AC31" s="43"/>
      <c r="AD31" s="11">
        <v>127.5</v>
      </c>
      <c r="AE31" s="11">
        <v>110.6</v>
      </c>
      <c r="AF31">
        <f>Tabel2425678910111213[[#This Row],[Stand Kamertemp liter einde maand]]-Tabel2425678910111213[[#This Row],[Stand Kamertemp liter vorige maand]]</f>
        <v>16.900000000000006</v>
      </c>
      <c r="AG31" s="2">
        <f>Tabel2425678910111213[[#This Row],[Verbruik Kamertemp liter deze maand]]/0.15</f>
        <v>112.66666666666671</v>
      </c>
      <c r="AH31" s="25">
        <v>447.2</v>
      </c>
      <c r="AI31" s="25">
        <v>423.3</v>
      </c>
      <c r="AJ31">
        <f>Tabel2425678910111213[[#This Row],[Stand Gekoeld liter einde maand]]-Tabel2425678910111213[[#This Row],[Stand Gekoeld liter vorige maand]]</f>
        <v>23.899999999999977</v>
      </c>
      <c r="AK31" s="2">
        <f>Tabel2425678910111213[[#This Row],[Verbruik Gekoeld liter deze maand]]/0.15</f>
        <v>159.3333333333332</v>
      </c>
      <c r="AL31" s="25">
        <v>454.2</v>
      </c>
      <c r="AM31" s="25">
        <v>432</v>
      </c>
      <c r="AN31">
        <f>Tabel2425678910111213[[#This Row],[Stand Bruisend liter einde maand]]-Tabel2425678910111213[[#This Row],[Stand Bruisend liter vorige maand]]</f>
        <v>22.199999999999989</v>
      </c>
      <c r="AO31" s="2">
        <f>Tabel2425678910111213[[#This Row],[Verbruik Bruisend liter deze maand]]/0.15</f>
        <v>147.99999999999994</v>
      </c>
      <c r="AP31" s="25">
        <v>317.3</v>
      </c>
      <c r="AQ31" s="25">
        <v>306</v>
      </c>
      <c r="AR31">
        <f>Tabel2425678910111213[[#This Row],[Stand licht bruisend liter einde maand]]-Tabel2425678910111213[[#This Row],[Stand licht bruisend liter vorige maand]]</f>
        <v>11.300000000000011</v>
      </c>
      <c r="AS31" s="2">
        <f>Tabel2425678910111213[[#This Row],[Verbruik licht bruisend liter deze maand]]/0.15</f>
        <v>75.333333333333414</v>
      </c>
      <c r="AT31" s="25">
        <v>1710.7</v>
      </c>
      <c r="AU31" s="25">
        <v>1589.5</v>
      </c>
      <c r="AV31">
        <f>Tabel2425678910111213[[#This Row],[Stand heet water liter einde maand]]-Tabel2425678910111213[[#This Row],[Stand heet water liter vorige maand]]</f>
        <v>121.20000000000005</v>
      </c>
      <c r="AW31" s="20">
        <f>Tabel2425678910111213[[#This Row],[Verbruik heet Water liter deze maand ]]/0.15</f>
        <v>808.00000000000034</v>
      </c>
      <c r="AX31" s="4">
        <f>Tabel2425678910111213[[#This Row],[Aantal consumpties heet water deze maand]]+Tabel2425678910111213[[#This Row],[Aantal consumpties licht bruisend water deze maand]]+Tabel2425678910111213[[#This Row],[aantal consumpties Bruisend water deze maand]]+Tabel2425678910111213[[#This Row],[Aantal consumpties gekoeld water deze maand]]+Tabel2425678910111213[[#This Row],[Aantal consumpties Kamertemp deze maand]]</f>
        <v>1303.3333333333337</v>
      </c>
      <c r="AY31" s="4">
        <f>Tabel2425678910111213[[#This Row],[Subtotaal waterbar in consumpties]]+Tabel2425678910111213[[#This Row],[Subtotaal koffieautomaten]]</f>
        <v>1303.3333333333337</v>
      </c>
    </row>
    <row r="32" spans="1:51" x14ac:dyDescent="0.25">
      <c r="A32" t="s">
        <v>48</v>
      </c>
      <c r="B32" t="s">
        <v>81</v>
      </c>
      <c r="C32" t="s">
        <v>31</v>
      </c>
      <c r="E32" s="11">
        <v>4335</v>
      </c>
      <c r="F32" s="11">
        <v>4086</v>
      </c>
      <c r="G32" s="12">
        <f>Tabel2425678910111213[[#This Row],[Stand Coffee einde maand]]-Tabel2425678910111213[[#This Row],[Coffee vorige maand]]</f>
        <v>249</v>
      </c>
      <c r="H32" s="11">
        <v>269</v>
      </c>
      <c r="I32" s="11">
        <v>244</v>
      </c>
      <c r="J32" s="12">
        <f>Tabel2425678910111213[[#This Row],[Stand Espresso Einde maand]]-Tabel2425678910111213[[#This Row],[Espresso vorige maand]]</f>
        <v>25</v>
      </c>
      <c r="K32" s="11">
        <v>284</v>
      </c>
      <c r="L32" s="11">
        <v>269</v>
      </c>
      <c r="M32">
        <f>Tabel2425678910111213[[#This Row],[Stand Latte Macchiato einde maand]]-Tabel2425678910111213[[#This Row],[Latte Macchiato vorige maand]]</f>
        <v>15</v>
      </c>
      <c r="N32" s="11">
        <v>229</v>
      </c>
      <c r="O32" s="11">
        <v>206</v>
      </c>
      <c r="P32">
        <f>Tabel2425678910111213[[#This Row],[Stand Coffee Latte einde maand]]-Tabel2425678910111213[[#This Row],[Coffee Latte vorige maand]]</f>
        <v>23</v>
      </c>
      <c r="Q32" s="11">
        <v>9418</v>
      </c>
      <c r="R32" s="11">
        <v>8814</v>
      </c>
      <c r="S32">
        <f>Tabel2425678910111213[[#This Row],[Stand Hot Water einde maand]]-Tabel2425678910111213[[#This Row],[Hot Water vorige maand]]</f>
        <v>604</v>
      </c>
      <c r="T32" s="11">
        <v>1792</v>
      </c>
      <c r="U32" s="11">
        <v>1696</v>
      </c>
      <c r="V32">
        <f>Tabel2425678910111213[[#This Row],[Stand Cappucino einde maand]]-Tabel2425678910111213[[#This Row],[Stand Cappucino vorige maand]]</f>
        <v>96</v>
      </c>
      <c r="W32" s="11">
        <v>95</v>
      </c>
      <c r="X32" s="11">
        <v>91</v>
      </c>
      <c r="Y32">
        <f>Tabel2425678910111213[[#This Row],[Stand Cappucino Plantaardig einde maand]]-Tabel2425678910111213[[#This Row],[Stand Cappucino Plantaardig vorige maand]]</f>
        <v>4</v>
      </c>
      <c r="Z32" s="11">
        <v>20</v>
      </c>
      <c r="AA32" s="11">
        <v>20</v>
      </c>
      <c r="AB32" s="12">
        <f>Tabel2425678910111213[[#This Row],[Stand Latte Macchiato Plantaardig einde maand]]-Tabel2425678910111213[[#This Row],[Stand Latte Macchiato Plantaardig vorige maand]]</f>
        <v>0</v>
      </c>
      <c r="AC32" s="3">
        <f>Tabel2425678910111213[[#This Row],[Verbruik Stand Latte Macchiato Plantaardig deze maand]]+Tabel2425678910111213[[#This Row],[Verbruik  Cappucino Plantaardig deze maand]]+Tabel2425678910111213[[#This Row],[Verbruik Cappucino deze maand]]+Tabel2425678910111213[[#This Row],[Verbruik Hot Water deze maand]]+Tabel2425678910111213[[#This Row],[Verbruik Coffee Latte deze maand]]+Tabel2425678910111213[[#This Row],[Verbruik Latte Macchiato deze maand]]+Tabel2425678910111213[[#This Row],[Verbruik Espresso deze maand]]+Tabel2425678910111213[[#This Row],[Verbruik Coffee deze maand]]</f>
        <v>1016</v>
      </c>
      <c r="AD32" s="26"/>
      <c r="AE32" s="26"/>
      <c r="AF32" s="5"/>
      <c r="AG32" s="5"/>
      <c r="AH32" s="26"/>
      <c r="AI32" s="26"/>
      <c r="AJ32" s="5"/>
      <c r="AK32" s="7"/>
      <c r="AL32" s="26"/>
      <c r="AM32" s="26"/>
      <c r="AN32" s="5"/>
      <c r="AO32" s="7"/>
      <c r="AP32" s="26"/>
      <c r="AQ32" s="26"/>
      <c r="AR32" s="5"/>
      <c r="AS32" s="7"/>
      <c r="AT32" s="26"/>
      <c r="AU32" s="26"/>
      <c r="AV32" s="5"/>
      <c r="AW32" s="21"/>
      <c r="AX32" s="8"/>
      <c r="AY32" s="4">
        <f>Tabel2425678910111213[[#This Row],[Subtotaal waterbar in consumpties]]+Tabel2425678910111213[[#This Row],[Subtotaal koffieautomaten]]</f>
        <v>1016</v>
      </c>
    </row>
    <row r="33" spans="1:51" x14ac:dyDescent="0.25">
      <c r="A33" t="s">
        <v>50</v>
      </c>
      <c r="B33" t="s">
        <v>82</v>
      </c>
      <c r="C33" t="s">
        <v>47</v>
      </c>
      <c r="E33" s="11">
        <v>3133</v>
      </c>
      <c r="F33" s="11">
        <v>2914</v>
      </c>
      <c r="G33" s="12">
        <f>Tabel2425678910111213[[#This Row],[Stand Coffee einde maand]]-Tabel2425678910111213[[#This Row],[Coffee vorige maand]]</f>
        <v>219</v>
      </c>
      <c r="H33" s="11">
        <v>288</v>
      </c>
      <c r="I33" s="11">
        <v>265</v>
      </c>
      <c r="J33" s="12">
        <f>Tabel2425678910111213[[#This Row],[Stand Espresso Einde maand]]-Tabel2425678910111213[[#This Row],[Espresso vorige maand]]</f>
        <v>23</v>
      </c>
      <c r="K33" s="11">
        <v>747</v>
      </c>
      <c r="L33" s="11">
        <v>671</v>
      </c>
      <c r="M33">
        <f>Tabel2425678910111213[[#This Row],[Stand Latte Macchiato einde maand]]-Tabel2425678910111213[[#This Row],[Latte Macchiato vorige maand]]</f>
        <v>76</v>
      </c>
      <c r="N33" s="11">
        <v>450</v>
      </c>
      <c r="O33" s="11">
        <v>414</v>
      </c>
      <c r="P33">
        <f>Tabel2425678910111213[[#This Row],[Stand Coffee Latte einde maand]]-Tabel2425678910111213[[#This Row],[Coffee Latte vorige maand]]</f>
        <v>36</v>
      </c>
      <c r="Q33" s="11">
        <v>1</v>
      </c>
      <c r="R33" s="11">
        <v>1</v>
      </c>
      <c r="S33">
        <f>Tabel2425678910111213[[#This Row],[Stand Hot Water einde maand]]-Tabel2425678910111213[[#This Row],[Hot Water vorige maand]]</f>
        <v>0</v>
      </c>
      <c r="T33" s="11">
        <v>1835</v>
      </c>
      <c r="U33" s="11">
        <v>1660</v>
      </c>
      <c r="V33">
        <f>Tabel2425678910111213[[#This Row],[Stand Cappucino einde maand]]-Tabel2425678910111213[[#This Row],[Stand Cappucino vorige maand]]</f>
        <v>175</v>
      </c>
      <c r="W33" s="11">
        <v>227</v>
      </c>
      <c r="X33" s="11">
        <v>213</v>
      </c>
      <c r="Y33">
        <f>Tabel2425678910111213[[#This Row],[Stand Cappucino Plantaardig einde maand]]-Tabel2425678910111213[[#This Row],[Stand Cappucino Plantaardig vorige maand]]</f>
        <v>14</v>
      </c>
      <c r="Z33" s="11">
        <v>39</v>
      </c>
      <c r="AA33" s="11">
        <v>36</v>
      </c>
      <c r="AB33" s="12">
        <f>Tabel2425678910111213[[#This Row],[Stand Latte Macchiato Plantaardig einde maand]]-Tabel2425678910111213[[#This Row],[Stand Latte Macchiato Plantaardig vorige maand]]</f>
        <v>3</v>
      </c>
      <c r="AC33" s="3">
        <f>Tabel2425678910111213[[#This Row],[Verbruik Stand Latte Macchiato Plantaardig deze maand]]+Tabel2425678910111213[[#This Row],[Verbruik  Cappucino Plantaardig deze maand]]+Tabel2425678910111213[[#This Row],[Verbruik Cappucino deze maand]]+Tabel2425678910111213[[#This Row],[Verbruik Hot Water deze maand]]+Tabel2425678910111213[[#This Row],[Verbruik Coffee Latte deze maand]]+Tabel2425678910111213[[#This Row],[Verbruik Latte Macchiato deze maand]]+Tabel2425678910111213[[#This Row],[Verbruik Espresso deze maand]]+Tabel2425678910111213[[#This Row],[Verbruik Coffee deze maand]]</f>
        <v>546</v>
      </c>
      <c r="AD33" s="11">
        <v>86.9</v>
      </c>
      <c r="AE33" s="11">
        <v>84.1</v>
      </c>
      <c r="AF33">
        <f>Tabel2425678910111213[[#This Row],[Stand Kamertemp liter einde maand]]-Tabel2425678910111213[[#This Row],[Stand Kamertemp liter vorige maand]]</f>
        <v>2.8000000000000114</v>
      </c>
      <c r="AG33" s="2">
        <f>Tabel2425678910111213[[#This Row],[Verbruik Kamertemp liter deze maand]]/0.15</f>
        <v>18.666666666666742</v>
      </c>
      <c r="AH33" s="11">
        <v>368.7</v>
      </c>
      <c r="AI33" s="11">
        <v>348.3</v>
      </c>
      <c r="AJ33">
        <f>Tabel2425678910111213[[#This Row],[Stand Gekoeld liter einde maand]]-Tabel2425678910111213[[#This Row],[Stand Gekoeld liter vorige maand]]</f>
        <v>20.399999999999977</v>
      </c>
      <c r="AK33" s="2">
        <f>Tabel2425678910111213[[#This Row],[Verbruik Gekoeld liter deze maand]]/0.15</f>
        <v>135.99999999999986</v>
      </c>
      <c r="AL33" s="11">
        <v>463.8</v>
      </c>
      <c r="AM33" s="11">
        <v>448.9</v>
      </c>
      <c r="AN33">
        <f>Tabel2425678910111213[[#This Row],[Stand Bruisend liter einde maand]]-Tabel2425678910111213[[#This Row],[Stand Bruisend liter vorige maand]]</f>
        <v>14.900000000000034</v>
      </c>
      <c r="AO33" s="2">
        <f>Tabel2425678910111213[[#This Row],[Verbruik Bruisend liter deze maand]]/0.15</f>
        <v>99.33333333333357</v>
      </c>
      <c r="AP33" s="11">
        <v>127.2</v>
      </c>
      <c r="AQ33" s="11">
        <v>123</v>
      </c>
      <c r="AR33">
        <f>Tabel2425678910111213[[#This Row],[Stand licht bruisend liter einde maand]]-Tabel2425678910111213[[#This Row],[Stand licht bruisend liter vorige maand]]</f>
        <v>4.2000000000000028</v>
      </c>
      <c r="AS33" s="2">
        <f>Tabel2425678910111213[[#This Row],[Verbruik licht bruisend liter deze maand]]/0.15</f>
        <v>28.000000000000021</v>
      </c>
      <c r="AT33" s="11">
        <v>1284.7</v>
      </c>
      <c r="AU33" s="11">
        <v>1218.4000000000001</v>
      </c>
      <c r="AV33">
        <f>Tabel2425678910111213[[#This Row],[Stand heet water liter einde maand]]-Tabel2425678910111213[[#This Row],[Stand heet water liter vorige maand]]</f>
        <v>66.299999999999955</v>
      </c>
      <c r="AW33" s="20">
        <f>Tabel2425678910111213[[#This Row],[Verbruik heet Water liter deze maand ]]/0.15</f>
        <v>441.99999999999972</v>
      </c>
      <c r="AX33" s="4">
        <f>Tabel2425678910111213[[#This Row],[Aantal consumpties heet water deze maand]]+Tabel2425678910111213[[#This Row],[Aantal consumpties licht bruisend water deze maand]]+Tabel2425678910111213[[#This Row],[aantal consumpties Bruisend water deze maand]]+Tabel2425678910111213[[#This Row],[Aantal consumpties gekoeld water deze maand]]+Tabel2425678910111213[[#This Row],[Aantal consumpties Kamertemp deze maand]]</f>
        <v>723.99999999999989</v>
      </c>
      <c r="AY33" s="4">
        <f>Tabel2425678910111213[[#This Row],[Subtotaal waterbar in consumpties]]+Tabel2425678910111213[[#This Row],[Subtotaal koffieautomaten]]</f>
        <v>1270</v>
      </c>
    </row>
    <row r="34" spans="1:51" x14ac:dyDescent="0.25">
      <c r="A34" t="s">
        <v>52</v>
      </c>
      <c r="B34" t="s">
        <v>83</v>
      </c>
      <c r="C34" t="s">
        <v>47</v>
      </c>
      <c r="E34" s="11">
        <v>3418</v>
      </c>
      <c r="F34" s="11">
        <v>3192</v>
      </c>
      <c r="G34" s="12">
        <f>Tabel2425678910111213[[#This Row],[Stand Coffee einde maand]]-Tabel2425678910111213[[#This Row],[Coffee vorige maand]]</f>
        <v>226</v>
      </c>
      <c r="H34" s="11">
        <v>1628</v>
      </c>
      <c r="I34" s="11">
        <v>1515</v>
      </c>
      <c r="J34" s="12">
        <f>Tabel2425678910111213[[#This Row],[Stand Espresso Einde maand]]-Tabel2425678910111213[[#This Row],[Espresso vorige maand]]</f>
        <v>113</v>
      </c>
      <c r="K34" s="11">
        <v>567</v>
      </c>
      <c r="L34" s="11">
        <v>533</v>
      </c>
      <c r="M34">
        <f>Tabel2425678910111213[[#This Row],[Stand Latte Macchiato einde maand]]-Tabel2425678910111213[[#This Row],[Latte Macchiato vorige maand]]</f>
        <v>34</v>
      </c>
      <c r="N34" s="11">
        <v>179</v>
      </c>
      <c r="O34" s="11">
        <v>175</v>
      </c>
      <c r="P34">
        <f>Tabel2425678910111213[[#This Row],[Stand Coffee Latte einde maand]]-Tabel2425678910111213[[#This Row],[Coffee Latte vorige maand]]</f>
        <v>4</v>
      </c>
      <c r="Q34" s="11">
        <v>1</v>
      </c>
      <c r="R34" s="11">
        <v>1</v>
      </c>
      <c r="S34">
        <f>Tabel2425678910111213[[#This Row],[Stand Hot Water einde maand]]-Tabel2425678910111213[[#This Row],[Hot Water vorige maand]]</f>
        <v>0</v>
      </c>
      <c r="T34" s="11">
        <v>1098</v>
      </c>
      <c r="U34" s="11">
        <v>1009</v>
      </c>
      <c r="V34">
        <f>Tabel2425678910111213[[#This Row],[Stand Cappucino einde maand]]-Tabel2425678910111213[[#This Row],[Stand Cappucino vorige maand]]</f>
        <v>89</v>
      </c>
      <c r="W34" s="11">
        <v>438</v>
      </c>
      <c r="X34" s="11">
        <v>402</v>
      </c>
      <c r="Y34">
        <f>Tabel2425678910111213[[#This Row],[Stand Cappucino Plantaardig einde maand]]-Tabel2425678910111213[[#This Row],[Stand Cappucino Plantaardig vorige maand]]</f>
        <v>36</v>
      </c>
      <c r="Z34" s="11">
        <v>472</v>
      </c>
      <c r="AA34" s="11">
        <v>472</v>
      </c>
      <c r="AB34" s="12">
        <f>Tabel2425678910111213[[#This Row],[Stand Latte Macchiato Plantaardig einde maand]]-Tabel2425678910111213[[#This Row],[Stand Latte Macchiato Plantaardig vorige maand]]</f>
        <v>0</v>
      </c>
      <c r="AC34" s="3">
        <f>Tabel2425678910111213[[#This Row],[Verbruik Stand Latte Macchiato Plantaardig deze maand]]+Tabel2425678910111213[[#This Row],[Verbruik  Cappucino Plantaardig deze maand]]+Tabel2425678910111213[[#This Row],[Verbruik Cappucino deze maand]]+Tabel2425678910111213[[#This Row],[Verbruik Hot Water deze maand]]+Tabel2425678910111213[[#This Row],[Verbruik Coffee Latte deze maand]]+Tabel2425678910111213[[#This Row],[Verbruik Latte Macchiato deze maand]]+Tabel2425678910111213[[#This Row],[Verbruik Espresso deze maand]]+Tabel2425678910111213[[#This Row],[Verbruik Coffee deze maand]]</f>
        <v>502</v>
      </c>
      <c r="AD34" s="11">
        <v>91.2</v>
      </c>
      <c r="AE34" s="11">
        <v>84.8</v>
      </c>
      <c r="AF34">
        <f>Tabel2425678910111213[[#This Row],[Stand Kamertemp liter einde maand]]-Tabel2425678910111213[[#This Row],[Stand Kamertemp liter vorige maand]]</f>
        <v>6.4000000000000057</v>
      </c>
      <c r="AG34" s="2">
        <f>Tabel2425678910111213[[#This Row],[Verbruik Kamertemp liter deze maand]]/0.15</f>
        <v>42.666666666666707</v>
      </c>
      <c r="AH34" s="11">
        <v>479.6</v>
      </c>
      <c r="AI34" s="11">
        <v>458.4</v>
      </c>
      <c r="AJ34">
        <f>Tabel2425678910111213[[#This Row],[Stand Gekoeld liter einde maand]]-Tabel2425678910111213[[#This Row],[Stand Gekoeld liter vorige maand]]</f>
        <v>21.200000000000045</v>
      </c>
      <c r="AK34" s="2">
        <f>Tabel2425678910111213[[#This Row],[Verbruik Gekoeld liter deze maand]]/0.15</f>
        <v>141.33333333333366</v>
      </c>
      <c r="AL34" s="11">
        <v>386.2</v>
      </c>
      <c r="AM34" s="11">
        <v>369.1</v>
      </c>
      <c r="AN34">
        <f>Tabel2425678910111213[[#This Row],[Stand Bruisend liter einde maand]]-Tabel2425678910111213[[#This Row],[Stand Bruisend liter vorige maand]]</f>
        <v>17.099999999999966</v>
      </c>
      <c r="AO34" s="2">
        <f>Tabel2425678910111213[[#This Row],[Verbruik Bruisend liter deze maand]]/0.15</f>
        <v>113.99999999999977</v>
      </c>
      <c r="AP34" s="11">
        <v>129.9</v>
      </c>
      <c r="AQ34" s="11">
        <v>126.1</v>
      </c>
      <c r="AR34">
        <f>Tabel2425678910111213[[#This Row],[Stand licht bruisend liter einde maand]]-Tabel2425678910111213[[#This Row],[Stand licht bruisend liter vorige maand]]</f>
        <v>3.8000000000000114</v>
      </c>
      <c r="AS34" s="2">
        <f>Tabel2425678910111213[[#This Row],[Verbruik licht bruisend liter deze maand]]/0.15</f>
        <v>25.33333333333341</v>
      </c>
      <c r="AT34" s="11">
        <v>2413.9</v>
      </c>
      <c r="AU34" s="11">
        <v>2227.3000000000002</v>
      </c>
      <c r="AV34">
        <f>Tabel2425678910111213[[#This Row],[Stand heet water liter einde maand]]-Tabel2425678910111213[[#This Row],[Stand heet water liter vorige maand]]</f>
        <v>186.59999999999991</v>
      </c>
      <c r="AW34" s="20">
        <f>Tabel2425678910111213[[#This Row],[Verbruik heet Water liter deze maand ]]/0.15</f>
        <v>1243.9999999999995</v>
      </c>
      <c r="AX34" s="4">
        <f>Tabel2425678910111213[[#This Row],[Aantal consumpties heet water deze maand]]+Tabel2425678910111213[[#This Row],[Aantal consumpties licht bruisend water deze maand]]+Tabel2425678910111213[[#This Row],[aantal consumpties Bruisend water deze maand]]+Tabel2425678910111213[[#This Row],[Aantal consumpties gekoeld water deze maand]]+Tabel2425678910111213[[#This Row],[Aantal consumpties Kamertemp deze maand]]</f>
        <v>1567.3333333333333</v>
      </c>
      <c r="AY34" s="4">
        <f>Tabel2425678910111213[[#This Row],[Subtotaal waterbar in consumpties]]+Tabel2425678910111213[[#This Row],[Subtotaal koffieautomaten]]</f>
        <v>2069.333333333333</v>
      </c>
    </row>
    <row r="35" spans="1:51" x14ac:dyDescent="0.25">
      <c r="A35" t="s">
        <v>54</v>
      </c>
      <c r="B35" t="s">
        <v>84</v>
      </c>
      <c r="C35" t="s">
        <v>31</v>
      </c>
      <c r="E35" s="11">
        <v>3885</v>
      </c>
      <c r="F35" s="11">
        <v>3650</v>
      </c>
      <c r="G35" s="12">
        <f>Tabel2425678910111213[[#This Row],[Stand Coffee einde maand]]-Tabel2425678910111213[[#This Row],[Coffee vorige maand]]</f>
        <v>235</v>
      </c>
      <c r="H35" s="11">
        <v>791</v>
      </c>
      <c r="I35" s="11">
        <v>725</v>
      </c>
      <c r="J35" s="12">
        <f>Tabel2425678910111213[[#This Row],[Stand Espresso Einde maand]]-Tabel2425678910111213[[#This Row],[Espresso vorige maand]]</f>
        <v>66</v>
      </c>
      <c r="K35" s="11">
        <v>433</v>
      </c>
      <c r="L35" s="11">
        <v>400</v>
      </c>
      <c r="M35">
        <f>Tabel2425678910111213[[#This Row],[Stand Latte Macchiato einde maand]]-Tabel2425678910111213[[#This Row],[Latte Macchiato vorige maand]]</f>
        <v>33</v>
      </c>
      <c r="N35" s="11">
        <v>166</v>
      </c>
      <c r="O35" s="11">
        <v>142</v>
      </c>
      <c r="P35">
        <f>Tabel2425678910111213[[#This Row],[Stand Coffee Latte einde maand]]-Tabel2425678910111213[[#This Row],[Coffee Latte vorige maand]]</f>
        <v>24</v>
      </c>
      <c r="Q35" s="11">
        <v>6465</v>
      </c>
      <c r="R35" s="11">
        <v>6044</v>
      </c>
      <c r="S35">
        <f>Tabel2425678910111213[[#This Row],[Stand Hot Water einde maand]]-Tabel2425678910111213[[#This Row],[Hot Water vorige maand]]</f>
        <v>421</v>
      </c>
      <c r="T35" s="11">
        <v>1377</v>
      </c>
      <c r="U35" s="11">
        <v>1288</v>
      </c>
      <c r="V35">
        <f>Tabel2425678910111213[[#This Row],[Stand Cappucino einde maand]]-Tabel2425678910111213[[#This Row],[Stand Cappucino vorige maand]]</f>
        <v>89</v>
      </c>
      <c r="W35" s="11">
        <v>180</v>
      </c>
      <c r="X35" s="11">
        <v>169</v>
      </c>
      <c r="Y35">
        <f>Tabel2425678910111213[[#This Row],[Stand Cappucino Plantaardig einde maand]]-Tabel2425678910111213[[#This Row],[Stand Cappucino Plantaardig vorige maand]]</f>
        <v>11</v>
      </c>
      <c r="Z35" s="11">
        <v>308</v>
      </c>
      <c r="AA35" s="11">
        <v>296</v>
      </c>
      <c r="AB35" s="12">
        <f>Tabel2425678910111213[[#This Row],[Stand Latte Macchiato Plantaardig einde maand]]-Tabel2425678910111213[[#This Row],[Stand Latte Macchiato Plantaardig vorige maand]]</f>
        <v>12</v>
      </c>
      <c r="AC35" s="3">
        <f>Tabel2425678910111213[[#This Row],[Verbruik Stand Latte Macchiato Plantaardig deze maand]]+Tabel2425678910111213[[#This Row],[Verbruik  Cappucino Plantaardig deze maand]]+Tabel2425678910111213[[#This Row],[Verbruik Cappucino deze maand]]+Tabel2425678910111213[[#This Row],[Verbruik Hot Water deze maand]]+Tabel2425678910111213[[#This Row],[Verbruik Coffee Latte deze maand]]+Tabel2425678910111213[[#This Row],[Verbruik Latte Macchiato deze maand]]+Tabel2425678910111213[[#This Row],[Verbruik Espresso deze maand]]+Tabel2425678910111213[[#This Row],[Verbruik Coffee deze maand]]</f>
        <v>891</v>
      </c>
      <c r="AD35" s="26"/>
      <c r="AE35" s="26"/>
      <c r="AF35" s="5"/>
      <c r="AG35" s="5"/>
      <c r="AH35" s="26"/>
      <c r="AI35" s="26"/>
      <c r="AJ35" s="5"/>
      <c r="AK35" s="5"/>
      <c r="AL35" s="26"/>
      <c r="AM35" s="26"/>
      <c r="AN35" s="5"/>
      <c r="AO35" s="7"/>
      <c r="AP35" s="26"/>
      <c r="AQ35" s="26"/>
      <c r="AR35" s="5"/>
      <c r="AS35" s="7"/>
      <c r="AT35" s="26"/>
      <c r="AU35" s="26"/>
      <c r="AV35" s="5"/>
      <c r="AW35" s="21"/>
      <c r="AX35" s="8"/>
      <c r="AY35" s="4">
        <f>Tabel2425678910111213[[#This Row],[Subtotaal waterbar in consumpties]]+Tabel2425678910111213[[#This Row],[Subtotaal koffieautomaten]]</f>
        <v>891</v>
      </c>
    </row>
    <row r="36" spans="1:51" x14ac:dyDescent="0.25">
      <c r="A36" t="s">
        <v>56</v>
      </c>
      <c r="B36" t="s">
        <v>85</v>
      </c>
      <c r="C36" t="s">
        <v>36</v>
      </c>
      <c r="E36" s="42"/>
      <c r="F36" s="42"/>
      <c r="G36" s="43"/>
      <c r="H36" s="42"/>
      <c r="I36" s="42"/>
      <c r="J36" s="43"/>
      <c r="K36" s="42"/>
      <c r="L36" s="42"/>
      <c r="M36" s="43"/>
      <c r="N36" s="42"/>
      <c r="O36" s="42"/>
      <c r="P36" s="43"/>
      <c r="Q36" s="42"/>
      <c r="R36" s="42"/>
      <c r="S36" s="43"/>
      <c r="T36" s="42"/>
      <c r="U36" s="42"/>
      <c r="V36" s="43"/>
      <c r="W36" s="42"/>
      <c r="X36" s="42"/>
      <c r="Y36" s="43"/>
      <c r="Z36" s="42"/>
      <c r="AA36" s="42"/>
      <c r="AB36" s="43"/>
      <c r="AC36" s="43"/>
      <c r="AD36" s="11">
        <v>50.1</v>
      </c>
      <c r="AE36" s="11">
        <v>46.7</v>
      </c>
      <c r="AF36">
        <f>Tabel2425678910111213[[#This Row],[Stand Kamertemp liter einde maand]]-Tabel2425678910111213[[#This Row],[Stand Kamertemp liter vorige maand]]</f>
        <v>3.3999999999999986</v>
      </c>
      <c r="AG36" s="2">
        <f>Tabel2425678910111213[[#This Row],[Verbruik Kamertemp liter deze maand]]/0.15</f>
        <v>22.666666666666657</v>
      </c>
      <c r="AH36" s="11">
        <v>568.5</v>
      </c>
      <c r="AI36" s="11">
        <v>546.20000000000005</v>
      </c>
      <c r="AJ36">
        <f>Tabel2425678910111213[[#This Row],[Stand Gekoeld liter einde maand]]-Tabel2425678910111213[[#This Row],[Stand Gekoeld liter vorige maand]]</f>
        <v>22.299999999999955</v>
      </c>
      <c r="AK36" s="2">
        <f>Tabel2425678910111213[[#This Row],[Verbruik Gekoeld liter deze maand]]/0.15</f>
        <v>148.66666666666637</v>
      </c>
      <c r="AL36" s="11">
        <v>253.6</v>
      </c>
      <c r="AM36" s="11">
        <v>241.1</v>
      </c>
      <c r="AN36">
        <f>Tabel2425678910111213[[#This Row],[Stand Bruisend liter einde maand]]-Tabel2425678910111213[[#This Row],[Stand Bruisend liter vorige maand]]</f>
        <v>12.5</v>
      </c>
      <c r="AO36" s="2">
        <f>Tabel2425678910111213[[#This Row],[Verbruik Bruisend liter deze maand]]/0.15</f>
        <v>83.333333333333343</v>
      </c>
      <c r="AP36" s="11">
        <v>244.1</v>
      </c>
      <c r="AQ36" s="11">
        <v>227.1</v>
      </c>
      <c r="AR36">
        <f>Tabel2425678910111213[[#This Row],[Stand licht bruisend liter einde maand]]-Tabel2425678910111213[[#This Row],[Stand licht bruisend liter vorige maand]]</f>
        <v>17</v>
      </c>
      <c r="AS36" s="2">
        <f>Tabel2425678910111213[[#This Row],[Verbruik licht bruisend liter deze maand]]/0.15</f>
        <v>113.33333333333334</v>
      </c>
      <c r="AT36" s="11">
        <v>1864.6</v>
      </c>
      <c r="AU36" s="11">
        <v>1739.7</v>
      </c>
      <c r="AV36">
        <f>Tabel2425678910111213[[#This Row],[Stand heet water liter einde maand]]-Tabel2425678910111213[[#This Row],[Stand heet water liter vorige maand]]</f>
        <v>124.89999999999986</v>
      </c>
      <c r="AW36" s="20">
        <f>Tabel2425678910111213[[#This Row],[Verbruik heet Water liter deze maand ]]/0.15</f>
        <v>832.66666666666583</v>
      </c>
      <c r="AX36" s="4">
        <f>Tabel2425678910111213[[#This Row],[Aantal consumpties heet water deze maand]]+Tabel2425678910111213[[#This Row],[Aantal consumpties licht bruisend water deze maand]]+Tabel2425678910111213[[#This Row],[aantal consumpties Bruisend water deze maand]]+Tabel2425678910111213[[#This Row],[Aantal consumpties gekoeld water deze maand]]+Tabel2425678910111213[[#This Row],[Aantal consumpties Kamertemp deze maand]]</f>
        <v>1200.6666666666656</v>
      </c>
      <c r="AY36" s="4">
        <f>Tabel2425678910111213[[#This Row],[Subtotaal waterbar in consumpties]]+Tabel2425678910111213[[#This Row],[Subtotaal koffieautomaten]]</f>
        <v>1200.6666666666656</v>
      </c>
    </row>
    <row r="37" spans="1:51" x14ac:dyDescent="0.25">
      <c r="A37" t="s">
        <v>58</v>
      </c>
      <c r="B37" t="s">
        <v>86</v>
      </c>
      <c r="C37" t="s">
        <v>47</v>
      </c>
      <c r="E37" s="11">
        <v>5320</v>
      </c>
      <c r="F37" s="11">
        <v>5033</v>
      </c>
      <c r="G37" s="12">
        <f>Tabel2425678910111213[[#This Row],[Stand Coffee einde maand]]-Tabel2425678910111213[[#This Row],[Coffee vorige maand]]</f>
        <v>287</v>
      </c>
      <c r="H37" s="11">
        <v>1517</v>
      </c>
      <c r="I37" s="11">
        <v>1350</v>
      </c>
      <c r="J37" s="12">
        <f>Tabel2425678910111213[[#This Row],[Stand Espresso Einde maand]]-Tabel2425678910111213[[#This Row],[Espresso vorige maand]]</f>
        <v>167</v>
      </c>
      <c r="K37" s="11">
        <v>549</v>
      </c>
      <c r="L37" s="11">
        <v>518</v>
      </c>
      <c r="M37">
        <f>Tabel2425678910111213[[#This Row],[Stand Latte Macchiato einde maand]]-Tabel2425678910111213[[#This Row],[Latte Macchiato vorige maand]]</f>
        <v>31</v>
      </c>
      <c r="N37" s="11">
        <v>431</v>
      </c>
      <c r="O37" s="11">
        <v>398</v>
      </c>
      <c r="P37">
        <f>Tabel2425678910111213[[#This Row],[Stand Coffee Latte einde maand]]-Tabel2425678910111213[[#This Row],[Coffee Latte vorige maand]]</f>
        <v>33</v>
      </c>
      <c r="Q37" s="11">
        <v>1</v>
      </c>
      <c r="R37" s="11">
        <v>1</v>
      </c>
      <c r="S37">
        <f>Tabel2425678910111213[[#This Row],[Stand Hot Water einde maand]]-Tabel2425678910111213[[#This Row],[Hot Water vorige maand]]</f>
        <v>0</v>
      </c>
      <c r="T37" s="11">
        <v>2980</v>
      </c>
      <c r="U37" s="11">
        <v>2768</v>
      </c>
      <c r="V37">
        <f>Tabel2425678910111213[[#This Row],[Stand Cappucino einde maand]]-Tabel2425678910111213[[#This Row],[Stand Cappucino vorige maand]]</f>
        <v>212</v>
      </c>
      <c r="W37" s="11">
        <v>448</v>
      </c>
      <c r="X37" s="11">
        <v>416</v>
      </c>
      <c r="Y37">
        <f>Tabel2425678910111213[[#This Row],[Stand Cappucino Plantaardig einde maand]]-Tabel2425678910111213[[#This Row],[Stand Cappucino Plantaardig vorige maand]]</f>
        <v>32</v>
      </c>
      <c r="Z37" s="11">
        <v>364</v>
      </c>
      <c r="AA37" s="11">
        <v>309</v>
      </c>
      <c r="AB37" s="12">
        <f>Tabel2425678910111213[[#This Row],[Stand Latte Macchiato Plantaardig einde maand]]-Tabel2425678910111213[[#This Row],[Stand Latte Macchiato Plantaardig vorige maand]]</f>
        <v>55</v>
      </c>
      <c r="AC37" s="3">
        <f>Tabel2425678910111213[[#This Row],[Verbruik Stand Latte Macchiato Plantaardig deze maand]]+Tabel2425678910111213[[#This Row],[Verbruik  Cappucino Plantaardig deze maand]]+Tabel2425678910111213[[#This Row],[Verbruik Cappucino deze maand]]+Tabel2425678910111213[[#This Row],[Verbruik Hot Water deze maand]]+Tabel2425678910111213[[#This Row],[Verbruik Coffee Latte deze maand]]+Tabel2425678910111213[[#This Row],[Verbruik Latte Macchiato deze maand]]+Tabel2425678910111213[[#This Row],[Verbruik Espresso deze maand]]+Tabel2425678910111213[[#This Row],[Verbruik Coffee deze maand]]</f>
        <v>817</v>
      </c>
      <c r="AD37" s="11">
        <v>124.5</v>
      </c>
      <c r="AE37" s="11">
        <v>124.5</v>
      </c>
      <c r="AF37">
        <f>Tabel2425678910111213[[#This Row],[Stand Kamertemp liter einde maand]]-Tabel2425678910111213[[#This Row],[Stand Kamertemp liter vorige maand]]</f>
        <v>0</v>
      </c>
      <c r="AG37" s="2">
        <f>Tabel2425678910111213[[#This Row],[Verbruik Kamertemp liter deze maand]]/0.15</f>
        <v>0</v>
      </c>
      <c r="AH37" s="11">
        <v>752.2</v>
      </c>
      <c r="AI37" s="11">
        <v>752.2</v>
      </c>
      <c r="AJ37">
        <f>Tabel2425678910111213[[#This Row],[Stand Gekoeld liter einde maand]]-Tabel2425678910111213[[#This Row],[Stand Gekoeld liter vorige maand]]</f>
        <v>0</v>
      </c>
      <c r="AK37" s="2">
        <f>Tabel2425678910111213[[#This Row],[Verbruik Gekoeld liter deze maand]]/0.15</f>
        <v>0</v>
      </c>
      <c r="AL37" s="11">
        <v>415.7</v>
      </c>
      <c r="AM37" s="11">
        <v>415.7</v>
      </c>
      <c r="AN37">
        <f>Tabel2425678910111213[[#This Row],[Stand Bruisend liter einde maand]]-Tabel2425678910111213[[#This Row],[Stand Bruisend liter vorige maand]]</f>
        <v>0</v>
      </c>
      <c r="AO37" s="2">
        <f>Tabel2425678910111213[[#This Row],[Verbruik Bruisend liter deze maand]]/0.15</f>
        <v>0</v>
      </c>
      <c r="AP37" s="11">
        <v>118.7</v>
      </c>
      <c r="AQ37" s="11">
        <v>118.7</v>
      </c>
      <c r="AR37">
        <f>Tabel2425678910111213[[#This Row],[Stand licht bruisend liter einde maand]]-Tabel2425678910111213[[#This Row],[Stand licht bruisend liter vorige maand]]</f>
        <v>0</v>
      </c>
      <c r="AS37" s="2">
        <f>Tabel2425678910111213[[#This Row],[Verbruik licht bruisend liter deze maand]]/0.15</f>
        <v>0</v>
      </c>
      <c r="AT37" s="11">
        <v>1877.3</v>
      </c>
      <c r="AU37" s="11">
        <v>1877.3</v>
      </c>
      <c r="AV37">
        <f>Tabel2425678910111213[[#This Row],[Stand heet water liter einde maand]]-Tabel2425678910111213[[#This Row],[Stand heet water liter vorige maand]]</f>
        <v>0</v>
      </c>
      <c r="AW37" s="20">
        <f>Tabel2425678910111213[[#This Row],[Verbruik heet Water liter deze maand ]]/0.15</f>
        <v>0</v>
      </c>
      <c r="AX37" s="4">
        <v>3288.4</v>
      </c>
      <c r="AY37" s="4">
        <f>Tabel2425678910111213[[#This Row],[Subtotaal waterbar in consumpties]]+Tabel2425678910111213[[#This Row],[Subtotaal koffieautomaten]]</f>
        <v>4105.3999999999996</v>
      </c>
    </row>
    <row r="38" spans="1:51" x14ac:dyDescent="0.25">
      <c r="A38" t="s">
        <v>60</v>
      </c>
      <c r="B38" t="s">
        <v>87</v>
      </c>
      <c r="C38" t="s">
        <v>31</v>
      </c>
      <c r="E38" s="11">
        <v>2138</v>
      </c>
      <c r="F38" s="11">
        <v>1990</v>
      </c>
      <c r="G38" s="12">
        <f>Tabel2425678910111213[[#This Row],[Stand Coffee einde maand]]-Tabel2425678910111213[[#This Row],[Coffee vorige maand]]</f>
        <v>148</v>
      </c>
      <c r="H38" s="11">
        <v>422</v>
      </c>
      <c r="I38" s="11">
        <v>468</v>
      </c>
      <c r="J38" s="12">
        <f>Tabel2425678910111213[[#This Row],[Stand Espresso Einde maand]]-Tabel2425678910111213[[#This Row],[Espresso vorige maand]]</f>
        <v>-46</v>
      </c>
      <c r="K38" s="11">
        <v>468</v>
      </c>
      <c r="L38" s="11">
        <v>445</v>
      </c>
      <c r="M38">
        <f>Tabel2425678910111213[[#This Row],[Stand Latte Macchiato einde maand]]-Tabel2425678910111213[[#This Row],[Latte Macchiato vorige maand]]</f>
        <v>23</v>
      </c>
      <c r="N38" s="11">
        <v>326</v>
      </c>
      <c r="O38" s="11">
        <v>311</v>
      </c>
      <c r="P38">
        <f>Tabel2425678910111213[[#This Row],[Stand Coffee Latte einde maand]]-Tabel2425678910111213[[#This Row],[Coffee Latte vorige maand]]</f>
        <v>15</v>
      </c>
      <c r="Q38" s="11">
        <v>8047</v>
      </c>
      <c r="R38" s="11">
        <v>7527</v>
      </c>
      <c r="S38">
        <f>Tabel2425678910111213[[#This Row],[Stand Hot Water einde maand]]-Tabel2425678910111213[[#This Row],[Hot Water vorige maand]]</f>
        <v>520</v>
      </c>
      <c r="T38" s="11">
        <v>1625</v>
      </c>
      <c r="U38" s="11">
        <v>1519</v>
      </c>
      <c r="V38">
        <f>Tabel2425678910111213[[#This Row],[Stand Cappucino einde maand]]-Tabel2425678910111213[[#This Row],[Stand Cappucino vorige maand]]</f>
        <v>106</v>
      </c>
      <c r="W38" s="11">
        <v>212</v>
      </c>
      <c r="X38" s="11">
        <v>209</v>
      </c>
      <c r="Y38">
        <f>Tabel2425678910111213[[#This Row],[Stand Cappucino Plantaardig einde maand]]-Tabel2425678910111213[[#This Row],[Stand Cappucino Plantaardig vorige maand]]</f>
        <v>3</v>
      </c>
      <c r="Z38" s="11">
        <v>135</v>
      </c>
      <c r="AA38" s="11">
        <v>127</v>
      </c>
      <c r="AB38" s="12">
        <f>Tabel2425678910111213[[#This Row],[Stand Latte Macchiato Plantaardig einde maand]]-Tabel2425678910111213[[#This Row],[Stand Latte Macchiato Plantaardig vorige maand]]</f>
        <v>8</v>
      </c>
      <c r="AC38" s="3">
        <f>Tabel2425678910111213[[#This Row],[Verbruik Stand Latte Macchiato Plantaardig deze maand]]+Tabel2425678910111213[[#This Row],[Verbruik  Cappucino Plantaardig deze maand]]+Tabel2425678910111213[[#This Row],[Verbruik Cappucino deze maand]]+Tabel2425678910111213[[#This Row],[Verbruik Hot Water deze maand]]+Tabel2425678910111213[[#This Row],[Verbruik Coffee Latte deze maand]]+Tabel2425678910111213[[#This Row],[Verbruik Latte Macchiato deze maand]]+Tabel2425678910111213[[#This Row],[Verbruik Espresso deze maand]]+Tabel2425678910111213[[#This Row],[Verbruik Coffee deze maand]]</f>
        <v>777</v>
      </c>
      <c r="AD38" s="26"/>
      <c r="AE38" s="26"/>
      <c r="AF38" s="5"/>
      <c r="AG38" s="5"/>
      <c r="AH38" s="26"/>
      <c r="AI38" s="26"/>
      <c r="AJ38" s="5"/>
      <c r="AK38" s="5"/>
      <c r="AL38" s="26"/>
      <c r="AM38" s="26"/>
      <c r="AN38" s="5"/>
      <c r="AO38" s="5"/>
      <c r="AP38" s="26"/>
      <c r="AQ38" s="26"/>
      <c r="AR38" s="5"/>
      <c r="AS38" s="5"/>
      <c r="AT38" s="26"/>
      <c r="AU38" s="26"/>
      <c r="AV38" s="5"/>
      <c r="AW38" s="16"/>
      <c r="AX38" s="6"/>
      <c r="AY38" s="4">
        <f>Tabel2425678910111213[[#This Row],[Subtotaal waterbar in consumpties]]+Tabel2425678910111213[[#This Row],[Subtotaal koffieautomaten]]</f>
        <v>777</v>
      </c>
    </row>
    <row r="39" spans="1:51" x14ac:dyDescent="0.25">
      <c r="A39" s="3" t="s">
        <v>88</v>
      </c>
      <c r="F39" s="11"/>
      <c r="H39" s="11"/>
      <c r="I39" s="11"/>
      <c r="J39" s="12"/>
      <c r="K39" s="11"/>
      <c r="L39" s="11"/>
      <c r="O39" s="11"/>
      <c r="R39" s="11"/>
      <c r="U39" s="11"/>
      <c r="X39" s="11"/>
      <c r="AA39" s="11"/>
      <c r="AC39" s="3">
        <f>Tabel2425678910111213[[#This Row],[Verbruik Stand Latte Macchiato Plantaardig deze maand]]+Tabel2425678910111213[[#This Row],[Verbruik  Cappucino Plantaardig deze maand]]+Tabel2425678910111213[[#This Row],[Verbruik Cappucino deze maand]]+Tabel2425678910111213[[#This Row],[Verbruik Hot Water deze maand]]+Tabel2425678910111213[[#This Row],[Verbruik Coffee Latte deze maand]]+Tabel2425678910111213[[#This Row],[Verbruik Latte Macchiato deze maand]]+Tabel2425678910111213[[#This Row],[Verbruik Espresso deze maand]]+Tabel2425678910111213[[#This Row],[Verbruik Coffee deze maand]]</f>
        <v>0</v>
      </c>
      <c r="AE39" s="11"/>
      <c r="AG39" s="2"/>
      <c r="AI39" s="11"/>
      <c r="AK39" s="2"/>
      <c r="AM39" s="11"/>
      <c r="AO39" s="2"/>
      <c r="AQ39" s="11"/>
      <c r="AS39" s="2"/>
      <c r="AU39" s="11"/>
      <c r="AW39" s="20"/>
      <c r="AX39" s="4"/>
      <c r="AY39" s="4">
        <f>Tabel2425678910111213[[#This Row],[Subtotaal waterbar in consumpties]]+Tabel2425678910111213[[#This Row],[Subtotaal koffieautomaten]]</f>
        <v>0</v>
      </c>
    </row>
    <row r="40" spans="1:51" x14ac:dyDescent="0.25">
      <c r="A40" s="28" t="s">
        <v>39</v>
      </c>
      <c r="B40" s="28" t="s">
        <v>89</v>
      </c>
      <c r="C40" s="28" t="s">
        <v>36</v>
      </c>
      <c r="D40" s="28"/>
      <c r="E40" s="42"/>
      <c r="F40" s="42"/>
      <c r="G40" s="43"/>
      <c r="H40" s="42"/>
      <c r="I40" s="42"/>
      <c r="J40" s="43"/>
      <c r="K40" s="42"/>
      <c r="L40" s="42"/>
      <c r="M40" s="43"/>
      <c r="N40" s="42"/>
      <c r="O40" s="42"/>
      <c r="P40" s="43"/>
      <c r="Q40" s="42"/>
      <c r="R40" s="42"/>
      <c r="S40" s="43"/>
      <c r="T40" s="42"/>
      <c r="U40" s="42"/>
      <c r="V40" s="43"/>
      <c r="W40" s="42"/>
      <c r="X40" s="42"/>
      <c r="Y40" s="43"/>
      <c r="Z40" s="42"/>
      <c r="AA40" s="42"/>
      <c r="AB40" s="43"/>
      <c r="AC40" s="43"/>
      <c r="AD40" s="11">
        <v>141.30000000000001</v>
      </c>
      <c r="AE40" s="11">
        <v>141.30000000000001</v>
      </c>
      <c r="AF40">
        <f>Tabel2425678910111213[[#This Row],[Stand Kamertemp liter einde maand]]-Tabel2425678910111213[[#This Row],[Stand Kamertemp liter vorige maand]]</f>
        <v>0</v>
      </c>
      <c r="AG40" s="2">
        <f>Tabel2425678910111213[[#This Row],[Verbruik Kamertemp liter deze maand]]/0.15</f>
        <v>0</v>
      </c>
      <c r="AH40" s="11">
        <v>129.1</v>
      </c>
      <c r="AI40" s="11">
        <v>129.1</v>
      </c>
      <c r="AJ40">
        <f>Tabel2425678910111213[[#This Row],[Stand Gekoeld liter einde maand]]-Tabel2425678910111213[[#This Row],[Stand Gekoeld liter vorige maand]]</f>
        <v>0</v>
      </c>
      <c r="AK40" s="2">
        <f>Tabel2425678910111213[[#This Row],[Verbruik Gekoeld liter deze maand]]/0.15</f>
        <v>0</v>
      </c>
      <c r="AL40" s="11">
        <v>608.70000000000005</v>
      </c>
      <c r="AM40" s="11">
        <v>608.70000000000005</v>
      </c>
      <c r="AN40">
        <f>Tabel2425678910111213[[#This Row],[Stand Bruisend liter einde maand]]-Tabel2425678910111213[[#This Row],[Stand Bruisend liter vorige maand]]</f>
        <v>0</v>
      </c>
      <c r="AO40" s="2">
        <f>Tabel2425678910111213[[#This Row],[Verbruik Bruisend liter deze maand]]/0.15</f>
        <v>0</v>
      </c>
      <c r="AP40" s="11">
        <v>189.3</v>
      </c>
      <c r="AQ40" s="11">
        <v>189.3</v>
      </c>
      <c r="AR40">
        <f>Tabel2425678910111213[[#This Row],[Stand licht bruisend liter einde maand]]-Tabel2425678910111213[[#This Row],[Stand licht bruisend liter vorige maand]]</f>
        <v>0</v>
      </c>
      <c r="AS40" s="2">
        <f>Tabel2425678910111213[[#This Row],[Verbruik licht bruisend liter deze maand]]/0.15</f>
        <v>0</v>
      </c>
      <c r="AT40" s="11">
        <v>960.8</v>
      </c>
      <c r="AU40" s="11">
        <v>960.8</v>
      </c>
      <c r="AV40">
        <f>Tabel2425678910111213[[#This Row],[Stand heet water liter einde maand]]-Tabel2425678910111213[[#This Row],[Stand heet water liter vorige maand]]</f>
        <v>0</v>
      </c>
      <c r="AW40" s="20">
        <f>Tabel2425678910111213[[#This Row],[Verbruik heet Water liter deze maand ]]/0.15</f>
        <v>0</v>
      </c>
      <c r="AX40" s="4">
        <f>Tabel2425678910111213[[#This Row],[Aantal consumpties heet water deze maand]]+Tabel2425678910111213[[#This Row],[Aantal consumpties licht bruisend water deze maand]]+Tabel2425678910111213[[#This Row],[aantal consumpties Bruisend water deze maand]]+Tabel2425678910111213[[#This Row],[Aantal consumpties gekoeld water deze maand]]+Tabel2425678910111213[[#This Row],[Aantal consumpties Kamertemp deze maand]]</f>
        <v>0</v>
      </c>
      <c r="AY40" s="4">
        <f>Tabel2425678910111213[[#This Row],[Subtotaal waterbar in consumpties]]+Tabel2425678910111213[[#This Row],[Subtotaal koffieautomaten]]</f>
        <v>0</v>
      </c>
    </row>
    <row r="41" spans="1:51" x14ac:dyDescent="0.25">
      <c r="A41" t="s">
        <v>41</v>
      </c>
      <c r="B41" t="s">
        <v>90</v>
      </c>
      <c r="C41" t="s">
        <v>31</v>
      </c>
      <c r="E41" s="11">
        <v>5390</v>
      </c>
      <c r="F41" s="11">
        <v>4966</v>
      </c>
      <c r="G41" s="12">
        <f>Tabel2425678910111213[[#This Row],[Stand Coffee einde maand]]-Tabel2425678910111213[[#This Row],[Coffee vorige maand]]</f>
        <v>424</v>
      </c>
      <c r="H41" s="11">
        <v>2078</v>
      </c>
      <c r="I41" s="11">
        <v>1869</v>
      </c>
      <c r="J41" s="12">
        <f>Tabel2425678910111213[[#This Row],[Stand Espresso Einde maand]]-Tabel2425678910111213[[#This Row],[Espresso vorige maand]]</f>
        <v>209</v>
      </c>
      <c r="K41" s="11">
        <v>741</v>
      </c>
      <c r="L41" s="11">
        <v>720</v>
      </c>
      <c r="M41">
        <f>Tabel2425678910111213[[#This Row],[Stand Latte Macchiato einde maand]]-Tabel2425678910111213[[#This Row],[Latte Macchiato vorige maand]]</f>
        <v>21</v>
      </c>
      <c r="N41" s="11">
        <v>724</v>
      </c>
      <c r="O41" s="11">
        <v>666</v>
      </c>
      <c r="P41">
        <f>Tabel2425678910111213[[#This Row],[Stand Coffee Latte einde maand]]-Tabel2425678910111213[[#This Row],[Coffee Latte vorige maand]]</f>
        <v>58</v>
      </c>
      <c r="Q41" s="11">
        <v>14657</v>
      </c>
      <c r="R41" s="11">
        <v>13514</v>
      </c>
      <c r="S41">
        <f>Tabel2425678910111213[[#This Row],[Stand Hot Water einde maand]]-Tabel2425678910111213[[#This Row],[Hot Water vorige maand]]</f>
        <v>1143</v>
      </c>
      <c r="T41" s="11">
        <v>2350</v>
      </c>
      <c r="U41" s="11">
        <v>2152</v>
      </c>
      <c r="V41">
        <f>Tabel2425678910111213[[#This Row],[Stand Cappucino einde maand]]-Tabel2425678910111213[[#This Row],[Stand Cappucino vorige maand]]</f>
        <v>198</v>
      </c>
      <c r="W41" s="11">
        <v>235</v>
      </c>
      <c r="X41" s="11">
        <v>228</v>
      </c>
      <c r="Y41">
        <f>Tabel2425678910111213[[#This Row],[Stand Cappucino Plantaardig einde maand]]-Tabel2425678910111213[[#This Row],[Stand Cappucino Plantaardig vorige maand]]</f>
        <v>7</v>
      </c>
      <c r="Z41" s="11">
        <v>87</v>
      </c>
      <c r="AA41" s="11">
        <v>87</v>
      </c>
      <c r="AB41" s="12">
        <f>Tabel2425678910111213[[#This Row],[Stand Latte Macchiato Plantaardig einde maand]]-Tabel2425678910111213[[#This Row],[Stand Latte Macchiato Plantaardig vorige maand]]</f>
        <v>0</v>
      </c>
      <c r="AC41" s="3">
        <f>Tabel2425678910111213[[#This Row],[Verbruik Stand Latte Macchiato Plantaardig deze maand]]+Tabel2425678910111213[[#This Row],[Verbruik  Cappucino Plantaardig deze maand]]+Tabel2425678910111213[[#This Row],[Verbruik Cappucino deze maand]]+Tabel2425678910111213[[#This Row],[Verbruik Hot Water deze maand]]+Tabel2425678910111213[[#This Row],[Verbruik Coffee Latte deze maand]]+Tabel2425678910111213[[#This Row],[Verbruik Latte Macchiato deze maand]]+Tabel2425678910111213[[#This Row],[Verbruik Espresso deze maand]]+Tabel2425678910111213[[#This Row],[Verbruik Coffee deze maand]]</f>
        <v>2060</v>
      </c>
      <c r="AD41" s="26"/>
      <c r="AE41" s="26"/>
      <c r="AF41" s="5"/>
      <c r="AG41" s="5"/>
      <c r="AH41" s="26"/>
      <c r="AI41" s="26"/>
      <c r="AJ41" s="5"/>
      <c r="AK41" s="5"/>
      <c r="AL41" s="26"/>
      <c r="AM41" s="26"/>
      <c r="AN41" s="5"/>
      <c r="AO41" s="5"/>
      <c r="AP41" s="26"/>
      <c r="AQ41" s="26"/>
      <c r="AR41" s="5"/>
      <c r="AS41" s="5"/>
      <c r="AT41" s="26"/>
      <c r="AU41" s="26"/>
      <c r="AV41" s="5"/>
      <c r="AW41" s="16"/>
      <c r="AX41" s="6"/>
      <c r="AY41" s="4">
        <f>Tabel2425678910111213[[#This Row],[Subtotaal waterbar in consumpties]]+Tabel2425678910111213[[#This Row],[Subtotaal koffieautomaten]]</f>
        <v>2060</v>
      </c>
    </row>
    <row r="42" spans="1:51" x14ac:dyDescent="0.25">
      <c r="A42" t="s">
        <v>43</v>
      </c>
      <c r="B42" t="s">
        <v>91</v>
      </c>
      <c r="C42" t="s">
        <v>47</v>
      </c>
      <c r="E42" s="11">
        <v>5599</v>
      </c>
      <c r="F42" s="11">
        <v>5599</v>
      </c>
      <c r="G42" s="12">
        <f>Tabel2425678910111213[[#This Row],[Stand Coffee einde maand]]-Tabel2425678910111213[[#This Row],[Coffee vorige maand]]</f>
        <v>0</v>
      </c>
      <c r="H42" s="11">
        <v>1364</v>
      </c>
      <c r="I42" s="11">
        <v>1364</v>
      </c>
      <c r="J42" s="12">
        <f>Tabel2425678910111213[[#This Row],[Stand Espresso Einde maand]]-Tabel2425678910111213[[#This Row],[Espresso vorige maand]]</f>
        <v>0</v>
      </c>
      <c r="K42" s="11">
        <v>287</v>
      </c>
      <c r="L42" s="11">
        <v>279</v>
      </c>
      <c r="M42">
        <f>Tabel2425678910111213[[#This Row],[Stand Latte Macchiato einde maand]]-Tabel2425678910111213[[#This Row],[Latte Macchiato vorige maand]]</f>
        <v>8</v>
      </c>
      <c r="N42" s="11">
        <v>342</v>
      </c>
      <c r="O42" s="11">
        <v>311</v>
      </c>
      <c r="P42">
        <f>Tabel2425678910111213[[#This Row],[Stand Coffee Latte einde maand]]-Tabel2425678910111213[[#This Row],[Coffee Latte vorige maand]]</f>
        <v>31</v>
      </c>
      <c r="Q42" s="11">
        <v>808</v>
      </c>
      <c r="R42" s="11">
        <v>769</v>
      </c>
      <c r="S42">
        <f>Tabel2425678910111213[[#This Row],[Stand Hot Water einde maand]]-Tabel2425678910111213[[#This Row],[Hot Water vorige maand]]</f>
        <v>39</v>
      </c>
      <c r="T42" s="11">
        <v>2195</v>
      </c>
      <c r="U42" s="11">
        <v>2080</v>
      </c>
      <c r="V42">
        <f>Tabel2425678910111213[[#This Row],[Stand Cappucino einde maand]]-Tabel2425678910111213[[#This Row],[Stand Cappucino vorige maand]]</f>
        <v>115</v>
      </c>
      <c r="W42" s="11">
        <v>1980</v>
      </c>
      <c r="X42" s="11">
        <v>1885</v>
      </c>
      <c r="Y42">
        <f>Tabel2425678910111213[[#This Row],[Stand Cappucino Plantaardig einde maand]]-Tabel2425678910111213[[#This Row],[Stand Cappucino Plantaardig vorige maand]]</f>
        <v>95</v>
      </c>
      <c r="Z42" s="11">
        <v>172</v>
      </c>
      <c r="AA42" s="11">
        <v>172</v>
      </c>
      <c r="AB42" s="12">
        <f>Tabel2425678910111213[[#This Row],[Stand Latte Macchiato Plantaardig einde maand]]-Tabel2425678910111213[[#This Row],[Stand Latte Macchiato Plantaardig vorige maand]]</f>
        <v>0</v>
      </c>
      <c r="AC42" s="3">
        <f>Tabel2425678910111213[[#This Row],[Verbruik Stand Latte Macchiato Plantaardig deze maand]]+Tabel2425678910111213[[#This Row],[Verbruik  Cappucino Plantaardig deze maand]]+Tabel2425678910111213[[#This Row],[Verbruik Cappucino deze maand]]+Tabel2425678910111213[[#This Row],[Verbruik Hot Water deze maand]]+Tabel2425678910111213[[#This Row],[Verbruik Coffee Latte deze maand]]+Tabel2425678910111213[[#This Row],[Verbruik Latte Macchiato deze maand]]+Tabel2425678910111213[[#This Row],[Verbruik Espresso deze maand]]+Tabel2425678910111213[[#This Row],[Verbruik Coffee deze maand]]</f>
        <v>288</v>
      </c>
      <c r="AD42" s="11">
        <v>117</v>
      </c>
      <c r="AE42" s="11">
        <v>108.7</v>
      </c>
      <c r="AF42">
        <f>Tabel2425678910111213[[#This Row],[Stand Kamertemp liter einde maand]]-Tabel2425678910111213[[#This Row],[Stand Kamertemp liter vorige maand]]</f>
        <v>8.2999999999999972</v>
      </c>
      <c r="AG42" s="2">
        <f>Tabel2425678910111213[[#This Row],[Verbruik Kamertemp liter deze maand]]/0.15</f>
        <v>55.333333333333314</v>
      </c>
      <c r="AH42" s="11">
        <v>1172.3</v>
      </c>
      <c r="AI42" s="11">
        <v>1099.5</v>
      </c>
      <c r="AJ42">
        <f>Tabel2425678910111213[[#This Row],[Stand Gekoeld liter einde maand]]-Tabel2425678910111213[[#This Row],[Stand Gekoeld liter vorige maand]]</f>
        <v>72.799999999999955</v>
      </c>
      <c r="AK42" s="2">
        <f>Tabel2425678910111213[[#This Row],[Verbruik Gekoeld liter deze maand]]/0.15</f>
        <v>485.33333333333303</v>
      </c>
      <c r="AL42" s="11">
        <v>1560.9</v>
      </c>
      <c r="AM42" s="11">
        <v>1471.6</v>
      </c>
      <c r="AN42">
        <f>Tabel2425678910111213[[#This Row],[Stand Bruisend liter einde maand]]-Tabel2425678910111213[[#This Row],[Stand Bruisend liter vorige maand]]</f>
        <v>89.300000000000182</v>
      </c>
      <c r="AO42" s="2">
        <f>Tabel2425678910111213[[#This Row],[Verbruik Bruisend liter deze maand]]/0.15</f>
        <v>595.33333333333462</v>
      </c>
      <c r="AP42" s="11">
        <v>763.7</v>
      </c>
      <c r="AQ42" s="11">
        <v>747.5</v>
      </c>
      <c r="AR42">
        <f>Tabel2425678910111213[[#This Row],[Stand licht bruisend liter einde maand]]-Tabel2425678910111213[[#This Row],[Stand licht bruisend liter vorige maand]]</f>
        <v>16.200000000000045</v>
      </c>
      <c r="AS42" s="2">
        <f>Tabel2425678910111213[[#This Row],[Verbruik licht bruisend liter deze maand]]/0.15</f>
        <v>108.00000000000031</v>
      </c>
      <c r="AT42" s="11">
        <v>5101.3999999999996</v>
      </c>
      <c r="AU42" s="11">
        <v>4767.1000000000004</v>
      </c>
      <c r="AV42">
        <f>Tabel2425678910111213[[#This Row],[Stand heet water liter einde maand]]-Tabel2425678910111213[[#This Row],[Stand heet water liter vorige maand]]</f>
        <v>334.29999999999927</v>
      </c>
      <c r="AW42" s="20">
        <f>Tabel2425678910111213[[#This Row],[Verbruik heet Water liter deze maand ]]/0.15</f>
        <v>2228.666666666662</v>
      </c>
      <c r="AX42" s="4">
        <f>Tabel2425678910111213[[#This Row],[Aantal consumpties heet water deze maand]]+Tabel2425678910111213[[#This Row],[Aantal consumpties licht bruisend water deze maand]]+Tabel2425678910111213[[#This Row],[aantal consumpties Bruisend water deze maand]]+Tabel2425678910111213[[#This Row],[Aantal consumpties gekoeld water deze maand]]+Tabel2425678910111213[[#This Row],[Aantal consumpties Kamertemp deze maand]]</f>
        <v>3472.6666666666638</v>
      </c>
      <c r="AY42" s="4">
        <f>Tabel2425678910111213[[#This Row],[Subtotaal waterbar in consumpties]]+Tabel2425678910111213[[#This Row],[Subtotaal koffieautomaten]]</f>
        <v>3760.6666666666638</v>
      </c>
    </row>
    <row r="43" spans="1:51" x14ac:dyDescent="0.25">
      <c r="A43" t="s">
        <v>45</v>
      </c>
      <c r="B43" t="s">
        <v>92</v>
      </c>
      <c r="C43" t="s">
        <v>36</v>
      </c>
      <c r="E43" s="42"/>
      <c r="F43" s="42"/>
      <c r="G43" s="43"/>
      <c r="H43" s="42"/>
      <c r="I43" s="42"/>
      <c r="J43" s="43"/>
      <c r="K43" s="42"/>
      <c r="L43" s="42"/>
      <c r="M43" s="43"/>
      <c r="N43" s="42"/>
      <c r="O43" s="42"/>
      <c r="P43" s="43"/>
      <c r="Q43" s="42"/>
      <c r="R43" s="42"/>
      <c r="S43" s="43"/>
      <c r="T43" s="42"/>
      <c r="U43" s="42"/>
      <c r="V43" s="43"/>
      <c r="W43" s="42"/>
      <c r="X43" s="42"/>
      <c r="Y43" s="43"/>
      <c r="Z43" s="42"/>
      <c r="AA43" s="42"/>
      <c r="AB43" s="43"/>
      <c r="AC43" s="43"/>
      <c r="AD43" s="11">
        <v>72.7</v>
      </c>
      <c r="AE43" s="11">
        <v>70.900000000000006</v>
      </c>
      <c r="AF43">
        <f>Tabel2425678910111213[[#This Row],[Stand Kamertemp liter einde maand]]-Tabel2425678910111213[[#This Row],[Stand Kamertemp liter vorige maand]]</f>
        <v>1.7999999999999972</v>
      </c>
      <c r="AG43" s="2">
        <f>Tabel2425678910111213[[#This Row],[Verbruik Kamertemp liter deze maand]]/0.15</f>
        <v>11.999999999999982</v>
      </c>
      <c r="AH43" s="11">
        <v>555.9</v>
      </c>
      <c r="AI43" s="11">
        <v>530.4</v>
      </c>
      <c r="AJ43">
        <f>Tabel2425678910111213[[#This Row],[Stand Gekoeld liter einde maand]]-Tabel2425678910111213[[#This Row],[Stand Gekoeld liter vorige maand]]</f>
        <v>25.5</v>
      </c>
      <c r="AK43" s="2">
        <f>Tabel2425678910111213[[#This Row],[Verbruik Gekoeld liter deze maand]]/0.15</f>
        <v>170</v>
      </c>
      <c r="AL43" s="11">
        <v>559.70000000000005</v>
      </c>
      <c r="AM43" s="11">
        <v>526</v>
      </c>
      <c r="AN43">
        <f>Tabel2425678910111213[[#This Row],[Stand Bruisend liter einde maand]]-Tabel2425678910111213[[#This Row],[Stand Bruisend liter vorige maand]]</f>
        <v>33.700000000000045</v>
      </c>
      <c r="AO43" s="2">
        <f>Tabel2425678910111213[[#This Row],[Verbruik Bruisend liter deze maand]]/0.15</f>
        <v>224.66666666666697</v>
      </c>
      <c r="AP43" s="11">
        <v>142.1</v>
      </c>
      <c r="AQ43" s="11">
        <v>129.6</v>
      </c>
      <c r="AR43">
        <f>Tabel2425678910111213[[#This Row],[Stand licht bruisend liter einde maand]]-Tabel2425678910111213[[#This Row],[Stand licht bruisend liter vorige maand]]</f>
        <v>12.5</v>
      </c>
      <c r="AS43" s="2">
        <f>Tabel2425678910111213[[#This Row],[Verbruik licht bruisend liter deze maand]]/0.15</f>
        <v>83.333333333333343</v>
      </c>
      <c r="AT43" s="11">
        <v>1884.9</v>
      </c>
      <c r="AU43" s="11">
        <v>1733</v>
      </c>
      <c r="AV43">
        <f>Tabel2425678910111213[[#This Row],[Stand heet water liter einde maand]]-Tabel2425678910111213[[#This Row],[Stand heet water liter vorige maand]]</f>
        <v>151.90000000000009</v>
      </c>
      <c r="AW43" s="20">
        <f>Tabel2425678910111213[[#This Row],[Verbruik heet Water liter deze maand ]]/0.15</f>
        <v>1012.6666666666673</v>
      </c>
      <c r="AX43" s="4">
        <f>Tabel2425678910111213[[#This Row],[Aantal consumpties heet water deze maand]]+Tabel2425678910111213[[#This Row],[Aantal consumpties licht bruisend water deze maand]]+Tabel2425678910111213[[#This Row],[aantal consumpties Bruisend water deze maand]]+Tabel2425678910111213[[#This Row],[Aantal consumpties gekoeld water deze maand]]+Tabel2425678910111213[[#This Row],[Aantal consumpties Kamertemp deze maand]]</f>
        <v>1502.6666666666677</v>
      </c>
      <c r="AY43" s="4">
        <f>Tabel2425678910111213[[#This Row],[Subtotaal waterbar in consumpties]]+Tabel2425678910111213[[#This Row],[Subtotaal koffieautomaten]]</f>
        <v>1502.6666666666677</v>
      </c>
    </row>
    <row r="44" spans="1:51" x14ac:dyDescent="0.25">
      <c r="A44" t="s">
        <v>48</v>
      </c>
      <c r="B44" t="s">
        <v>158</v>
      </c>
      <c r="C44" t="s">
        <v>31</v>
      </c>
      <c r="E44" s="11">
        <v>8678</v>
      </c>
      <c r="F44" s="11">
        <v>7945</v>
      </c>
      <c r="G44" s="12">
        <f>Tabel2425678910111213[[#This Row],[Stand Coffee einde maand]]-Tabel2425678910111213[[#This Row],[Coffee vorige maand]]</f>
        <v>733</v>
      </c>
      <c r="H44" s="11">
        <v>2179</v>
      </c>
      <c r="I44" s="11">
        <v>2023</v>
      </c>
      <c r="J44" s="12">
        <f>Tabel2425678910111213[[#This Row],[Stand Espresso Einde maand]]-Tabel2425678910111213[[#This Row],[Espresso vorige maand]]</f>
        <v>156</v>
      </c>
      <c r="K44" s="11">
        <v>1001</v>
      </c>
      <c r="L44" s="11">
        <v>940</v>
      </c>
      <c r="M44">
        <f>Tabel2425678910111213[[#This Row],[Stand Latte Macchiato einde maand]]-Tabel2425678910111213[[#This Row],[Latte Macchiato vorige maand]]</f>
        <v>61</v>
      </c>
      <c r="N44" s="11">
        <v>233</v>
      </c>
      <c r="O44" s="11">
        <v>221</v>
      </c>
      <c r="P44">
        <f>Tabel2425678910111213[[#This Row],[Stand Coffee Latte einde maand]]-Tabel2425678910111213[[#This Row],[Coffee Latte vorige maand]]</f>
        <v>12</v>
      </c>
      <c r="Q44" s="11">
        <v>8707</v>
      </c>
      <c r="R44" s="11">
        <v>8070</v>
      </c>
      <c r="S44">
        <f>Tabel2425678910111213[[#This Row],[Stand Hot Water einde maand]]-Tabel2425678910111213[[#This Row],[Hot Water vorige maand]]</f>
        <v>637</v>
      </c>
      <c r="T44" s="11">
        <v>3691</v>
      </c>
      <c r="U44" s="11">
        <v>3358</v>
      </c>
      <c r="V44">
        <f>Tabel2425678910111213[[#This Row],[Stand Cappucino einde maand]]-Tabel2425678910111213[[#This Row],[Stand Cappucino vorige maand]]</f>
        <v>333</v>
      </c>
      <c r="W44" s="11">
        <v>547</v>
      </c>
      <c r="X44" s="11">
        <v>498</v>
      </c>
      <c r="Y44">
        <f>Tabel2425678910111213[[#This Row],[Stand Cappucino Plantaardig einde maand]]-Tabel2425678910111213[[#This Row],[Stand Cappucino Plantaardig vorige maand]]</f>
        <v>49</v>
      </c>
      <c r="Z44" s="11">
        <v>486</v>
      </c>
      <c r="AA44" s="11">
        <v>448</v>
      </c>
      <c r="AB44" s="12">
        <f>Tabel2425678910111213[[#This Row],[Stand Latte Macchiato Plantaardig einde maand]]-Tabel2425678910111213[[#This Row],[Stand Latte Macchiato Plantaardig vorige maand]]</f>
        <v>38</v>
      </c>
      <c r="AC44" s="3">
        <f>Tabel2425678910111213[[#This Row],[Verbruik Stand Latte Macchiato Plantaardig deze maand]]+Tabel2425678910111213[[#This Row],[Verbruik  Cappucino Plantaardig deze maand]]+Tabel2425678910111213[[#This Row],[Verbruik Cappucino deze maand]]+Tabel2425678910111213[[#This Row],[Verbruik Hot Water deze maand]]+Tabel2425678910111213[[#This Row],[Verbruik Coffee Latte deze maand]]+Tabel2425678910111213[[#This Row],[Verbruik Latte Macchiato deze maand]]+Tabel2425678910111213[[#This Row],[Verbruik Espresso deze maand]]+Tabel2425678910111213[[#This Row],[Verbruik Coffee deze maand]]</f>
        <v>2019</v>
      </c>
      <c r="AD44" s="26"/>
      <c r="AE44" s="26"/>
      <c r="AF44" s="5"/>
      <c r="AG44" s="7"/>
      <c r="AH44" s="26"/>
      <c r="AI44" s="26"/>
      <c r="AJ44" s="5"/>
      <c r="AK44" s="7"/>
      <c r="AL44" s="26"/>
      <c r="AM44" s="26"/>
      <c r="AN44" s="5"/>
      <c r="AO44" s="7"/>
      <c r="AP44" s="26"/>
      <c r="AQ44" s="26"/>
      <c r="AR44" s="5"/>
      <c r="AS44" s="7"/>
      <c r="AT44" s="26"/>
      <c r="AU44" s="26"/>
      <c r="AV44" s="5"/>
      <c r="AW44" s="21"/>
      <c r="AX44" s="45">
        <f>Tabel2425678910111213[[#This Row],[Aantal consumpties heet water deze maand]]+Tabel2425678910111213[[#This Row],[Aantal consumpties licht bruisend water deze maand]]+Tabel2425678910111213[[#This Row],[aantal consumpties Bruisend water deze maand]]+Tabel2425678910111213[[#This Row],[Aantal consumpties gekoeld water deze maand]]+Tabel2425678910111213[[#This Row],[Aantal consumpties Kamertemp deze maand]]</f>
        <v>0</v>
      </c>
      <c r="AY44" s="4">
        <f>Tabel2425678910111213[[#This Row],[Subtotaal waterbar in consumpties]]+Tabel2425678910111213[[#This Row],[Subtotaal koffieautomaten]]</f>
        <v>2019</v>
      </c>
    </row>
    <row r="45" spans="1:51" x14ac:dyDescent="0.25">
      <c r="A45" t="s">
        <v>50</v>
      </c>
      <c r="B45" t="s">
        <v>93</v>
      </c>
      <c r="C45" t="s">
        <v>36</v>
      </c>
      <c r="E45" s="42"/>
      <c r="F45" s="42"/>
      <c r="G45" s="43"/>
      <c r="H45" s="42"/>
      <c r="I45" s="42"/>
      <c r="J45" s="43"/>
      <c r="K45" s="42"/>
      <c r="L45" s="42"/>
      <c r="M45" s="43"/>
      <c r="N45" s="42"/>
      <c r="O45" s="42"/>
      <c r="P45" s="43"/>
      <c r="Q45" s="42"/>
      <c r="R45" s="42"/>
      <c r="S45" s="43"/>
      <c r="T45" s="42"/>
      <c r="U45" s="42"/>
      <c r="V45" s="43"/>
      <c r="W45" s="42"/>
      <c r="X45" s="42"/>
      <c r="Y45" s="43"/>
      <c r="Z45" s="42"/>
      <c r="AA45" s="42"/>
      <c r="AB45" s="43"/>
      <c r="AC45" s="43"/>
      <c r="AD45" s="11">
        <v>107.8</v>
      </c>
      <c r="AE45" s="11">
        <v>97.4</v>
      </c>
      <c r="AF45">
        <f>Tabel2425678910111213[[#This Row],[Stand Kamertemp liter einde maand]]-Tabel2425678910111213[[#This Row],[Stand Kamertemp liter vorige maand]]</f>
        <v>10.399999999999991</v>
      </c>
      <c r="AG45" s="2">
        <f>Tabel2425678910111213[[#This Row],[Verbruik Kamertemp liter deze maand]]/0.15</f>
        <v>69.333333333333286</v>
      </c>
      <c r="AH45" s="25">
        <v>766.2</v>
      </c>
      <c r="AI45" s="25">
        <v>710.7</v>
      </c>
      <c r="AJ45">
        <f>Tabel2425678910111213[[#This Row],[Stand Gekoeld liter einde maand]]-Tabel2425678910111213[[#This Row],[Stand Gekoeld liter vorige maand]]</f>
        <v>55.5</v>
      </c>
      <c r="AK45" s="2">
        <f>Tabel2425678910111213[[#This Row],[Verbruik Gekoeld liter deze maand]]/0.15</f>
        <v>370</v>
      </c>
      <c r="AL45" s="25">
        <v>643.1</v>
      </c>
      <c r="AM45" s="25">
        <v>614.20000000000005</v>
      </c>
      <c r="AN45">
        <f>Tabel2425678910111213[[#This Row],[Stand Bruisend liter einde maand]]-Tabel2425678910111213[[#This Row],[Stand Bruisend liter vorige maand]]</f>
        <v>28.899999999999977</v>
      </c>
      <c r="AO45" s="2">
        <f>Tabel2425678910111213[[#This Row],[Verbruik Bruisend liter deze maand]]/0.15</f>
        <v>192.66666666666652</v>
      </c>
      <c r="AP45" s="25">
        <v>265.10000000000002</v>
      </c>
      <c r="AQ45" s="25">
        <v>254.1</v>
      </c>
      <c r="AR45">
        <f>Tabel2425678910111213[[#This Row],[Stand licht bruisend liter einde maand]]-Tabel2425678910111213[[#This Row],[Stand licht bruisend liter vorige maand]]</f>
        <v>11.000000000000028</v>
      </c>
      <c r="AS45" s="2">
        <f>Tabel2425678910111213[[#This Row],[Verbruik licht bruisend liter deze maand]]/0.15</f>
        <v>73.333333333333528</v>
      </c>
      <c r="AT45" s="25">
        <v>2169.6</v>
      </c>
      <c r="AU45" s="25">
        <v>2003.4</v>
      </c>
      <c r="AV45">
        <f>Tabel2425678910111213[[#This Row],[Stand heet water liter einde maand]]-Tabel2425678910111213[[#This Row],[Stand heet water liter vorige maand]]</f>
        <v>166.19999999999982</v>
      </c>
      <c r="AW45" s="20">
        <f>Tabel2425678910111213[[#This Row],[Verbruik heet Water liter deze maand ]]/0.15</f>
        <v>1107.9999999999989</v>
      </c>
      <c r="AX45" s="4">
        <f>Tabel2425678910111213[[#This Row],[Aantal consumpties heet water deze maand]]+Tabel2425678910111213[[#This Row],[Aantal consumpties licht bruisend water deze maand]]+Tabel2425678910111213[[#This Row],[aantal consumpties Bruisend water deze maand]]+Tabel2425678910111213[[#This Row],[Aantal consumpties gekoeld water deze maand]]+Tabel2425678910111213[[#This Row],[Aantal consumpties Kamertemp deze maand]]</f>
        <v>1813.3333333333321</v>
      </c>
      <c r="AY45" s="4">
        <f>Tabel2425678910111213[[#This Row],[Subtotaal waterbar in consumpties]]+Tabel2425678910111213[[#This Row],[Subtotaal koffieautomaten]]</f>
        <v>1813.3333333333321</v>
      </c>
    </row>
    <row r="46" spans="1:51" x14ac:dyDescent="0.25">
      <c r="A46" t="s">
        <v>52</v>
      </c>
      <c r="B46" t="s">
        <v>94</v>
      </c>
      <c r="C46" t="s">
        <v>31</v>
      </c>
      <c r="E46" s="11">
        <v>4075</v>
      </c>
      <c r="F46" s="11">
        <v>3758</v>
      </c>
      <c r="G46" s="12">
        <f>Tabel2425678910111213[[#This Row],[Stand Coffee einde maand]]-Tabel2425678910111213[[#This Row],[Coffee vorige maand]]</f>
        <v>317</v>
      </c>
      <c r="H46" s="11">
        <v>2392</v>
      </c>
      <c r="I46" s="11">
        <v>2243</v>
      </c>
      <c r="J46" s="12">
        <f>Tabel2425678910111213[[#This Row],[Stand Espresso Einde maand]]-Tabel2425678910111213[[#This Row],[Espresso vorige maand]]</f>
        <v>149</v>
      </c>
      <c r="K46" s="11">
        <v>585</v>
      </c>
      <c r="L46" s="11">
        <v>553</v>
      </c>
      <c r="M46">
        <f>Tabel2425678910111213[[#This Row],[Stand Latte Macchiato einde maand]]-Tabel2425678910111213[[#This Row],[Latte Macchiato vorige maand]]</f>
        <v>32</v>
      </c>
      <c r="N46" s="11">
        <v>283</v>
      </c>
      <c r="O46" s="11">
        <v>268</v>
      </c>
      <c r="P46">
        <f>Tabel2425678910111213[[#This Row],[Stand Coffee Latte einde maand]]-Tabel2425678910111213[[#This Row],[Coffee Latte vorige maand]]</f>
        <v>15</v>
      </c>
      <c r="Q46" s="11">
        <v>7454</v>
      </c>
      <c r="R46" s="11">
        <v>6886</v>
      </c>
      <c r="S46">
        <f>Tabel2425678910111213[[#This Row],[Stand Hot Water einde maand]]-Tabel2425678910111213[[#This Row],[Hot Water vorige maand]]</f>
        <v>568</v>
      </c>
      <c r="T46" s="11">
        <v>3672</v>
      </c>
      <c r="U46" s="11">
        <v>3423</v>
      </c>
      <c r="V46">
        <f>Tabel2425678910111213[[#This Row],[Stand Cappucino einde maand]]-Tabel2425678910111213[[#This Row],[Stand Cappucino vorige maand]]</f>
        <v>249</v>
      </c>
      <c r="W46" s="11">
        <v>538</v>
      </c>
      <c r="X46" s="11">
        <v>504</v>
      </c>
      <c r="Y46">
        <f>Tabel2425678910111213[[#This Row],[Stand Cappucino Plantaardig einde maand]]-Tabel2425678910111213[[#This Row],[Stand Cappucino Plantaardig vorige maand]]</f>
        <v>34</v>
      </c>
      <c r="Z46" s="11">
        <v>79</v>
      </c>
      <c r="AA46" s="11">
        <v>76</v>
      </c>
      <c r="AB46" s="12">
        <f>Tabel2425678910111213[[#This Row],[Stand Latte Macchiato Plantaardig einde maand]]-Tabel2425678910111213[[#This Row],[Stand Latte Macchiato Plantaardig vorige maand]]</f>
        <v>3</v>
      </c>
      <c r="AC46" s="3">
        <f>Tabel2425678910111213[[#This Row],[Verbruik Stand Latte Macchiato Plantaardig deze maand]]+Tabel2425678910111213[[#This Row],[Verbruik  Cappucino Plantaardig deze maand]]+Tabel2425678910111213[[#This Row],[Verbruik Cappucino deze maand]]+Tabel2425678910111213[[#This Row],[Verbruik Hot Water deze maand]]+Tabel2425678910111213[[#This Row],[Verbruik Coffee Latte deze maand]]+Tabel2425678910111213[[#This Row],[Verbruik Latte Macchiato deze maand]]+Tabel2425678910111213[[#This Row],[Verbruik Espresso deze maand]]+Tabel2425678910111213[[#This Row],[Verbruik Coffee deze maand]]</f>
        <v>1367</v>
      </c>
      <c r="AD46" s="26"/>
      <c r="AE46" s="26"/>
      <c r="AF46" s="5"/>
      <c r="AG46" s="7"/>
      <c r="AH46" s="26"/>
      <c r="AI46" s="26"/>
      <c r="AJ46" s="5"/>
      <c r="AK46" s="7"/>
      <c r="AL46" s="26"/>
      <c r="AM46" s="26"/>
      <c r="AN46" s="5"/>
      <c r="AO46" s="7"/>
      <c r="AP46" s="26"/>
      <c r="AQ46" s="26"/>
      <c r="AR46" s="5"/>
      <c r="AS46" s="7"/>
      <c r="AT46" s="26"/>
      <c r="AU46" s="26"/>
      <c r="AV46" s="5"/>
      <c r="AW46" s="21"/>
      <c r="AX46" s="8">
        <f>Tabel2425678910111213[[#This Row],[Aantal consumpties heet water deze maand]]+Tabel2425678910111213[[#This Row],[Aantal consumpties licht bruisend water deze maand]]+Tabel2425678910111213[[#This Row],[aantal consumpties Bruisend water deze maand]]+Tabel2425678910111213[[#This Row],[Aantal consumpties gekoeld water deze maand]]+Tabel2425678910111213[[#This Row],[Aantal consumpties Kamertemp deze maand]]</f>
        <v>0</v>
      </c>
      <c r="AY46" s="4">
        <f>Tabel2425678910111213[[#This Row],[Subtotaal waterbar in consumpties]]+Tabel2425678910111213[[#This Row],[Subtotaal koffieautomaten]]</f>
        <v>1367</v>
      </c>
    </row>
    <row r="47" spans="1:51" x14ac:dyDescent="0.25">
      <c r="A47" t="s">
        <v>54</v>
      </c>
      <c r="B47" t="s">
        <v>95</v>
      </c>
      <c r="C47" t="s">
        <v>47</v>
      </c>
      <c r="E47" s="11">
        <v>5157</v>
      </c>
      <c r="F47" s="11">
        <v>4827</v>
      </c>
      <c r="G47" s="12">
        <f>Tabel2425678910111213[[#This Row],[Stand Coffee einde maand]]-Tabel2425678910111213[[#This Row],[Coffee vorige maand]]</f>
        <v>330</v>
      </c>
      <c r="H47" s="11">
        <v>1613</v>
      </c>
      <c r="I47" s="11">
        <v>1521</v>
      </c>
      <c r="J47" s="12">
        <f>Tabel2425678910111213[[#This Row],[Stand Espresso Einde maand]]-Tabel2425678910111213[[#This Row],[Espresso vorige maand]]</f>
        <v>92</v>
      </c>
      <c r="K47" s="11">
        <v>456</v>
      </c>
      <c r="L47" s="11">
        <v>449</v>
      </c>
      <c r="M47">
        <f>Tabel2425678910111213[[#This Row],[Stand Latte Macchiato einde maand]]-Tabel2425678910111213[[#This Row],[Latte Macchiato vorige maand]]</f>
        <v>7</v>
      </c>
      <c r="N47" s="11">
        <v>328</v>
      </c>
      <c r="O47" s="11">
        <v>311</v>
      </c>
      <c r="P47">
        <f>Tabel2425678910111213[[#This Row],[Stand Coffee Latte einde maand]]-Tabel2425678910111213[[#This Row],[Coffee Latte vorige maand]]</f>
        <v>17</v>
      </c>
      <c r="Q47" s="11">
        <v>0</v>
      </c>
      <c r="R47" s="11">
        <v>0</v>
      </c>
      <c r="S47">
        <f>Tabel2425678910111213[[#This Row],[Stand Hot Water einde maand]]-Tabel2425678910111213[[#This Row],[Hot Water vorige maand]]</f>
        <v>0</v>
      </c>
      <c r="T47" s="11">
        <v>2220</v>
      </c>
      <c r="U47" s="11">
        <v>2088</v>
      </c>
      <c r="V47">
        <f>Tabel2425678910111213[[#This Row],[Stand Cappucino einde maand]]-Tabel2425678910111213[[#This Row],[Stand Cappucino vorige maand]]</f>
        <v>132</v>
      </c>
      <c r="W47" s="11">
        <v>728</v>
      </c>
      <c r="X47" s="11">
        <v>697</v>
      </c>
      <c r="Y47">
        <f>Tabel2425678910111213[[#This Row],[Stand Cappucino Plantaardig einde maand]]-Tabel2425678910111213[[#This Row],[Stand Cappucino Plantaardig vorige maand]]</f>
        <v>31</v>
      </c>
      <c r="Z47" s="11">
        <v>383</v>
      </c>
      <c r="AA47" s="11">
        <v>363</v>
      </c>
      <c r="AB47" s="12">
        <f>Tabel2425678910111213[[#This Row],[Stand Latte Macchiato Plantaardig einde maand]]-Tabel2425678910111213[[#This Row],[Stand Latte Macchiato Plantaardig vorige maand]]</f>
        <v>20</v>
      </c>
      <c r="AC47" s="3">
        <f>Tabel2425678910111213[[#This Row],[Verbruik Stand Latte Macchiato Plantaardig deze maand]]+Tabel2425678910111213[[#This Row],[Verbruik  Cappucino Plantaardig deze maand]]+Tabel2425678910111213[[#This Row],[Verbruik Cappucino deze maand]]+Tabel2425678910111213[[#This Row],[Verbruik Hot Water deze maand]]+Tabel2425678910111213[[#This Row],[Verbruik Coffee Latte deze maand]]+Tabel2425678910111213[[#This Row],[Verbruik Latte Macchiato deze maand]]+Tabel2425678910111213[[#This Row],[Verbruik Espresso deze maand]]+Tabel2425678910111213[[#This Row],[Verbruik Coffee deze maand]]</f>
        <v>629</v>
      </c>
      <c r="AD47" s="11">
        <v>254.9</v>
      </c>
      <c r="AE47" s="11">
        <v>230.3</v>
      </c>
      <c r="AF47">
        <f>Tabel2425678910111213[[#This Row],[Stand Kamertemp liter einde maand]]-Tabel2425678910111213[[#This Row],[Stand Kamertemp liter vorige maand]]</f>
        <v>24.599999999999994</v>
      </c>
      <c r="AG47" s="2">
        <f>Tabel2425678910111213[[#This Row],[Verbruik Kamertemp liter deze maand]]/0.15</f>
        <v>163.99999999999997</v>
      </c>
      <c r="AH47" s="11">
        <v>958</v>
      </c>
      <c r="AI47" s="11">
        <v>899.5</v>
      </c>
      <c r="AJ47">
        <f>Tabel2425678910111213[[#This Row],[Stand Gekoeld liter einde maand]]-Tabel2425678910111213[[#This Row],[Stand Gekoeld liter vorige maand]]</f>
        <v>58.5</v>
      </c>
      <c r="AK47" s="2">
        <f>Tabel2425678910111213[[#This Row],[Verbruik Gekoeld liter deze maand]]/0.15</f>
        <v>390</v>
      </c>
      <c r="AL47" s="11">
        <v>778.1</v>
      </c>
      <c r="AM47" s="11">
        <v>345.4</v>
      </c>
      <c r="AN47">
        <f>Tabel2425678910111213[[#This Row],[Stand Bruisend liter einde maand]]-Tabel2425678910111213[[#This Row],[Stand Bruisend liter vorige maand]]</f>
        <v>432.70000000000005</v>
      </c>
      <c r="AO47" s="2">
        <f>Tabel2425678910111213[[#This Row],[Verbruik Bruisend liter deze maand]]/0.15</f>
        <v>2884.666666666667</v>
      </c>
      <c r="AP47" s="11">
        <v>377.3</v>
      </c>
      <c r="AQ47" s="11">
        <v>345.4</v>
      </c>
      <c r="AR47">
        <f>Tabel2425678910111213[[#This Row],[Stand licht bruisend liter einde maand]]-Tabel2425678910111213[[#This Row],[Stand licht bruisend liter vorige maand]]</f>
        <v>31.900000000000034</v>
      </c>
      <c r="AS47" s="2">
        <f>Tabel2425678910111213[[#This Row],[Verbruik licht bruisend liter deze maand]]/0.15</f>
        <v>212.66666666666691</v>
      </c>
      <c r="AT47" s="11">
        <v>2732.9</v>
      </c>
      <c r="AU47" s="11">
        <v>2517</v>
      </c>
      <c r="AV47">
        <f>Tabel2425678910111213[[#This Row],[Stand heet water liter einde maand]]-Tabel2425678910111213[[#This Row],[Stand heet water liter vorige maand]]</f>
        <v>215.90000000000009</v>
      </c>
      <c r="AW47" s="20">
        <f>Tabel2425678910111213[[#This Row],[Verbruik heet Water liter deze maand ]]/0.15</f>
        <v>1439.3333333333339</v>
      </c>
      <c r="AX47" s="4">
        <f>Tabel2425678910111213[[#This Row],[Aantal consumpties heet water deze maand]]+Tabel2425678910111213[[#This Row],[Aantal consumpties licht bruisend water deze maand]]+Tabel2425678910111213[[#This Row],[aantal consumpties Bruisend water deze maand]]+Tabel2425678910111213[[#This Row],[Aantal consumpties gekoeld water deze maand]]+Tabel2425678910111213[[#This Row],[Aantal consumpties Kamertemp deze maand]]</f>
        <v>5090.6666666666679</v>
      </c>
      <c r="AY47" s="4">
        <f>Tabel2425678910111213[[#This Row],[Subtotaal waterbar in consumpties]]+Tabel2425678910111213[[#This Row],[Subtotaal koffieautomaten]]</f>
        <v>5719.6666666666679</v>
      </c>
    </row>
    <row r="48" spans="1:51" x14ac:dyDescent="0.25">
      <c r="A48" t="s">
        <v>56</v>
      </c>
      <c r="B48" t="s">
        <v>96</v>
      </c>
      <c r="C48" t="s">
        <v>36</v>
      </c>
      <c r="E48" s="42"/>
      <c r="F48" s="42"/>
      <c r="G48" s="43"/>
      <c r="H48" s="42"/>
      <c r="I48" s="42"/>
      <c r="J48" s="43"/>
      <c r="K48" s="42"/>
      <c r="L48" s="42"/>
      <c r="M48" s="43"/>
      <c r="N48" s="42"/>
      <c r="O48" s="42"/>
      <c r="P48" s="43"/>
      <c r="Q48" s="42"/>
      <c r="R48" s="42"/>
      <c r="S48" s="43"/>
      <c r="T48" s="42"/>
      <c r="U48" s="42"/>
      <c r="V48" s="43"/>
      <c r="W48" s="42"/>
      <c r="X48" s="42"/>
      <c r="Y48" s="43"/>
      <c r="Z48" s="42"/>
      <c r="AA48" s="42"/>
      <c r="AB48" s="43"/>
      <c r="AC48" s="43"/>
      <c r="AD48" s="11">
        <v>194.5</v>
      </c>
      <c r="AE48" s="11">
        <v>179.1</v>
      </c>
      <c r="AF48">
        <f>Tabel2425678910111213[[#This Row],[Stand Kamertemp liter einde maand]]-Tabel2425678910111213[[#This Row],[Stand Kamertemp liter vorige maand]]</f>
        <v>15.400000000000006</v>
      </c>
      <c r="AG48" s="2">
        <f>Tabel2425678910111213[[#This Row],[Verbruik Kamertemp liter deze maand]]/0.15</f>
        <v>102.66666666666671</v>
      </c>
      <c r="AH48" s="11">
        <v>1405.5</v>
      </c>
      <c r="AI48" s="11">
        <v>1302.9000000000001</v>
      </c>
      <c r="AJ48">
        <f>Tabel2425678910111213[[#This Row],[Stand Gekoeld liter einde maand]]-Tabel2425678910111213[[#This Row],[Stand Gekoeld liter vorige maand]]</f>
        <v>102.59999999999991</v>
      </c>
      <c r="AK48" s="2">
        <f>Tabel2425678910111213[[#This Row],[Verbruik Gekoeld liter deze maand]]/0.15</f>
        <v>683.99999999999943</v>
      </c>
      <c r="AL48" s="11">
        <v>510.3</v>
      </c>
      <c r="AM48" s="11">
        <v>498.4</v>
      </c>
      <c r="AN48">
        <f>Tabel2425678910111213[[#This Row],[Stand Bruisend liter einde maand]]-Tabel2425678910111213[[#This Row],[Stand Bruisend liter vorige maand]]</f>
        <v>11.900000000000034</v>
      </c>
      <c r="AO48" s="2">
        <f>Tabel2425678910111213[[#This Row],[Verbruik Bruisend liter deze maand]]/0.15</f>
        <v>79.33333333333357</v>
      </c>
      <c r="AP48" s="11">
        <v>317.8</v>
      </c>
      <c r="AQ48" s="11">
        <v>316.60000000000002</v>
      </c>
      <c r="AR48">
        <f>Tabel2425678910111213[[#This Row],[Stand licht bruisend liter einde maand]]-Tabel2425678910111213[[#This Row],[Stand licht bruisend liter vorige maand]]</f>
        <v>1.1999999999999886</v>
      </c>
      <c r="AS48" s="2">
        <f>Tabel2425678910111213[[#This Row],[Verbruik licht bruisend liter deze maand]]/0.15</f>
        <v>7.9999999999999245</v>
      </c>
      <c r="AT48" s="11">
        <v>3641.1</v>
      </c>
      <c r="AU48" s="11">
        <v>3414</v>
      </c>
      <c r="AV48">
        <f>Tabel2425678910111213[[#This Row],[Stand heet water liter einde maand]]-Tabel2425678910111213[[#This Row],[Stand heet water liter vorige maand]]</f>
        <v>227.09999999999991</v>
      </c>
      <c r="AW48" s="20">
        <f>Tabel2425678910111213[[#This Row],[Verbruik heet Water liter deze maand ]]/0.15</f>
        <v>1513.9999999999995</v>
      </c>
      <c r="AX48" s="4">
        <f>Tabel2425678910111213[[#This Row],[Aantal consumpties heet water deze maand]]+Tabel2425678910111213[[#This Row],[Aantal consumpties licht bruisend water deze maand]]+Tabel2425678910111213[[#This Row],[aantal consumpties Bruisend water deze maand]]+Tabel2425678910111213[[#This Row],[Aantal consumpties gekoeld water deze maand]]+Tabel2425678910111213[[#This Row],[Aantal consumpties Kamertemp deze maand]]</f>
        <v>2387.9999999999991</v>
      </c>
      <c r="AY48" s="4">
        <f>Tabel2425678910111213[[#This Row],[Subtotaal waterbar in consumpties]]+Tabel2425678910111213[[#This Row],[Subtotaal koffieautomaten]]</f>
        <v>2387.9999999999991</v>
      </c>
    </row>
    <row r="49" spans="1:51" x14ac:dyDescent="0.25">
      <c r="A49" t="s">
        <v>58</v>
      </c>
      <c r="B49" t="s">
        <v>97</v>
      </c>
      <c r="C49" t="s">
        <v>31</v>
      </c>
      <c r="E49" s="11">
        <v>5173</v>
      </c>
      <c r="F49" s="11">
        <v>4747</v>
      </c>
      <c r="G49" s="12">
        <f>Tabel2425678910111213[[#This Row],[Stand Coffee einde maand]]-Tabel2425678910111213[[#This Row],[Coffee vorige maand]]</f>
        <v>426</v>
      </c>
      <c r="H49" s="11">
        <v>1469</v>
      </c>
      <c r="I49" s="11">
        <v>1358</v>
      </c>
      <c r="J49" s="12">
        <f>Tabel2425678910111213[[#This Row],[Stand Espresso Einde maand]]-Tabel2425678910111213[[#This Row],[Espresso vorige maand]]</f>
        <v>111</v>
      </c>
      <c r="K49" s="11">
        <v>653</v>
      </c>
      <c r="L49" s="11">
        <v>638</v>
      </c>
      <c r="M49">
        <f>Tabel2425678910111213[[#This Row],[Stand Latte Macchiato einde maand]]-Tabel2425678910111213[[#This Row],[Latte Macchiato vorige maand]]</f>
        <v>15</v>
      </c>
      <c r="N49" s="11">
        <v>690</v>
      </c>
      <c r="O49" s="11">
        <v>661</v>
      </c>
      <c r="P49">
        <f>Tabel2425678910111213[[#This Row],[Stand Coffee Latte einde maand]]-Tabel2425678910111213[[#This Row],[Coffee Latte vorige maand]]</f>
        <v>29</v>
      </c>
      <c r="Q49" s="11">
        <v>5303</v>
      </c>
      <c r="R49" s="11">
        <v>4937</v>
      </c>
      <c r="S49">
        <f>Tabel2425678910111213[[#This Row],[Stand Hot Water einde maand]]-Tabel2425678910111213[[#This Row],[Hot Water vorige maand]]</f>
        <v>366</v>
      </c>
      <c r="T49" s="11">
        <v>3318</v>
      </c>
      <c r="U49" s="11">
        <v>3092</v>
      </c>
      <c r="V49">
        <f>Tabel2425678910111213[[#This Row],[Stand Cappucino einde maand]]-Tabel2425678910111213[[#This Row],[Stand Cappucino vorige maand]]</f>
        <v>226</v>
      </c>
      <c r="W49" s="11">
        <v>840</v>
      </c>
      <c r="X49" s="11">
        <v>821</v>
      </c>
      <c r="Y49">
        <f>Tabel2425678910111213[[#This Row],[Stand Cappucino Plantaardig einde maand]]-Tabel2425678910111213[[#This Row],[Stand Cappucino Plantaardig vorige maand]]</f>
        <v>19</v>
      </c>
      <c r="Z49" s="11">
        <v>176</v>
      </c>
      <c r="AA49" s="11">
        <v>171</v>
      </c>
      <c r="AB49" s="12">
        <f>Tabel2425678910111213[[#This Row],[Stand Latte Macchiato Plantaardig einde maand]]-Tabel2425678910111213[[#This Row],[Stand Latte Macchiato Plantaardig vorige maand]]</f>
        <v>5</v>
      </c>
      <c r="AC49" s="3">
        <f>Tabel2425678910111213[[#This Row],[Verbruik Stand Latte Macchiato Plantaardig deze maand]]+Tabel2425678910111213[[#This Row],[Verbruik  Cappucino Plantaardig deze maand]]+Tabel2425678910111213[[#This Row],[Verbruik Cappucino deze maand]]+Tabel2425678910111213[[#This Row],[Verbruik Hot Water deze maand]]+Tabel2425678910111213[[#This Row],[Verbruik Coffee Latte deze maand]]+Tabel2425678910111213[[#This Row],[Verbruik Latte Macchiato deze maand]]+Tabel2425678910111213[[#This Row],[Verbruik Espresso deze maand]]+Tabel2425678910111213[[#This Row],[Verbruik Coffee deze maand]]</f>
        <v>1197</v>
      </c>
      <c r="AD49" s="26"/>
      <c r="AE49" s="26"/>
      <c r="AF49" s="5"/>
      <c r="AG49" s="7"/>
      <c r="AH49" s="26"/>
      <c r="AI49" s="26"/>
      <c r="AJ49" s="5"/>
      <c r="AK49" s="7"/>
      <c r="AL49" s="26"/>
      <c r="AM49" s="26"/>
      <c r="AN49" s="5"/>
      <c r="AO49" s="7"/>
      <c r="AP49" s="26"/>
      <c r="AQ49" s="26"/>
      <c r="AR49" s="5"/>
      <c r="AS49" s="7"/>
      <c r="AT49" s="26"/>
      <c r="AU49" s="26"/>
      <c r="AV49" s="5"/>
      <c r="AW49" s="21"/>
      <c r="AX49" s="8">
        <f>Tabel2425678910111213[[#This Row],[Aantal consumpties heet water deze maand]]+Tabel2425678910111213[[#This Row],[Aantal consumpties licht bruisend water deze maand]]+Tabel2425678910111213[[#This Row],[aantal consumpties Bruisend water deze maand]]+Tabel2425678910111213[[#This Row],[Aantal consumpties gekoeld water deze maand]]+Tabel2425678910111213[[#This Row],[Aantal consumpties Kamertemp deze maand]]</f>
        <v>0</v>
      </c>
      <c r="AY49" s="4">
        <f>Tabel2425678910111213[[#This Row],[Subtotaal waterbar in consumpties]]+Tabel2425678910111213[[#This Row],[Subtotaal koffieautomaten]]</f>
        <v>1197</v>
      </c>
    </row>
    <row r="50" spans="1:51" x14ac:dyDescent="0.25">
      <c r="A50" t="s">
        <v>60</v>
      </c>
      <c r="B50" t="s">
        <v>98</v>
      </c>
      <c r="C50" t="s">
        <v>47</v>
      </c>
      <c r="E50" s="11">
        <v>2208</v>
      </c>
      <c r="F50" s="11">
        <v>2090</v>
      </c>
      <c r="G50" s="12">
        <f>Tabel2425678910111213[[#This Row],[Stand Coffee einde maand]]-Tabel2425678910111213[[#This Row],[Coffee vorige maand]]</f>
        <v>118</v>
      </c>
      <c r="H50" s="11">
        <v>710</v>
      </c>
      <c r="I50" s="11">
        <v>684</v>
      </c>
      <c r="J50" s="12">
        <f>Tabel2425678910111213[[#This Row],[Stand Espresso Einde maand]]-Tabel2425678910111213[[#This Row],[Espresso vorige maand]]</f>
        <v>26</v>
      </c>
      <c r="K50" s="11">
        <v>435</v>
      </c>
      <c r="L50" s="11">
        <v>414</v>
      </c>
      <c r="M50">
        <f>Tabel2425678910111213[[#This Row],[Stand Latte Macchiato einde maand]]-Tabel2425678910111213[[#This Row],[Latte Macchiato vorige maand]]</f>
        <v>21</v>
      </c>
      <c r="N50" s="11">
        <v>301</v>
      </c>
      <c r="O50" s="11">
        <v>269</v>
      </c>
      <c r="P50">
        <f>Tabel2425678910111213[[#This Row],[Stand Coffee Latte einde maand]]-Tabel2425678910111213[[#This Row],[Coffee Latte vorige maand]]</f>
        <v>32</v>
      </c>
      <c r="Q50" s="11">
        <v>1</v>
      </c>
      <c r="R50" s="11">
        <v>1</v>
      </c>
      <c r="S50">
        <f>Tabel2425678910111213[[#This Row],[Stand Hot Water einde maand]]-Tabel2425678910111213[[#This Row],[Hot Water vorige maand]]</f>
        <v>0</v>
      </c>
      <c r="T50" s="11">
        <v>1570</v>
      </c>
      <c r="U50" s="11">
        <v>1476</v>
      </c>
      <c r="V50">
        <f>Tabel2425678910111213[[#This Row],[Stand Cappucino einde maand]]-Tabel2425678910111213[[#This Row],[Stand Cappucino vorige maand]]</f>
        <v>94</v>
      </c>
      <c r="W50" s="11">
        <v>364</v>
      </c>
      <c r="X50" s="11">
        <v>350</v>
      </c>
      <c r="Y50">
        <f>Tabel2425678910111213[[#This Row],[Stand Cappucino Plantaardig einde maand]]-Tabel2425678910111213[[#This Row],[Stand Cappucino Plantaardig vorige maand]]</f>
        <v>14</v>
      </c>
      <c r="Z50" s="11">
        <v>106</v>
      </c>
      <c r="AA50" s="11">
        <v>106</v>
      </c>
      <c r="AB50" s="12">
        <f>Tabel2425678910111213[[#This Row],[Stand Latte Macchiato Plantaardig einde maand]]-Tabel2425678910111213[[#This Row],[Stand Latte Macchiato Plantaardig vorige maand]]</f>
        <v>0</v>
      </c>
      <c r="AC50" s="3">
        <f>Tabel2425678910111213[[#This Row],[Verbruik Stand Latte Macchiato Plantaardig deze maand]]+Tabel2425678910111213[[#This Row],[Verbruik  Cappucino Plantaardig deze maand]]+Tabel2425678910111213[[#This Row],[Verbruik Cappucino deze maand]]+Tabel2425678910111213[[#This Row],[Verbruik Hot Water deze maand]]+Tabel2425678910111213[[#This Row],[Verbruik Coffee Latte deze maand]]+Tabel2425678910111213[[#This Row],[Verbruik Latte Macchiato deze maand]]+Tabel2425678910111213[[#This Row],[Verbruik Espresso deze maand]]+Tabel2425678910111213[[#This Row],[Verbruik Coffee deze maand]]</f>
        <v>305</v>
      </c>
      <c r="AD50" s="11">
        <v>137.69999999999999</v>
      </c>
      <c r="AE50" s="11">
        <v>125.4</v>
      </c>
      <c r="AF50">
        <f>Tabel2425678910111213[[#This Row],[Stand Kamertemp liter einde maand]]-Tabel2425678910111213[[#This Row],[Stand Kamertemp liter vorige maand]]</f>
        <v>12.299999999999983</v>
      </c>
      <c r="AG50" s="2">
        <f>Tabel2425678910111213[[#This Row],[Verbruik Kamertemp liter deze maand]]/0.15</f>
        <v>81.999999999999886</v>
      </c>
      <c r="AH50" s="11">
        <v>866.5</v>
      </c>
      <c r="AI50" s="11">
        <v>824.3</v>
      </c>
      <c r="AJ50">
        <f>Tabel2425678910111213[[#This Row],[Stand Gekoeld liter einde maand]]-Tabel2425678910111213[[#This Row],[Stand Gekoeld liter vorige maand]]</f>
        <v>42.200000000000045</v>
      </c>
      <c r="AK50" s="2">
        <f>Tabel2425678910111213[[#This Row],[Verbruik Gekoeld liter deze maand]]/0.15</f>
        <v>281.33333333333366</v>
      </c>
      <c r="AL50" s="11">
        <v>354.2</v>
      </c>
      <c r="AM50" s="11">
        <v>342.7</v>
      </c>
      <c r="AN50">
        <f>Tabel2425678910111213[[#This Row],[Stand Bruisend liter einde maand]]-Tabel2425678910111213[[#This Row],[Stand Bruisend liter vorige maand]]</f>
        <v>11.5</v>
      </c>
      <c r="AO50" s="2">
        <f>Tabel2425678910111213[[#This Row],[Verbruik Bruisend liter deze maand]]/0.15</f>
        <v>76.666666666666671</v>
      </c>
      <c r="AP50" s="11">
        <v>261.8</v>
      </c>
      <c r="AQ50" s="11">
        <v>232.1</v>
      </c>
      <c r="AR50">
        <f>Tabel2425678910111213[[#This Row],[Stand licht bruisend liter einde maand]]-Tabel2425678910111213[[#This Row],[Stand licht bruisend liter vorige maand]]</f>
        <v>29.700000000000017</v>
      </c>
      <c r="AS50" s="2">
        <f>Tabel2425678910111213[[#This Row],[Verbruik licht bruisend liter deze maand]]/0.15</f>
        <v>198.00000000000011</v>
      </c>
      <c r="AT50" s="11">
        <v>2413.1</v>
      </c>
      <c r="AU50" s="11">
        <v>2229.8000000000002</v>
      </c>
      <c r="AV50">
        <f>Tabel2425678910111213[[#This Row],[Stand heet water liter einde maand]]-Tabel2425678910111213[[#This Row],[Stand heet water liter vorige maand]]</f>
        <v>183.29999999999973</v>
      </c>
      <c r="AW50" s="20">
        <f>Tabel2425678910111213[[#This Row],[Verbruik heet Water liter deze maand ]]/0.15</f>
        <v>1221.9999999999982</v>
      </c>
      <c r="AX50" s="4">
        <f>Tabel2425678910111213[[#This Row],[Aantal consumpties heet water deze maand]]+Tabel2425678910111213[[#This Row],[Aantal consumpties licht bruisend water deze maand]]+Tabel2425678910111213[[#This Row],[aantal consumpties Bruisend water deze maand]]+Tabel2425678910111213[[#This Row],[Aantal consumpties gekoeld water deze maand]]+Tabel2425678910111213[[#This Row],[Aantal consumpties Kamertemp deze maand]]</f>
        <v>1859.9999999999986</v>
      </c>
      <c r="AY50" s="4">
        <f>Tabel2425678910111213[[#This Row],[Subtotaal waterbar in consumpties]]+Tabel2425678910111213[[#This Row],[Subtotaal koffieautomaten]]</f>
        <v>2164.9999999999986</v>
      </c>
    </row>
    <row r="51" spans="1:51" x14ac:dyDescent="0.25">
      <c r="A51" s="3" t="s">
        <v>99</v>
      </c>
      <c r="F51" s="11"/>
      <c r="H51" s="11"/>
      <c r="I51" s="11"/>
      <c r="J51" s="12"/>
      <c r="K51" s="11"/>
      <c r="L51" s="11"/>
      <c r="O51" s="11"/>
      <c r="R51" s="11"/>
      <c r="U51" s="11"/>
      <c r="X51" s="11"/>
      <c r="AA51" s="11"/>
      <c r="AC51" s="3">
        <f>Tabel2425678910111213[[#This Row],[Verbruik Stand Latte Macchiato Plantaardig deze maand]]+Tabel2425678910111213[[#This Row],[Verbruik  Cappucino Plantaardig deze maand]]+Tabel2425678910111213[[#This Row],[Verbruik Cappucino deze maand]]+Tabel2425678910111213[[#This Row],[Verbruik Hot Water deze maand]]+Tabel2425678910111213[[#This Row],[Verbruik Coffee Latte deze maand]]+Tabel2425678910111213[[#This Row],[Verbruik Latte Macchiato deze maand]]+Tabel2425678910111213[[#This Row],[Verbruik Espresso deze maand]]+Tabel2425678910111213[[#This Row],[Verbruik Coffee deze maand]]</f>
        <v>0</v>
      </c>
      <c r="AE51" s="11"/>
      <c r="AG51" s="2"/>
      <c r="AI51" s="11"/>
      <c r="AK51" s="2"/>
      <c r="AM51" s="11"/>
      <c r="AO51" s="2"/>
      <c r="AQ51" s="11"/>
      <c r="AS51" s="2"/>
      <c r="AU51" s="11"/>
      <c r="AV51">
        <f>Tabel2425678910111213[[#This Row],[Stand heet water liter einde maand]]-Tabel2425678910111213[[#This Row],[Stand heet water liter vorige maand]]</f>
        <v>0</v>
      </c>
      <c r="AW51" s="20">
        <f>Tabel2425678910111213[[#This Row],[Verbruik heet Water liter deze maand ]]/0.15</f>
        <v>0</v>
      </c>
      <c r="AX51" s="4"/>
      <c r="AY51" s="4">
        <f>Tabel2425678910111213[[#This Row],[Subtotaal waterbar in consumpties]]+Tabel2425678910111213[[#This Row],[Subtotaal koffieautomaten]]</f>
        <v>0</v>
      </c>
    </row>
    <row r="52" spans="1:51" x14ac:dyDescent="0.25">
      <c r="A52" t="s">
        <v>43</v>
      </c>
      <c r="B52" t="s">
        <v>100</v>
      </c>
      <c r="C52" t="s">
        <v>31</v>
      </c>
      <c r="E52" s="11">
        <v>4747</v>
      </c>
      <c r="F52" s="11">
        <v>4403</v>
      </c>
      <c r="G52" s="12">
        <f>Tabel2425678910111213[[#This Row],[Stand Coffee einde maand]]-Tabel2425678910111213[[#This Row],[Coffee vorige maand]]</f>
        <v>344</v>
      </c>
      <c r="H52" s="11">
        <v>824</v>
      </c>
      <c r="I52" s="11">
        <v>1184</v>
      </c>
      <c r="J52" s="12">
        <f>Tabel2425678910111213[[#This Row],[Stand Espresso Einde maand]]-Tabel2425678910111213[[#This Row],[Espresso vorige maand]]</f>
        <v>-360</v>
      </c>
      <c r="K52" s="11">
        <v>631</v>
      </c>
      <c r="L52" s="11">
        <v>574</v>
      </c>
      <c r="M52">
        <f>Tabel2425678910111213[[#This Row],[Stand Latte Macchiato einde maand]]-Tabel2425678910111213[[#This Row],[Latte Macchiato vorige maand]]</f>
        <v>57</v>
      </c>
      <c r="N52" s="11">
        <v>273</v>
      </c>
      <c r="O52" s="11">
        <v>265</v>
      </c>
      <c r="P52">
        <f>Tabel2425678910111213[[#This Row],[Stand Coffee Latte einde maand]]-Tabel2425678910111213[[#This Row],[Coffee Latte vorige maand]]</f>
        <v>8</v>
      </c>
      <c r="Q52" s="11">
        <v>11889</v>
      </c>
      <c r="R52" s="11">
        <v>11034</v>
      </c>
      <c r="S52">
        <f>Tabel2425678910111213[[#This Row],[Stand Hot Water einde maand]]-Tabel2425678910111213[[#This Row],[Hot Water vorige maand]]</f>
        <v>855</v>
      </c>
      <c r="T52" s="11">
        <v>1613</v>
      </c>
      <c r="U52" s="11">
        <v>1448</v>
      </c>
      <c r="V52">
        <f>Tabel2425678910111213[[#This Row],[Stand Cappucino einde maand]]-Tabel2425678910111213[[#This Row],[Stand Cappucino vorige maand]]</f>
        <v>165</v>
      </c>
      <c r="W52" s="11">
        <v>509</v>
      </c>
      <c r="X52" s="11">
        <v>443</v>
      </c>
      <c r="Y52">
        <f>Tabel2425678910111213[[#This Row],[Stand Cappucino Plantaardig einde maand]]-Tabel2425678910111213[[#This Row],[Stand Cappucino Plantaardig vorige maand]]</f>
        <v>66</v>
      </c>
      <c r="Z52" s="11">
        <v>138</v>
      </c>
      <c r="AA52" s="11">
        <v>124</v>
      </c>
      <c r="AB52" s="12">
        <f>Tabel2425678910111213[[#This Row],[Stand Latte Macchiato Plantaardig einde maand]]-Tabel2425678910111213[[#This Row],[Stand Latte Macchiato Plantaardig vorige maand]]</f>
        <v>14</v>
      </c>
      <c r="AC52" s="3">
        <f>Tabel2425678910111213[[#This Row],[Verbruik Stand Latte Macchiato Plantaardig deze maand]]+Tabel2425678910111213[[#This Row],[Verbruik  Cappucino Plantaardig deze maand]]+Tabel2425678910111213[[#This Row],[Verbruik Cappucino deze maand]]+Tabel2425678910111213[[#This Row],[Verbruik Hot Water deze maand]]+Tabel2425678910111213[[#This Row],[Verbruik Coffee Latte deze maand]]+Tabel2425678910111213[[#This Row],[Verbruik Latte Macchiato deze maand]]+Tabel2425678910111213[[#This Row],[Verbruik Espresso deze maand]]+Tabel2425678910111213[[#This Row],[Verbruik Coffee deze maand]]</f>
        <v>1149</v>
      </c>
      <c r="AD52" s="26"/>
      <c r="AE52" s="26"/>
      <c r="AF52" s="5"/>
      <c r="AG52" s="7"/>
      <c r="AH52" s="26"/>
      <c r="AI52" s="26"/>
      <c r="AJ52" s="5"/>
      <c r="AK52" s="7"/>
      <c r="AL52" s="26"/>
      <c r="AM52" s="26"/>
      <c r="AN52" s="5"/>
      <c r="AO52" s="7"/>
      <c r="AP52" s="26"/>
      <c r="AQ52" s="26"/>
      <c r="AR52" s="5"/>
      <c r="AS52" s="7"/>
      <c r="AT52" s="26"/>
      <c r="AU52" s="26"/>
      <c r="AV52" s="5"/>
      <c r="AW52" s="21"/>
      <c r="AX52" s="8"/>
      <c r="AY52" s="4">
        <f>Tabel2425678910111213[[#This Row],[Subtotaal waterbar in consumpties]]+Tabel2425678910111213[[#This Row],[Subtotaal koffieautomaten]]</f>
        <v>1149</v>
      </c>
    </row>
    <row r="53" spans="1:51" x14ac:dyDescent="0.25">
      <c r="A53" t="s">
        <v>45</v>
      </c>
      <c r="B53" t="s">
        <v>101</v>
      </c>
      <c r="C53" t="s">
        <v>47</v>
      </c>
      <c r="E53" s="11">
        <v>4009</v>
      </c>
      <c r="F53" s="11">
        <v>3793</v>
      </c>
      <c r="G53" s="12">
        <f>Tabel2425678910111213[[#This Row],[Stand Coffee einde maand]]-Tabel2425678910111213[[#This Row],[Coffee vorige maand]]</f>
        <v>216</v>
      </c>
      <c r="H53" s="11">
        <v>1598</v>
      </c>
      <c r="I53" s="11">
        <v>1451</v>
      </c>
      <c r="J53" s="12">
        <f>Tabel2425678910111213[[#This Row],[Stand Espresso Einde maand]]-Tabel2425678910111213[[#This Row],[Espresso vorige maand]]</f>
        <v>147</v>
      </c>
      <c r="K53" s="11">
        <v>383</v>
      </c>
      <c r="L53" s="11">
        <v>354</v>
      </c>
      <c r="M53">
        <f>Tabel2425678910111213[[#This Row],[Stand Latte Macchiato einde maand]]-Tabel2425678910111213[[#This Row],[Latte Macchiato vorige maand]]</f>
        <v>29</v>
      </c>
      <c r="N53" s="11">
        <v>288</v>
      </c>
      <c r="O53" s="11">
        <v>281</v>
      </c>
      <c r="P53">
        <f>Tabel2425678910111213[[#This Row],[Stand Coffee Latte einde maand]]-Tabel2425678910111213[[#This Row],[Coffee Latte vorige maand]]</f>
        <v>7</v>
      </c>
      <c r="Q53" s="11">
        <v>1</v>
      </c>
      <c r="R53" s="11">
        <v>1</v>
      </c>
      <c r="S53">
        <f>Tabel2425678910111213[[#This Row],[Stand Hot Water einde maand]]-Tabel2425678910111213[[#This Row],[Hot Water vorige maand]]</f>
        <v>0</v>
      </c>
      <c r="T53" s="11">
        <v>1956</v>
      </c>
      <c r="U53" s="11">
        <v>1836</v>
      </c>
      <c r="V53">
        <f>Tabel2425678910111213[[#This Row],[Stand Cappucino einde maand]]-Tabel2425678910111213[[#This Row],[Stand Cappucino vorige maand]]</f>
        <v>120</v>
      </c>
      <c r="W53" s="11">
        <v>431</v>
      </c>
      <c r="X53" s="11">
        <v>403</v>
      </c>
      <c r="Y53">
        <f>Tabel2425678910111213[[#This Row],[Stand Cappucino Plantaardig einde maand]]-Tabel2425678910111213[[#This Row],[Stand Cappucino Plantaardig vorige maand]]</f>
        <v>28</v>
      </c>
      <c r="Z53" s="11">
        <v>170</v>
      </c>
      <c r="AA53" s="11">
        <v>161</v>
      </c>
      <c r="AB53" s="12">
        <f>Tabel2425678910111213[[#This Row],[Stand Latte Macchiato Plantaardig einde maand]]-Tabel2425678910111213[[#This Row],[Stand Latte Macchiato Plantaardig vorige maand]]</f>
        <v>9</v>
      </c>
      <c r="AC53" s="3">
        <f>Tabel2425678910111213[[#This Row],[Verbruik Stand Latte Macchiato Plantaardig deze maand]]+Tabel2425678910111213[[#This Row],[Verbruik  Cappucino Plantaardig deze maand]]+Tabel2425678910111213[[#This Row],[Verbruik Cappucino deze maand]]+Tabel2425678910111213[[#This Row],[Verbruik Hot Water deze maand]]+Tabel2425678910111213[[#This Row],[Verbruik Coffee Latte deze maand]]+Tabel2425678910111213[[#This Row],[Verbruik Latte Macchiato deze maand]]+Tabel2425678910111213[[#This Row],[Verbruik Espresso deze maand]]+Tabel2425678910111213[[#This Row],[Verbruik Coffee deze maand]]</f>
        <v>556</v>
      </c>
      <c r="AD53" s="11">
        <v>239.4</v>
      </c>
      <c r="AE53" s="11">
        <v>223</v>
      </c>
      <c r="AF53">
        <f>Tabel2425678910111213[[#This Row],[Stand Kamertemp liter einde maand]]-Tabel2425678910111213[[#This Row],[Stand Kamertemp liter vorige maand]]</f>
        <v>16.400000000000006</v>
      </c>
      <c r="AG53" s="2">
        <f>Tabel2425678910111213[[#This Row],[Verbruik Kamertemp liter deze maand]]/0.15</f>
        <v>109.33333333333337</v>
      </c>
      <c r="AH53" s="11">
        <v>1030.3</v>
      </c>
      <c r="AI53" s="11">
        <v>966</v>
      </c>
      <c r="AJ53">
        <f>Tabel2425678910111213[[#This Row],[Stand Gekoeld liter einde maand]]-Tabel2425678910111213[[#This Row],[Stand Gekoeld liter vorige maand]]</f>
        <v>64.299999999999955</v>
      </c>
      <c r="AK53" s="2">
        <f>Tabel2425678910111213[[#This Row],[Verbruik Gekoeld liter deze maand]]/0.15</f>
        <v>428.6666666666664</v>
      </c>
      <c r="AL53" s="11">
        <v>1331.3</v>
      </c>
      <c r="AM53" s="11">
        <v>1274.3</v>
      </c>
      <c r="AN53">
        <f>Tabel2425678910111213[[#This Row],[Stand Bruisend liter einde maand]]-Tabel2425678910111213[[#This Row],[Stand Bruisend liter vorige maand]]</f>
        <v>57</v>
      </c>
      <c r="AO53" s="2">
        <f>Tabel2425678910111213[[#This Row],[Verbruik Bruisend liter deze maand]]/0.15</f>
        <v>380</v>
      </c>
      <c r="AP53" s="11">
        <v>418.5</v>
      </c>
      <c r="AQ53" s="11">
        <v>410.3</v>
      </c>
      <c r="AR53">
        <f>Tabel2425678910111213[[#This Row],[Stand licht bruisend liter einde maand]]-Tabel2425678910111213[[#This Row],[Stand licht bruisend liter vorige maand]]</f>
        <v>8.1999999999999886</v>
      </c>
      <c r="AS53" s="2">
        <f>Tabel2425678910111213[[#This Row],[Verbruik licht bruisend liter deze maand]]/0.15</f>
        <v>54.666666666666593</v>
      </c>
      <c r="AT53" s="11">
        <v>3354.7</v>
      </c>
      <c r="AU53" s="11">
        <v>3033.1</v>
      </c>
      <c r="AV53">
        <f>Tabel2425678910111213[[#This Row],[Stand heet water liter einde maand]]-Tabel2425678910111213[[#This Row],[Stand heet water liter vorige maand]]</f>
        <v>321.59999999999991</v>
      </c>
      <c r="AW53" s="20">
        <f>Tabel2425678910111213[[#This Row],[Verbruik heet Water liter deze maand ]]/0.15</f>
        <v>2143.9999999999995</v>
      </c>
      <c r="AX53" s="4">
        <f>Tabel2425678910111213[[#This Row],[Aantal consumpties heet water deze maand]]+Tabel2425678910111213[[#This Row],[Aantal consumpties licht bruisend water deze maand]]+Tabel2425678910111213[[#This Row],[aantal consumpties Bruisend water deze maand]]+Tabel2425678910111213[[#This Row],[Aantal consumpties gekoeld water deze maand]]+Tabel2425678910111213[[#This Row],[Aantal consumpties Kamertemp deze maand]]</f>
        <v>3116.6666666666661</v>
      </c>
      <c r="AY53" s="4">
        <f>Tabel2425678910111213[[#This Row],[Subtotaal waterbar in consumpties]]+Tabel2425678910111213[[#This Row],[Subtotaal koffieautomaten]]</f>
        <v>3672.6666666666661</v>
      </c>
    </row>
    <row r="54" spans="1:51" x14ac:dyDescent="0.25">
      <c r="A54" t="s">
        <v>48</v>
      </c>
      <c r="B54" t="s">
        <v>102</v>
      </c>
      <c r="C54" t="s">
        <v>31</v>
      </c>
      <c r="E54" s="11">
        <v>3229</v>
      </c>
      <c r="F54" s="11">
        <v>3028</v>
      </c>
      <c r="G54" s="12">
        <f>Tabel2425678910111213[[#This Row],[Stand Coffee einde maand]]-Tabel2425678910111213[[#This Row],[Coffee vorige maand]]</f>
        <v>201</v>
      </c>
      <c r="H54" s="11">
        <v>1007</v>
      </c>
      <c r="I54" s="11">
        <v>946</v>
      </c>
      <c r="J54" s="12">
        <f>Tabel2425678910111213[[#This Row],[Stand Espresso Einde maand]]-Tabel2425678910111213[[#This Row],[Espresso vorige maand]]</f>
        <v>61</v>
      </c>
      <c r="K54" s="11">
        <v>164</v>
      </c>
      <c r="L54" s="11">
        <v>144</v>
      </c>
      <c r="M54">
        <f>Tabel2425678910111213[[#This Row],[Stand Latte Macchiato einde maand]]-Tabel2425678910111213[[#This Row],[Latte Macchiato vorige maand]]</f>
        <v>20</v>
      </c>
      <c r="N54" s="11">
        <v>208</v>
      </c>
      <c r="O54" s="11">
        <v>191</v>
      </c>
      <c r="P54">
        <f>Tabel2425678910111213[[#This Row],[Stand Coffee Latte einde maand]]-Tabel2425678910111213[[#This Row],[Coffee Latte vorige maand]]</f>
        <v>17</v>
      </c>
      <c r="Q54" s="11">
        <v>7764</v>
      </c>
      <c r="R54" s="11">
        <v>7094</v>
      </c>
      <c r="S54">
        <f>Tabel2425678910111213[[#This Row],[Stand Hot Water einde maand]]-Tabel2425678910111213[[#This Row],[Hot Water vorige maand]]</f>
        <v>670</v>
      </c>
      <c r="T54" s="11">
        <v>1336</v>
      </c>
      <c r="U54" s="11">
        <v>1228</v>
      </c>
      <c r="V54">
        <f>Tabel2425678910111213[[#This Row],[Stand Cappucino einde maand]]-Tabel2425678910111213[[#This Row],[Stand Cappucino vorige maand]]</f>
        <v>108</v>
      </c>
      <c r="W54" s="11">
        <v>919</v>
      </c>
      <c r="X54" s="11">
        <v>872</v>
      </c>
      <c r="Y54">
        <f>Tabel2425678910111213[[#This Row],[Stand Cappucino Plantaardig einde maand]]-Tabel2425678910111213[[#This Row],[Stand Cappucino Plantaardig vorige maand]]</f>
        <v>47</v>
      </c>
      <c r="Z54" s="11">
        <v>72</v>
      </c>
      <c r="AA54" s="11">
        <v>72</v>
      </c>
      <c r="AB54" s="12">
        <f>Tabel2425678910111213[[#This Row],[Stand Latte Macchiato Plantaardig einde maand]]-Tabel2425678910111213[[#This Row],[Stand Latte Macchiato Plantaardig vorige maand]]</f>
        <v>0</v>
      </c>
      <c r="AC54" s="3">
        <f>Tabel2425678910111213[[#This Row],[Verbruik Stand Latte Macchiato Plantaardig deze maand]]+Tabel2425678910111213[[#This Row],[Verbruik  Cappucino Plantaardig deze maand]]+Tabel2425678910111213[[#This Row],[Verbruik Cappucino deze maand]]+Tabel2425678910111213[[#This Row],[Verbruik Hot Water deze maand]]+Tabel2425678910111213[[#This Row],[Verbruik Coffee Latte deze maand]]+Tabel2425678910111213[[#This Row],[Verbruik Latte Macchiato deze maand]]+Tabel2425678910111213[[#This Row],[Verbruik Espresso deze maand]]+Tabel2425678910111213[[#This Row],[Verbruik Coffee deze maand]]</f>
        <v>1124</v>
      </c>
      <c r="AD54" s="26"/>
      <c r="AE54" s="26"/>
      <c r="AF54" s="5"/>
      <c r="AG54" s="7"/>
      <c r="AH54" s="26"/>
      <c r="AI54" s="26"/>
      <c r="AJ54" s="5"/>
      <c r="AK54" s="7"/>
      <c r="AL54" s="26"/>
      <c r="AM54" s="26"/>
      <c r="AN54" s="5"/>
      <c r="AO54" s="7"/>
      <c r="AP54" s="26"/>
      <c r="AQ54" s="26"/>
      <c r="AR54" s="5"/>
      <c r="AS54" s="7"/>
      <c r="AT54" s="26"/>
      <c r="AU54" s="26"/>
      <c r="AV54" s="5"/>
      <c r="AW54" s="21"/>
      <c r="AX54" s="8"/>
      <c r="AY54" s="4">
        <f>Tabel2425678910111213[[#This Row],[Subtotaal waterbar in consumpties]]+Tabel2425678910111213[[#This Row],[Subtotaal koffieautomaten]]</f>
        <v>1124</v>
      </c>
    </row>
    <row r="55" spans="1:51" x14ac:dyDescent="0.25">
      <c r="A55" s="28" t="s">
        <v>50</v>
      </c>
      <c r="B55" s="28" t="s">
        <v>103</v>
      </c>
      <c r="C55" s="28" t="s">
        <v>47</v>
      </c>
      <c r="D55" s="28"/>
      <c r="E55" s="11">
        <v>4781</v>
      </c>
      <c r="F55" s="11">
        <v>4464</v>
      </c>
      <c r="G55" s="12">
        <f>Tabel2425678910111213[[#This Row],[Stand Coffee einde maand]]-Tabel2425678910111213[[#This Row],[Coffee vorige maand]]</f>
        <v>317</v>
      </c>
      <c r="H55" s="11">
        <v>2015</v>
      </c>
      <c r="I55" s="11">
        <v>1913</v>
      </c>
      <c r="J55" s="12">
        <f>Tabel2425678910111213[[#This Row],[Stand Espresso Einde maand]]-Tabel2425678910111213[[#This Row],[Espresso vorige maand]]</f>
        <v>102</v>
      </c>
      <c r="K55" s="11">
        <v>214</v>
      </c>
      <c r="L55" s="11">
        <v>191</v>
      </c>
      <c r="M55">
        <f>Tabel2425678910111213[[#This Row],[Stand Latte Macchiato einde maand]]-Tabel2425678910111213[[#This Row],[Latte Macchiato vorige maand]]</f>
        <v>23</v>
      </c>
      <c r="N55" s="11">
        <v>97</v>
      </c>
      <c r="O55" s="11">
        <v>78</v>
      </c>
      <c r="P55">
        <f>Tabel2425678910111213[[#This Row],[Stand Coffee Latte einde maand]]-Tabel2425678910111213[[#This Row],[Coffee Latte vorige maand]]</f>
        <v>19</v>
      </c>
      <c r="Q55" s="11">
        <v>1</v>
      </c>
      <c r="R55" s="11">
        <v>1</v>
      </c>
      <c r="S55">
        <f>Tabel2425678910111213[[#This Row],[Stand Hot Water einde maand]]-Tabel2425678910111213[[#This Row],[Hot Water vorige maand]]</f>
        <v>0</v>
      </c>
      <c r="T55" s="11">
        <v>4531</v>
      </c>
      <c r="U55" s="11">
        <v>4275</v>
      </c>
      <c r="V55">
        <f>Tabel2425678910111213[[#This Row],[Stand Cappucino einde maand]]-Tabel2425678910111213[[#This Row],[Stand Cappucino vorige maand]]</f>
        <v>256</v>
      </c>
      <c r="W55" s="11">
        <v>423</v>
      </c>
      <c r="X55" s="11">
        <v>375</v>
      </c>
      <c r="Y55">
        <f>Tabel2425678910111213[[#This Row],[Stand Cappucino Plantaardig einde maand]]-Tabel2425678910111213[[#This Row],[Stand Cappucino Plantaardig vorige maand]]</f>
        <v>48</v>
      </c>
      <c r="Z55" s="11">
        <v>101</v>
      </c>
      <c r="AA55" s="11">
        <v>99</v>
      </c>
      <c r="AB55" s="12">
        <f>Tabel2425678910111213[[#This Row],[Stand Latte Macchiato Plantaardig einde maand]]-Tabel2425678910111213[[#This Row],[Stand Latte Macchiato Plantaardig vorige maand]]</f>
        <v>2</v>
      </c>
      <c r="AC55" s="3">
        <f>Tabel2425678910111213[[#This Row],[Verbruik Stand Latte Macchiato Plantaardig deze maand]]+Tabel2425678910111213[[#This Row],[Verbruik  Cappucino Plantaardig deze maand]]+Tabel2425678910111213[[#This Row],[Verbruik Cappucino deze maand]]+Tabel2425678910111213[[#This Row],[Verbruik Hot Water deze maand]]+Tabel2425678910111213[[#This Row],[Verbruik Coffee Latte deze maand]]+Tabel2425678910111213[[#This Row],[Verbruik Latte Macchiato deze maand]]+Tabel2425678910111213[[#This Row],[Verbruik Espresso deze maand]]+Tabel2425678910111213[[#This Row],[Verbruik Coffee deze maand]]</f>
        <v>767</v>
      </c>
      <c r="AD55" s="11">
        <v>2.9</v>
      </c>
      <c r="AE55" s="11">
        <v>0</v>
      </c>
      <c r="AF55">
        <f>Tabel2425678910111213[[#This Row],[Stand Kamertemp liter einde maand]]-Tabel2425678910111213[[#This Row],[Stand Kamertemp liter vorige maand]]</f>
        <v>2.9</v>
      </c>
      <c r="AG55" s="2">
        <f>Tabel2425678910111213[[#This Row],[Verbruik Kamertemp liter deze maand]]/0.15</f>
        <v>19.333333333333332</v>
      </c>
      <c r="AH55" s="11">
        <v>12.6</v>
      </c>
      <c r="AI55" s="11">
        <v>0</v>
      </c>
      <c r="AJ55">
        <f>Tabel2425678910111213[[#This Row],[Stand Gekoeld liter einde maand]]-Tabel2425678910111213[[#This Row],[Stand Gekoeld liter vorige maand]]</f>
        <v>12.6</v>
      </c>
      <c r="AK55" s="2">
        <f>Tabel2425678910111213[[#This Row],[Verbruik Gekoeld liter deze maand]]/0.15</f>
        <v>84</v>
      </c>
      <c r="AL55" s="11">
        <v>24.7</v>
      </c>
      <c r="AM55" s="11">
        <v>0</v>
      </c>
      <c r="AN55">
        <f>Tabel2425678910111213[[#This Row],[Stand Bruisend liter einde maand]]-Tabel2425678910111213[[#This Row],[Stand Bruisend liter vorige maand]]</f>
        <v>24.7</v>
      </c>
      <c r="AO55" s="2">
        <f>Tabel2425678910111213[[#This Row],[Verbruik Bruisend liter deze maand]]/0.15</f>
        <v>164.66666666666666</v>
      </c>
      <c r="AP55" s="11">
        <v>2</v>
      </c>
      <c r="AQ55" s="11">
        <v>0</v>
      </c>
      <c r="AR55">
        <f>Tabel2425678910111213[[#This Row],[Stand licht bruisend liter einde maand]]-Tabel2425678910111213[[#This Row],[Stand licht bruisend liter vorige maand]]</f>
        <v>2</v>
      </c>
      <c r="AS55" s="2">
        <f>Tabel2425678910111213[[#This Row],[Verbruik licht bruisend liter deze maand]]/0.15</f>
        <v>13.333333333333334</v>
      </c>
      <c r="AT55" s="11">
        <v>146.9</v>
      </c>
      <c r="AU55" s="11">
        <v>0</v>
      </c>
      <c r="AV55">
        <f>Tabel2425678910111213[[#This Row],[Stand heet water liter einde maand]]-Tabel2425678910111213[[#This Row],[Stand heet water liter vorige maand]]</f>
        <v>146.9</v>
      </c>
      <c r="AW55" s="20">
        <f>Tabel2425678910111213[[#This Row],[Verbruik heet Water liter deze maand ]]/0.15</f>
        <v>979.33333333333337</v>
      </c>
      <c r="AX55" s="4">
        <f>Tabel2425678910111213[[#This Row],[Aantal consumpties heet water deze maand]]+Tabel2425678910111213[[#This Row],[Aantal consumpties licht bruisend water deze maand]]+Tabel2425678910111213[[#This Row],[aantal consumpties Bruisend water deze maand]]+Tabel2425678910111213[[#This Row],[Aantal consumpties gekoeld water deze maand]]+Tabel2425678910111213[[#This Row],[Aantal consumpties Kamertemp deze maand]]</f>
        <v>1260.6666666666667</v>
      </c>
      <c r="AY55" s="4">
        <f>Tabel2425678910111213[[#This Row],[Subtotaal waterbar in consumpties]]+Tabel2425678910111213[[#This Row],[Subtotaal koffieautomaten]]</f>
        <v>2027.6666666666667</v>
      </c>
    </row>
    <row r="56" spans="1:51" x14ac:dyDescent="0.25">
      <c r="A56" t="s">
        <v>52</v>
      </c>
      <c r="B56" t="s">
        <v>104</v>
      </c>
      <c r="C56" t="s">
        <v>36</v>
      </c>
      <c r="E56" s="42"/>
      <c r="F56" s="42"/>
      <c r="G56" s="43"/>
      <c r="H56" s="42"/>
      <c r="I56" s="42"/>
      <c r="J56" s="43"/>
      <c r="K56" s="42"/>
      <c r="L56" s="42"/>
      <c r="M56" s="43"/>
      <c r="N56" s="42"/>
      <c r="O56" s="42"/>
      <c r="P56" s="43"/>
      <c r="Q56" s="42"/>
      <c r="R56" s="42"/>
      <c r="S56" s="43"/>
      <c r="T56" s="42"/>
      <c r="U56" s="42"/>
      <c r="V56" s="43"/>
      <c r="W56" s="42"/>
      <c r="X56" s="42"/>
      <c r="Y56" s="43"/>
      <c r="Z56" s="42"/>
      <c r="AA56" s="42"/>
      <c r="AB56" s="43"/>
      <c r="AC56" s="43"/>
      <c r="AD56" s="11">
        <v>73</v>
      </c>
      <c r="AE56" s="11">
        <v>69</v>
      </c>
      <c r="AF56">
        <f>Tabel2425678910111213[[#This Row],[Stand Kamertemp liter einde maand]]-Tabel2425678910111213[[#This Row],[Stand Kamertemp liter vorige maand]]</f>
        <v>4</v>
      </c>
      <c r="AG56" s="2">
        <f>Tabel2425678910111213[[#This Row],[Verbruik Kamertemp liter deze maand]]/0.15</f>
        <v>26.666666666666668</v>
      </c>
      <c r="AH56" s="11">
        <v>613.20000000000005</v>
      </c>
      <c r="AI56" s="11">
        <v>578.29999999999995</v>
      </c>
      <c r="AJ56">
        <f>Tabel2425678910111213[[#This Row],[Stand Gekoeld liter einde maand]]-Tabel2425678910111213[[#This Row],[Stand Gekoeld liter vorige maand]]</f>
        <v>34.900000000000091</v>
      </c>
      <c r="AK56" s="2">
        <f>Tabel2425678910111213[[#This Row],[Verbruik Gekoeld liter deze maand]]/0.15</f>
        <v>232.66666666666728</v>
      </c>
      <c r="AL56" s="11">
        <v>695.9</v>
      </c>
      <c r="AM56" s="11">
        <v>660.4</v>
      </c>
      <c r="AN56">
        <f>Tabel2425678910111213[[#This Row],[Stand Bruisend liter einde maand]]-Tabel2425678910111213[[#This Row],[Stand Bruisend liter vorige maand]]</f>
        <v>35.5</v>
      </c>
      <c r="AO56" s="2">
        <f>Tabel2425678910111213[[#This Row],[Verbruik Bruisend liter deze maand]]/0.15</f>
        <v>236.66666666666669</v>
      </c>
      <c r="AP56" s="11">
        <v>640.79999999999995</v>
      </c>
      <c r="AQ56" s="11">
        <v>611.4</v>
      </c>
      <c r="AR56">
        <f>Tabel2425678910111213[[#This Row],[Stand licht bruisend liter einde maand]]-Tabel2425678910111213[[#This Row],[Stand licht bruisend liter vorige maand]]</f>
        <v>29.399999999999977</v>
      </c>
      <c r="AS56" s="2">
        <f>Tabel2425678910111213[[#This Row],[Verbruik licht bruisend liter deze maand]]/0.15</f>
        <v>195.99999999999986</v>
      </c>
      <c r="AT56" s="11">
        <v>3510.3</v>
      </c>
      <c r="AU56" s="11">
        <v>3253.1</v>
      </c>
      <c r="AV56">
        <f>Tabel2425678910111213[[#This Row],[Stand heet water liter einde maand]]-Tabel2425678910111213[[#This Row],[Stand heet water liter vorige maand]]</f>
        <v>257.20000000000027</v>
      </c>
      <c r="AW56" s="20">
        <f>Tabel2425678910111213[[#This Row],[Verbruik heet Water liter deze maand ]]/0.15</f>
        <v>1714.6666666666686</v>
      </c>
      <c r="AX56" s="4">
        <f>Tabel2425678910111213[[#This Row],[Aantal consumpties heet water deze maand]]+Tabel2425678910111213[[#This Row],[Aantal consumpties licht bruisend water deze maand]]+Tabel2425678910111213[[#This Row],[aantal consumpties Bruisend water deze maand]]+Tabel2425678910111213[[#This Row],[Aantal consumpties gekoeld water deze maand]]+Tabel2425678910111213[[#This Row],[Aantal consumpties Kamertemp deze maand]]</f>
        <v>2406.6666666666688</v>
      </c>
      <c r="AY56" s="4">
        <f>Tabel2425678910111213[[#This Row],[Subtotaal waterbar in consumpties]]+Tabel2425678910111213[[#This Row],[Subtotaal koffieautomaten]]</f>
        <v>2406.6666666666688</v>
      </c>
    </row>
    <row r="57" spans="1:51" x14ac:dyDescent="0.25">
      <c r="A57" t="s">
        <v>54</v>
      </c>
      <c r="B57" t="s">
        <v>105</v>
      </c>
      <c r="C57" t="s">
        <v>31</v>
      </c>
      <c r="E57" s="11">
        <v>3690</v>
      </c>
      <c r="F57" s="11">
        <v>3395</v>
      </c>
      <c r="G57" s="12">
        <f>Tabel2425678910111213[[#This Row],[Stand Coffee einde maand]]-Tabel2425678910111213[[#This Row],[Coffee vorige maand]]</f>
        <v>295</v>
      </c>
      <c r="H57" s="11">
        <v>1865</v>
      </c>
      <c r="I57" s="11">
        <v>1790</v>
      </c>
      <c r="J57" s="12">
        <f>Tabel2425678910111213[[#This Row],[Stand Espresso Einde maand]]-Tabel2425678910111213[[#This Row],[Espresso vorige maand]]</f>
        <v>75</v>
      </c>
      <c r="K57" s="11">
        <v>1348</v>
      </c>
      <c r="L57" s="11">
        <v>1244</v>
      </c>
      <c r="M57">
        <f>Tabel2425678910111213[[#This Row],[Stand Latte Macchiato einde maand]]-Tabel2425678910111213[[#This Row],[Latte Macchiato vorige maand]]</f>
        <v>104</v>
      </c>
      <c r="N57" s="11">
        <v>171</v>
      </c>
      <c r="O57" s="11">
        <v>120</v>
      </c>
      <c r="P57">
        <f>Tabel2425678910111213[[#This Row],[Stand Coffee Latte einde maand]]-Tabel2425678910111213[[#This Row],[Coffee Latte vorige maand]]</f>
        <v>51</v>
      </c>
      <c r="Q57" s="11">
        <v>13086</v>
      </c>
      <c r="R57" s="11">
        <v>11922</v>
      </c>
      <c r="S57">
        <f>Tabel2425678910111213[[#This Row],[Stand Hot Water einde maand]]-Tabel2425678910111213[[#This Row],[Hot Water vorige maand]]</f>
        <v>1164</v>
      </c>
      <c r="T57" s="11">
        <v>3019</v>
      </c>
      <c r="U57" s="11">
        <v>2821</v>
      </c>
      <c r="V57">
        <f>Tabel2425678910111213[[#This Row],[Stand Cappucino einde maand]]-Tabel2425678910111213[[#This Row],[Stand Cappucino vorige maand]]</f>
        <v>198</v>
      </c>
      <c r="W57" s="11">
        <v>604</v>
      </c>
      <c r="X57" s="11">
        <v>581</v>
      </c>
      <c r="Y57">
        <f>Tabel2425678910111213[[#This Row],[Stand Cappucino Plantaardig einde maand]]-Tabel2425678910111213[[#This Row],[Stand Cappucino Plantaardig vorige maand]]</f>
        <v>23</v>
      </c>
      <c r="Z57" s="11">
        <v>69</v>
      </c>
      <c r="AA57" s="11">
        <v>9</v>
      </c>
      <c r="AB57" s="12">
        <f>Tabel2425678910111213[[#This Row],[Stand Latte Macchiato Plantaardig einde maand]]-Tabel2425678910111213[[#This Row],[Stand Latte Macchiato Plantaardig vorige maand]]</f>
        <v>60</v>
      </c>
      <c r="AC57" s="3">
        <f>Tabel2425678910111213[[#This Row],[Verbruik Stand Latte Macchiato Plantaardig deze maand]]+Tabel2425678910111213[[#This Row],[Verbruik  Cappucino Plantaardig deze maand]]+Tabel2425678910111213[[#This Row],[Verbruik Cappucino deze maand]]+Tabel2425678910111213[[#This Row],[Verbruik Hot Water deze maand]]+Tabel2425678910111213[[#This Row],[Verbruik Coffee Latte deze maand]]+Tabel2425678910111213[[#This Row],[Verbruik Latte Macchiato deze maand]]+Tabel2425678910111213[[#This Row],[Verbruik Espresso deze maand]]+Tabel2425678910111213[[#This Row],[Verbruik Coffee deze maand]]</f>
        <v>1970</v>
      </c>
      <c r="AD57" s="26"/>
      <c r="AE57" s="26"/>
      <c r="AF57" s="5"/>
      <c r="AG57" s="7"/>
      <c r="AH57" s="26"/>
      <c r="AI57" s="26"/>
      <c r="AJ57" s="5"/>
      <c r="AK57" s="7"/>
      <c r="AL57" s="26"/>
      <c r="AM57" s="26"/>
      <c r="AN57" s="5"/>
      <c r="AO57" s="7"/>
      <c r="AP57" s="26"/>
      <c r="AQ57" s="26"/>
      <c r="AR57" s="5"/>
      <c r="AS57" s="7"/>
      <c r="AT57" s="26"/>
      <c r="AU57" s="26"/>
      <c r="AV57" s="5"/>
      <c r="AW57" s="21"/>
      <c r="AX57" s="8"/>
      <c r="AY57" s="4">
        <f>Tabel2425678910111213[[#This Row],[Subtotaal waterbar in consumpties]]+Tabel2425678910111213[[#This Row],[Subtotaal koffieautomaten]]</f>
        <v>1970</v>
      </c>
    </row>
    <row r="58" spans="1:51" x14ac:dyDescent="0.25">
      <c r="A58" t="s">
        <v>56</v>
      </c>
      <c r="B58" t="s">
        <v>106</v>
      </c>
      <c r="C58" t="s">
        <v>47</v>
      </c>
      <c r="E58" s="11">
        <v>5079</v>
      </c>
      <c r="F58" s="11">
        <v>4757</v>
      </c>
      <c r="G58" s="12">
        <f>Tabel2425678910111213[[#This Row],[Stand Coffee einde maand]]-Tabel2425678910111213[[#This Row],[Coffee vorige maand]]</f>
        <v>322</v>
      </c>
      <c r="H58" s="11">
        <v>1410</v>
      </c>
      <c r="I58" s="11">
        <v>1340</v>
      </c>
      <c r="J58" s="12">
        <f>Tabel2425678910111213[[#This Row],[Stand Espresso Einde maand]]-Tabel2425678910111213[[#This Row],[Espresso vorige maand]]</f>
        <v>70</v>
      </c>
      <c r="K58" s="11">
        <v>1617</v>
      </c>
      <c r="L58" s="11">
        <v>1531</v>
      </c>
      <c r="M58">
        <f>Tabel2425678910111213[[#This Row],[Stand Latte Macchiato einde maand]]-Tabel2425678910111213[[#This Row],[Latte Macchiato vorige maand]]</f>
        <v>86</v>
      </c>
      <c r="N58" s="11">
        <v>120</v>
      </c>
      <c r="O58" s="11">
        <v>117</v>
      </c>
      <c r="P58">
        <f>Tabel2425678910111213[[#This Row],[Stand Coffee Latte einde maand]]-Tabel2425678910111213[[#This Row],[Coffee Latte vorige maand]]</f>
        <v>3</v>
      </c>
      <c r="Q58" s="11">
        <v>1</v>
      </c>
      <c r="R58" s="11">
        <v>1</v>
      </c>
      <c r="S58">
        <f>Tabel2425678910111213[[#This Row],[Stand Hot Water einde maand]]-Tabel2425678910111213[[#This Row],[Hot Water vorige maand]]</f>
        <v>0</v>
      </c>
      <c r="T58" s="11">
        <v>2818</v>
      </c>
      <c r="U58" s="11">
        <v>2643</v>
      </c>
      <c r="V58">
        <f>Tabel2425678910111213[[#This Row],[Stand Cappucino einde maand]]-Tabel2425678910111213[[#This Row],[Stand Cappucino vorige maand]]</f>
        <v>175</v>
      </c>
      <c r="W58" s="11">
        <v>722</v>
      </c>
      <c r="X58" s="11">
        <v>691</v>
      </c>
      <c r="Y58">
        <f>Tabel2425678910111213[[#This Row],[Stand Cappucino Plantaardig einde maand]]-Tabel2425678910111213[[#This Row],[Stand Cappucino Plantaardig vorige maand]]</f>
        <v>31</v>
      </c>
      <c r="Z58" s="11">
        <v>97</v>
      </c>
      <c r="AA58" s="11">
        <v>93</v>
      </c>
      <c r="AB58" s="12">
        <f>Tabel2425678910111213[[#This Row],[Stand Latte Macchiato Plantaardig einde maand]]-Tabel2425678910111213[[#This Row],[Stand Latte Macchiato Plantaardig vorige maand]]</f>
        <v>4</v>
      </c>
      <c r="AC58" s="3">
        <f>Tabel2425678910111213[[#This Row],[Verbruik Stand Latte Macchiato Plantaardig deze maand]]+Tabel2425678910111213[[#This Row],[Verbruik  Cappucino Plantaardig deze maand]]+Tabel2425678910111213[[#This Row],[Verbruik Cappucino deze maand]]+Tabel2425678910111213[[#This Row],[Verbruik Hot Water deze maand]]+Tabel2425678910111213[[#This Row],[Verbruik Coffee Latte deze maand]]+Tabel2425678910111213[[#This Row],[Verbruik Latte Macchiato deze maand]]+Tabel2425678910111213[[#This Row],[Verbruik Espresso deze maand]]+Tabel2425678910111213[[#This Row],[Verbruik Coffee deze maand]]</f>
        <v>691</v>
      </c>
      <c r="AD58" s="11">
        <v>132.69999999999999</v>
      </c>
      <c r="AE58" s="11">
        <v>117</v>
      </c>
      <c r="AF58">
        <f>Tabel2425678910111213[[#This Row],[Stand Kamertemp liter einde maand]]-Tabel2425678910111213[[#This Row],[Stand Kamertemp liter vorige maand]]</f>
        <v>15.699999999999989</v>
      </c>
      <c r="AG58" s="2">
        <f>Tabel2425678910111213[[#This Row],[Verbruik Kamertemp liter deze maand]]/0.15</f>
        <v>104.6666666666666</v>
      </c>
      <c r="AH58" s="11">
        <v>1031.0999999999999</v>
      </c>
      <c r="AI58" s="11">
        <v>965.7</v>
      </c>
      <c r="AJ58">
        <f>Tabel2425678910111213[[#This Row],[Stand Gekoeld liter einde maand]]-Tabel2425678910111213[[#This Row],[Stand Gekoeld liter vorige maand]]</f>
        <v>65.399999999999864</v>
      </c>
      <c r="AK58" s="2">
        <f>Tabel2425678910111213[[#This Row],[Verbruik Gekoeld liter deze maand]]/0.15</f>
        <v>435.99999999999909</v>
      </c>
      <c r="AL58" s="11">
        <v>883.9</v>
      </c>
      <c r="AM58" s="11">
        <v>845.1</v>
      </c>
      <c r="AN58">
        <f>Tabel2425678910111213[[#This Row],[Stand Bruisend liter einde maand]]-Tabel2425678910111213[[#This Row],[Stand Bruisend liter vorige maand]]</f>
        <v>38.799999999999955</v>
      </c>
      <c r="AO58" s="2">
        <f>Tabel2425678910111213[[#This Row],[Verbruik Bruisend liter deze maand]]/0.15</f>
        <v>258.6666666666664</v>
      </c>
      <c r="AP58" s="11">
        <v>512</v>
      </c>
      <c r="AQ58" s="11">
        <v>481.6</v>
      </c>
      <c r="AR58">
        <f>Tabel2425678910111213[[#This Row],[Stand licht bruisend liter einde maand]]-Tabel2425678910111213[[#This Row],[Stand licht bruisend liter vorige maand]]</f>
        <v>30.399999999999977</v>
      </c>
      <c r="AS58" s="2">
        <f>Tabel2425678910111213[[#This Row],[Verbruik licht bruisend liter deze maand]]/0.15</f>
        <v>202.66666666666652</v>
      </c>
      <c r="AT58" s="11">
        <v>3733.7</v>
      </c>
      <c r="AU58" s="11">
        <v>3433.8</v>
      </c>
      <c r="AV58">
        <f>Tabel2425678910111213[[#This Row],[Stand heet water liter einde maand]]-Tabel2425678910111213[[#This Row],[Stand heet water liter vorige maand]]</f>
        <v>299.89999999999964</v>
      </c>
      <c r="AW58" s="20">
        <f>Tabel2425678910111213[[#This Row],[Verbruik heet Water liter deze maand ]]/0.15</f>
        <v>1999.333333333331</v>
      </c>
      <c r="AX58" s="4">
        <f>Tabel2425678910111213[[#This Row],[Aantal consumpties heet water deze maand]]+Tabel2425678910111213[[#This Row],[Aantal consumpties licht bruisend water deze maand]]+Tabel2425678910111213[[#This Row],[aantal consumpties Bruisend water deze maand]]+Tabel2425678910111213[[#This Row],[Aantal consumpties gekoeld water deze maand]]+Tabel2425678910111213[[#This Row],[Aantal consumpties Kamertemp deze maand]]</f>
        <v>3001.3333333333294</v>
      </c>
      <c r="AY58" s="4">
        <f>Tabel2425678910111213[[#This Row],[Subtotaal waterbar in consumpties]]+Tabel2425678910111213[[#This Row],[Subtotaal koffieautomaten]]</f>
        <v>3692.3333333333294</v>
      </c>
    </row>
    <row r="59" spans="1:51" x14ac:dyDescent="0.25">
      <c r="A59" t="s">
        <v>58</v>
      </c>
      <c r="B59" t="s">
        <v>107</v>
      </c>
      <c r="C59" t="s">
        <v>31</v>
      </c>
      <c r="E59" s="11">
        <v>3999</v>
      </c>
      <c r="F59" s="11">
        <v>3592</v>
      </c>
      <c r="G59" s="12">
        <f>Tabel2425678910111213[[#This Row],[Stand Coffee einde maand]]-Tabel2425678910111213[[#This Row],[Coffee vorige maand]]</f>
        <v>407</v>
      </c>
      <c r="H59" s="11">
        <v>929</v>
      </c>
      <c r="I59" s="11">
        <v>836</v>
      </c>
      <c r="J59" s="12">
        <f>Tabel2425678910111213[[#This Row],[Stand Espresso Einde maand]]-Tabel2425678910111213[[#This Row],[Espresso vorige maand]]</f>
        <v>93</v>
      </c>
      <c r="K59" s="11">
        <v>544</v>
      </c>
      <c r="L59" s="11">
        <v>450</v>
      </c>
      <c r="M59">
        <f>Tabel2425678910111213[[#This Row],[Stand Latte Macchiato einde maand]]-Tabel2425678910111213[[#This Row],[Latte Macchiato vorige maand]]</f>
        <v>94</v>
      </c>
      <c r="N59" s="11">
        <v>142</v>
      </c>
      <c r="O59" s="11">
        <v>130</v>
      </c>
      <c r="P59">
        <f>Tabel2425678910111213[[#This Row],[Stand Coffee Latte einde maand]]-Tabel2425678910111213[[#This Row],[Coffee Latte vorige maand]]</f>
        <v>12</v>
      </c>
      <c r="Q59" s="11">
        <v>8811</v>
      </c>
      <c r="R59" s="11">
        <v>7991</v>
      </c>
      <c r="S59">
        <f>Tabel2425678910111213[[#This Row],[Stand Hot Water einde maand]]-Tabel2425678910111213[[#This Row],[Hot Water vorige maand]]</f>
        <v>820</v>
      </c>
      <c r="T59" s="11">
        <v>1298</v>
      </c>
      <c r="U59" s="11">
        <v>1190</v>
      </c>
      <c r="V59">
        <f>Tabel2425678910111213[[#This Row],[Stand Cappucino einde maand]]-Tabel2425678910111213[[#This Row],[Stand Cappucino vorige maand]]</f>
        <v>108</v>
      </c>
      <c r="W59" s="11">
        <v>890</v>
      </c>
      <c r="X59" s="11">
        <v>804</v>
      </c>
      <c r="Y59">
        <f>Tabel2425678910111213[[#This Row],[Stand Cappucino Plantaardig einde maand]]-Tabel2425678910111213[[#This Row],[Stand Cappucino Plantaardig vorige maand]]</f>
        <v>86</v>
      </c>
      <c r="Z59" s="11">
        <v>346</v>
      </c>
      <c r="AA59" s="11">
        <v>331</v>
      </c>
      <c r="AB59" s="12">
        <f>Tabel2425678910111213[[#This Row],[Stand Latte Macchiato Plantaardig einde maand]]-Tabel2425678910111213[[#This Row],[Stand Latte Macchiato Plantaardig vorige maand]]</f>
        <v>15</v>
      </c>
      <c r="AC59" s="3">
        <f>Tabel2425678910111213[[#This Row],[Verbruik Stand Latte Macchiato Plantaardig deze maand]]+Tabel2425678910111213[[#This Row],[Verbruik  Cappucino Plantaardig deze maand]]+Tabel2425678910111213[[#This Row],[Verbruik Cappucino deze maand]]+Tabel2425678910111213[[#This Row],[Verbruik Hot Water deze maand]]+Tabel2425678910111213[[#This Row],[Verbruik Coffee Latte deze maand]]+Tabel2425678910111213[[#This Row],[Verbruik Latte Macchiato deze maand]]+Tabel2425678910111213[[#This Row],[Verbruik Espresso deze maand]]+Tabel2425678910111213[[#This Row],[Verbruik Coffee deze maand]]</f>
        <v>1635</v>
      </c>
      <c r="AD59" s="26"/>
      <c r="AE59" s="26"/>
      <c r="AF59" s="5"/>
      <c r="AG59" s="7"/>
      <c r="AH59" s="26"/>
      <c r="AI59" s="26"/>
      <c r="AJ59" s="5"/>
      <c r="AK59" s="7"/>
      <c r="AL59" s="26"/>
      <c r="AM59" s="26"/>
      <c r="AN59" s="5"/>
      <c r="AO59" s="7"/>
      <c r="AP59" s="26"/>
      <c r="AQ59" s="26"/>
      <c r="AR59" s="5"/>
      <c r="AS59" s="7"/>
      <c r="AT59" s="26"/>
      <c r="AU59" s="26"/>
      <c r="AV59" s="5"/>
      <c r="AW59" s="21"/>
      <c r="AX59" s="8"/>
      <c r="AY59" s="4">
        <f>Tabel2425678910111213[[#This Row],[Subtotaal waterbar in consumpties]]+Tabel2425678910111213[[#This Row],[Subtotaal koffieautomaten]]</f>
        <v>1635</v>
      </c>
    </row>
    <row r="60" spans="1:51" x14ac:dyDescent="0.25">
      <c r="A60" t="s">
        <v>60</v>
      </c>
      <c r="B60" t="s">
        <v>108</v>
      </c>
      <c r="C60" t="s">
        <v>36</v>
      </c>
      <c r="E60" s="42"/>
      <c r="F60" s="42"/>
      <c r="G60" s="43"/>
      <c r="H60" s="42"/>
      <c r="I60" s="42"/>
      <c r="J60" s="43"/>
      <c r="K60" s="42"/>
      <c r="L60" s="42"/>
      <c r="M60" s="43"/>
      <c r="N60" s="42"/>
      <c r="O60" s="42"/>
      <c r="P60" s="43"/>
      <c r="Q60" s="42"/>
      <c r="R60" s="42"/>
      <c r="S60" s="43"/>
      <c r="T60" s="42"/>
      <c r="U60" s="42"/>
      <c r="V60" s="43"/>
      <c r="W60" s="42"/>
      <c r="X60" s="42"/>
      <c r="Y60" s="43"/>
      <c r="Z60" s="42"/>
      <c r="AA60" s="42"/>
      <c r="AB60" s="43"/>
      <c r="AC60" s="43"/>
      <c r="AD60" s="11">
        <v>131.4</v>
      </c>
      <c r="AE60" s="11">
        <v>129</v>
      </c>
      <c r="AF60">
        <f>Tabel2425678910111213[[#This Row],[Stand Kamertemp liter einde maand]]-Tabel2425678910111213[[#This Row],[Stand Kamertemp liter vorige maand]]</f>
        <v>2.4000000000000057</v>
      </c>
      <c r="AG60" s="2">
        <f>Tabel2425678910111213[[#This Row],[Verbruik Kamertemp liter deze maand]]/0.15</f>
        <v>16.000000000000039</v>
      </c>
      <c r="AH60" s="11">
        <v>560.29999999999995</v>
      </c>
      <c r="AI60" s="11">
        <v>550.29999999999995</v>
      </c>
      <c r="AJ60">
        <f>Tabel2425678910111213[[#This Row],[Stand Gekoeld liter einde maand]]-Tabel2425678910111213[[#This Row],[Stand Gekoeld liter vorige maand]]</f>
        <v>10</v>
      </c>
      <c r="AK60" s="2">
        <f>Tabel2425678910111213[[#This Row],[Verbruik Gekoeld liter deze maand]]/0.15</f>
        <v>66.666666666666671</v>
      </c>
      <c r="AL60" s="11">
        <v>407.5</v>
      </c>
      <c r="AM60" s="11">
        <v>397</v>
      </c>
      <c r="AN60">
        <f>Tabel2425678910111213[[#This Row],[Stand Bruisend liter einde maand]]-Tabel2425678910111213[[#This Row],[Stand Bruisend liter vorige maand]]</f>
        <v>10.5</v>
      </c>
      <c r="AO60" s="2">
        <f>Tabel2425678910111213[[#This Row],[Verbruik Bruisend liter deze maand]]/0.15</f>
        <v>70</v>
      </c>
      <c r="AP60" s="11">
        <v>492.2</v>
      </c>
      <c r="AQ60" s="11">
        <v>460.4</v>
      </c>
      <c r="AR60">
        <f>Tabel2425678910111213[[#This Row],[Stand licht bruisend liter einde maand]]-Tabel2425678910111213[[#This Row],[Stand licht bruisend liter vorige maand]]</f>
        <v>31.800000000000011</v>
      </c>
      <c r="AS60" s="2">
        <f>Tabel2425678910111213[[#This Row],[Verbruik licht bruisend liter deze maand]]/0.15</f>
        <v>212.00000000000009</v>
      </c>
      <c r="AT60" s="11">
        <v>1604.9</v>
      </c>
      <c r="AU60" s="11">
        <v>1497.1</v>
      </c>
      <c r="AV60">
        <f>Tabel2425678910111213[[#This Row],[Stand heet water liter einde maand]]-Tabel2425678910111213[[#This Row],[Stand heet water liter vorige maand]]</f>
        <v>107.80000000000018</v>
      </c>
      <c r="AW60" s="20">
        <f>Tabel2425678910111213[[#This Row],[Verbruik heet Water liter deze maand ]]/0.15</f>
        <v>718.66666666666788</v>
      </c>
      <c r="AX60" s="4">
        <f>Tabel2425678910111213[[#This Row],[Aantal consumpties heet water deze maand]]+Tabel2425678910111213[[#This Row],[Aantal consumpties licht bruisend water deze maand]]+Tabel2425678910111213[[#This Row],[aantal consumpties Bruisend water deze maand]]+Tabel2425678910111213[[#This Row],[Aantal consumpties gekoeld water deze maand]]+Tabel2425678910111213[[#This Row],[Aantal consumpties Kamertemp deze maand]]</f>
        <v>1083.3333333333346</v>
      </c>
      <c r="AY60" s="4">
        <f>Tabel2425678910111213[[#This Row],[Subtotaal waterbar in consumpties]]+Tabel2425678910111213[[#This Row],[Subtotaal koffieautomaten]]</f>
        <v>1083.3333333333346</v>
      </c>
    </row>
    <row r="61" spans="1:51" x14ac:dyDescent="0.25">
      <c r="A61" s="3" t="s">
        <v>109</v>
      </c>
      <c r="F61" s="11"/>
      <c r="H61" s="11"/>
      <c r="I61" s="11"/>
      <c r="J61" s="12"/>
      <c r="K61" s="11"/>
      <c r="L61" s="11"/>
      <c r="O61" s="11"/>
      <c r="R61" s="11"/>
      <c r="U61" s="11"/>
      <c r="X61" s="11"/>
      <c r="AA61" s="11"/>
      <c r="AC61" s="3">
        <f>Tabel2425678910111213[[#This Row],[Verbruik Stand Latte Macchiato Plantaardig deze maand]]+Tabel2425678910111213[[#This Row],[Verbruik  Cappucino Plantaardig deze maand]]+Tabel2425678910111213[[#This Row],[Verbruik Cappucino deze maand]]+Tabel2425678910111213[[#This Row],[Verbruik Hot Water deze maand]]+Tabel2425678910111213[[#This Row],[Verbruik Coffee Latte deze maand]]+Tabel2425678910111213[[#This Row],[Verbruik Latte Macchiato deze maand]]+Tabel2425678910111213[[#This Row],[Verbruik Espresso deze maand]]+Tabel2425678910111213[[#This Row],[Verbruik Coffee deze maand]]</f>
        <v>0</v>
      </c>
      <c r="AD61" s="25"/>
      <c r="AE61" s="25"/>
      <c r="AG61" s="2"/>
      <c r="AH61" s="25"/>
      <c r="AI61" s="25"/>
      <c r="AK61" s="2"/>
      <c r="AL61" s="25"/>
      <c r="AM61" s="25"/>
      <c r="AO61" s="2"/>
      <c r="AP61" s="25"/>
      <c r="AQ61" s="25"/>
      <c r="AS61" s="2"/>
      <c r="AT61" s="25"/>
      <c r="AU61" s="25"/>
      <c r="AW61" s="20"/>
      <c r="AX61" s="4"/>
      <c r="AY61" s="4">
        <f>Tabel2425678910111213[[#This Row],[Subtotaal waterbar in consumpties]]+Tabel2425678910111213[[#This Row],[Subtotaal koffieautomaten]]</f>
        <v>0</v>
      </c>
    </row>
    <row r="62" spans="1:51" x14ac:dyDescent="0.25">
      <c r="A62">
        <v>1</v>
      </c>
      <c r="B62" t="s">
        <v>110</v>
      </c>
      <c r="C62" t="s">
        <v>31</v>
      </c>
      <c r="E62" s="11">
        <v>5418</v>
      </c>
      <c r="F62" s="11">
        <v>5096</v>
      </c>
      <c r="G62" s="12">
        <f>Tabel2425678910111213[[#This Row],[Stand Coffee einde maand]]-Tabel2425678910111213[[#This Row],[Coffee vorige maand]]</f>
        <v>322</v>
      </c>
      <c r="H62" s="11">
        <v>528</v>
      </c>
      <c r="I62" s="11">
        <v>245</v>
      </c>
      <c r="J62" s="12">
        <f>Tabel2425678910111213[[#This Row],[Stand Espresso Einde maand]]-Tabel2425678910111213[[#This Row],[Espresso vorige maand]]</f>
        <v>283</v>
      </c>
      <c r="K62" s="11">
        <v>666</v>
      </c>
      <c r="L62" s="11">
        <v>626</v>
      </c>
      <c r="M62">
        <f>Tabel2425678910111213[[#This Row],[Stand Latte Macchiato einde maand]]-Tabel2425678910111213[[#This Row],[Latte Macchiato vorige maand]]</f>
        <v>40</v>
      </c>
      <c r="N62" s="11">
        <v>403</v>
      </c>
      <c r="O62" s="11">
        <v>396</v>
      </c>
      <c r="P62">
        <f>Tabel2425678910111213[[#This Row],[Stand Coffee Latte einde maand]]-Tabel2425678910111213[[#This Row],[Coffee Latte vorige maand]]</f>
        <v>7</v>
      </c>
      <c r="Q62" s="11">
        <v>3014</v>
      </c>
      <c r="R62" s="11">
        <v>2758</v>
      </c>
      <c r="S62">
        <f>Tabel2425678910111213[[#This Row],[Stand Hot Water einde maand]]-Tabel2425678910111213[[#This Row],[Hot Water vorige maand]]</f>
        <v>256</v>
      </c>
      <c r="T62" s="11">
        <v>1527</v>
      </c>
      <c r="U62" s="11">
        <v>1393</v>
      </c>
      <c r="V62">
        <f>Tabel2425678910111213[[#This Row],[Stand Cappucino einde maand]]-Tabel2425678910111213[[#This Row],[Stand Cappucino vorige maand]]</f>
        <v>134</v>
      </c>
      <c r="W62" s="11">
        <v>36</v>
      </c>
      <c r="X62" s="11">
        <v>30</v>
      </c>
      <c r="Y62">
        <f>Tabel2425678910111213[[#This Row],[Stand Cappucino Plantaardig einde maand]]-Tabel2425678910111213[[#This Row],[Stand Cappucino Plantaardig vorige maand]]</f>
        <v>6</v>
      </c>
      <c r="Z62" s="11">
        <v>183</v>
      </c>
      <c r="AA62" s="11">
        <v>165</v>
      </c>
      <c r="AB62" s="12">
        <f>Tabel2425678910111213[[#This Row],[Stand Latte Macchiato Plantaardig einde maand]]-Tabel2425678910111213[[#This Row],[Stand Latte Macchiato Plantaardig vorige maand]]</f>
        <v>18</v>
      </c>
      <c r="AC62" s="3">
        <f>Tabel2425678910111213[[#This Row],[Verbruik Stand Latte Macchiato Plantaardig deze maand]]+Tabel2425678910111213[[#This Row],[Verbruik  Cappucino Plantaardig deze maand]]+Tabel2425678910111213[[#This Row],[Verbruik Cappucino deze maand]]+Tabel2425678910111213[[#This Row],[Verbruik Hot Water deze maand]]+Tabel2425678910111213[[#This Row],[Verbruik Coffee Latte deze maand]]+Tabel2425678910111213[[#This Row],[Verbruik Latte Macchiato deze maand]]+Tabel2425678910111213[[#This Row],[Verbruik Espresso deze maand]]+Tabel2425678910111213[[#This Row],[Verbruik Coffee deze maand]]</f>
        <v>1066</v>
      </c>
      <c r="AD62" s="26"/>
      <c r="AE62" s="26"/>
      <c r="AF62" s="5"/>
      <c r="AG62" s="5"/>
      <c r="AH62" s="26"/>
      <c r="AI62" s="26"/>
      <c r="AJ62" s="5"/>
      <c r="AK62" s="5"/>
      <c r="AL62" s="26"/>
      <c r="AM62" s="26"/>
      <c r="AN62" s="5"/>
      <c r="AO62" s="5"/>
      <c r="AP62" s="26"/>
      <c r="AQ62" s="26"/>
      <c r="AR62" s="5"/>
      <c r="AS62" s="5"/>
      <c r="AT62" s="26"/>
      <c r="AU62" s="26"/>
      <c r="AV62" s="5"/>
      <c r="AW62" s="21"/>
      <c r="AX62" s="8"/>
      <c r="AY62" s="4">
        <f>Tabel2425678910111213[[#This Row],[Subtotaal waterbar in consumpties]]+Tabel2425678910111213[[#This Row],[Subtotaal koffieautomaten]]</f>
        <v>1066</v>
      </c>
    </row>
    <row r="63" spans="1:51" x14ac:dyDescent="0.25">
      <c r="A63">
        <v>1</v>
      </c>
      <c r="B63" t="s">
        <v>111</v>
      </c>
      <c r="C63" t="s">
        <v>31</v>
      </c>
      <c r="E63" s="11">
        <v>5525</v>
      </c>
      <c r="F63" s="11">
        <v>5044</v>
      </c>
      <c r="G63" s="12">
        <f>Tabel2425678910111213[[#This Row],[Stand Coffee einde maand]]-Tabel2425678910111213[[#This Row],[Coffee vorige maand]]</f>
        <v>481</v>
      </c>
      <c r="H63" s="11">
        <v>251</v>
      </c>
      <c r="I63" s="11">
        <v>466</v>
      </c>
      <c r="J63" s="12">
        <f>Tabel2425678910111213[[#This Row],[Stand Espresso Einde maand]]-Tabel2425678910111213[[#This Row],[Espresso vorige maand]]</f>
        <v>-215</v>
      </c>
      <c r="K63" s="11">
        <v>1240</v>
      </c>
      <c r="L63" s="11">
        <v>1164</v>
      </c>
      <c r="M63">
        <f>Tabel2425678910111213[[#This Row],[Stand Latte Macchiato einde maand]]-Tabel2425678910111213[[#This Row],[Latte Macchiato vorige maand]]</f>
        <v>76</v>
      </c>
      <c r="N63" s="11">
        <v>939</v>
      </c>
      <c r="O63" s="11">
        <v>879</v>
      </c>
      <c r="P63">
        <f>Tabel2425678910111213[[#This Row],[Stand Coffee Latte einde maand]]-Tabel2425678910111213[[#This Row],[Coffee Latte vorige maand]]</f>
        <v>60</v>
      </c>
      <c r="Q63" s="11">
        <v>4115</v>
      </c>
      <c r="R63" s="11">
        <v>3758</v>
      </c>
      <c r="S63">
        <f>Tabel2425678910111213[[#This Row],[Stand Hot Water einde maand]]-Tabel2425678910111213[[#This Row],[Hot Water vorige maand]]</f>
        <v>357</v>
      </c>
      <c r="T63" s="11">
        <v>1430</v>
      </c>
      <c r="U63" s="11">
        <v>1326</v>
      </c>
      <c r="V63">
        <f>Tabel2425678910111213[[#This Row],[Stand Cappucino einde maand]]-Tabel2425678910111213[[#This Row],[Stand Cappucino vorige maand]]</f>
        <v>104</v>
      </c>
      <c r="W63" s="11">
        <v>149</v>
      </c>
      <c r="X63" s="11">
        <v>125</v>
      </c>
      <c r="Y63">
        <f>Tabel2425678910111213[[#This Row],[Stand Cappucino Plantaardig einde maand]]-Tabel2425678910111213[[#This Row],[Stand Cappucino Plantaardig vorige maand]]</f>
        <v>24</v>
      </c>
      <c r="Z63" s="11">
        <v>259</v>
      </c>
      <c r="AA63" s="11">
        <v>251</v>
      </c>
      <c r="AB63" s="12">
        <f>Tabel2425678910111213[[#This Row],[Stand Latte Macchiato Plantaardig einde maand]]-Tabel2425678910111213[[#This Row],[Stand Latte Macchiato Plantaardig vorige maand]]</f>
        <v>8</v>
      </c>
      <c r="AC63" s="3">
        <f>Tabel2425678910111213[[#This Row],[Verbruik Stand Latte Macchiato Plantaardig deze maand]]+Tabel2425678910111213[[#This Row],[Verbruik  Cappucino Plantaardig deze maand]]+Tabel2425678910111213[[#This Row],[Verbruik Cappucino deze maand]]+Tabel2425678910111213[[#This Row],[Verbruik Hot Water deze maand]]+Tabel2425678910111213[[#This Row],[Verbruik Coffee Latte deze maand]]+Tabel2425678910111213[[#This Row],[Verbruik Latte Macchiato deze maand]]+Tabel2425678910111213[[#This Row],[Verbruik Espresso deze maand]]+Tabel2425678910111213[[#This Row],[Verbruik Coffee deze maand]]</f>
        <v>895</v>
      </c>
      <c r="AD63" s="26"/>
      <c r="AE63" s="26"/>
      <c r="AF63" s="5"/>
      <c r="AG63" s="5"/>
      <c r="AH63" s="26"/>
      <c r="AI63" s="26"/>
      <c r="AJ63" s="5"/>
      <c r="AK63" s="5"/>
      <c r="AL63" s="26"/>
      <c r="AM63" s="26"/>
      <c r="AN63" s="5"/>
      <c r="AO63" s="5"/>
      <c r="AP63" s="26"/>
      <c r="AQ63" s="26"/>
      <c r="AR63" s="5"/>
      <c r="AS63" s="5"/>
      <c r="AT63" s="26"/>
      <c r="AU63" s="26"/>
      <c r="AV63" s="5"/>
      <c r="AW63" s="21"/>
      <c r="AX63" s="8"/>
      <c r="AY63" s="4">
        <f>Tabel2425678910111213[[#This Row],[Subtotaal waterbar in consumpties]]+Tabel2425678910111213[[#This Row],[Subtotaal koffieautomaten]]</f>
        <v>895</v>
      </c>
    </row>
    <row r="64" spans="1:51" x14ac:dyDescent="0.25">
      <c r="A64" s="3" t="s">
        <v>112</v>
      </c>
      <c r="F64" s="24">
        <f>SUM(E3:E63)</f>
        <v>268741</v>
      </c>
      <c r="G64" s="24">
        <f t="shared" ref="G64" si="0">SUM(G3:G63)</f>
        <v>18347</v>
      </c>
      <c r="H64" s="11"/>
      <c r="I64" s="24">
        <f>SUM(H3:H63)</f>
        <v>66835</v>
      </c>
      <c r="J64" s="24">
        <f t="shared" ref="J64" si="1">SUM(J3:J63)</f>
        <v>3871</v>
      </c>
      <c r="K64" s="11"/>
      <c r="L64" s="24">
        <f>SUM(K3:K63)</f>
        <v>35367</v>
      </c>
      <c r="M64" s="24">
        <f t="shared" ref="M64" si="2">SUM(M3:M63)</f>
        <v>2215</v>
      </c>
      <c r="O64" s="24">
        <f>SUM(N3:N63)</f>
        <v>19643</v>
      </c>
      <c r="P64" s="24">
        <f t="shared" ref="P64" si="3">SUM(P3:P63)</f>
        <v>1058</v>
      </c>
      <c r="R64" s="24">
        <f>SUM(Q3:Q63)</f>
        <v>316269</v>
      </c>
      <c r="S64" s="24">
        <f t="shared" ref="S64" si="4">SUM(S3:S63)</f>
        <v>25952</v>
      </c>
      <c r="U64" s="24">
        <f>SUM(T3:T63)</f>
        <v>156405</v>
      </c>
      <c r="V64" s="24">
        <f t="shared" ref="V64" si="5">SUM(V3:V63)</f>
        <v>11043</v>
      </c>
      <c r="X64" s="24">
        <f>SUM(W3:W63)</f>
        <v>33576</v>
      </c>
      <c r="Y64" s="24">
        <f t="shared" ref="Y64" si="6">SUM(Y3:Y63)</f>
        <v>1871</v>
      </c>
      <c r="AA64" s="24">
        <f>SUM(Z3:Z63)</f>
        <v>11665</v>
      </c>
      <c r="AB64" s="24">
        <f t="shared" ref="AB64" si="7">SUM(AB3:AB63)</f>
        <v>799</v>
      </c>
      <c r="AC64" s="3">
        <f>SUM(AC3:AC63)</f>
        <v>65156</v>
      </c>
      <c r="AD64" s="24">
        <f>SUM(AD3:AD63)</f>
        <v>4085.6</v>
      </c>
      <c r="AE64" s="24">
        <f>SUM(AE3:AE63)</f>
        <v>3798.7</v>
      </c>
      <c r="AF64" s="4">
        <f t="shared" ref="AF64:AW64" si="8">SUM(AF3:AF63)</f>
        <v>286.90000000000009</v>
      </c>
      <c r="AG64" s="4">
        <f>SUM(AG3:AG63)</f>
        <v>1912.6666666666674</v>
      </c>
      <c r="AH64" s="23">
        <f t="shared" si="8"/>
        <v>25823.1</v>
      </c>
      <c r="AI64" s="23">
        <f t="shared" si="8"/>
        <v>24441.900000000005</v>
      </c>
      <c r="AJ64" s="4">
        <f t="shared" si="8"/>
        <v>1381.1999999999996</v>
      </c>
      <c r="AK64" s="4">
        <f t="shared" si="8"/>
        <v>9207.9999999999982</v>
      </c>
      <c r="AL64" s="23">
        <f t="shared" si="8"/>
        <v>22860.000000000004</v>
      </c>
      <c r="AM64" s="23">
        <f t="shared" si="8"/>
        <v>21331.500000000007</v>
      </c>
      <c r="AN64" s="4">
        <f t="shared" si="8"/>
        <v>1528.5000000000005</v>
      </c>
      <c r="AO64" s="4">
        <f t="shared" si="8"/>
        <v>10190.000000000002</v>
      </c>
      <c r="AP64" s="23">
        <f t="shared" si="8"/>
        <v>10850.199999999999</v>
      </c>
      <c r="AQ64" s="23">
        <f t="shared" si="8"/>
        <v>10349.1</v>
      </c>
      <c r="AR64" s="3">
        <f>SUM(AR4:AR63)</f>
        <v>501.10000000000014</v>
      </c>
      <c r="AS64" s="4">
        <f t="shared" si="8"/>
        <v>3340.6666666666674</v>
      </c>
      <c r="AT64" s="23">
        <f t="shared" si="8"/>
        <v>71174.7</v>
      </c>
      <c r="AU64" s="23">
        <f t="shared" si="8"/>
        <v>66005.3</v>
      </c>
      <c r="AV64" s="3">
        <f>SUM(AV4:AV63)</f>
        <v>5169.3999999999987</v>
      </c>
      <c r="AW64" s="22">
        <f t="shared" si="8"/>
        <v>34462.666666666657</v>
      </c>
      <c r="AX64" s="4">
        <f>SUM(AX3:AX63)</f>
        <v>62402.399999999987</v>
      </c>
      <c r="AY64" s="4">
        <f>Tabel2425678910111213[[#This Row],[Subtotaal waterbar in consumpties]]+Tabel2425678910111213[[#This Row],[Subtotaal koffieautomaten]]</f>
        <v>127558.39999999999</v>
      </c>
    </row>
    <row r="65" spans="1:52" x14ac:dyDescent="0.25">
      <c r="H65" s="13"/>
      <c r="I65" s="14"/>
      <c r="J65" s="15"/>
      <c r="K65" s="13"/>
      <c r="L65" s="14"/>
      <c r="M65" s="14"/>
      <c r="AQ65" s="11"/>
      <c r="AU65" s="11"/>
      <c r="AX65" s="3"/>
      <c r="AY65" s="3"/>
    </row>
    <row r="67" spans="1:52" x14ac:dyDescent="0.25">
      <c r="AY67" s="2"/>
      <c r="AZ67" s="2"/>
    </row>
    <row r="68" spans="1:52" x14ac:dyDescent="0.25">
      <c r="A68" s="28" t="s">
        <v>160</v>
      </c>
      <c r="AY68" s="4" t="s">
        <v>161</v>
      </c>
      <c r="AZ68" s="4">
        <f>AY64-AY63-AY62-AG64-AK64</f>
        <v>114476.73333333332</v>
      </c>
    </row>
    <row r="69" spans="1:52" x14ac:dyDescent="0.25">
      <c r="A69" s="28" t="s">
        <v>164</v>
      </c>
      <c r="AY69" s="3" t="s">
        <v>162</v>
      </c>
      <c r="AZ69" s="4">
        <f>AY62+AY63</f>
        <v>1961</v>
      </c>
    </row>
    <row r="70" spans="1:52" x14ac:dyDescent="0.25">
      <c r="A70" s="28" t="s">
        <v>165</v>
      </c>
    </row>
    <row r="71" spans="1:52" x14ac:dyDescent="0.25">
      <c r="AY71" s="2"/>
    </row>
  </sheetData>
  <mergeCells count="3">
    <mergeCell ref="A1:D1"/>
    <mergeCell ref="E1:AC1"/>
    <mergeCell ref="AD1:AY1"/>
  </mergeCells>
  <phoneticPr fontId="3" type="noConversion"/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7AC46-AA55-4453-A24F-88F9EE20CEAA}">
  <dimension ref="A1:EF142"/>
  <sheetViews>
    <sheetView topLeftCell="S1" zoomScale="130" zoomScaleNormal="130" workbookViewId="0">
      <pane ySplit="2" topLeftCell="A54" activePane="bottomLeft" state="frozen"/>
      <selection pane="bottomLeft" activeCell="A3" sqref="A3:XFD3"/>
    </sheetView>
  </sheetViews>
  <sheetFormatPr defaultRowHeight="15" x14ac:dyDescent="0.25"/>
  <cols>
    <col min="1" max="1" width="32.140625" style="53" bestFit="1" customWidth="1"/>
    <col min="2" max="2" width="21.42578125" bestFit="1" customWidth="1"/>
    <col min="3" max="3" width="25.42578125" bestFit="1" customWidth="1"/>
    <col min="4" max="4" width="18.5703125" customWidth="1"/>
    <col min="5" max="5" width="10.140625" style="53" customWidth="1"/>
    <col min="6" max="6" width="10.42578125" customWidth="1"/>
    <col min="7" max="7" width="10.5703125" customWidth="1"/>
    <col min="8" max="8" width="11.85546875" style="53" customWidth="1"/>
    <col min="9" max="9" width="11.7109375" customWidth="1"/>
    <col min="10" max="10" width="12.42578125" customWidth="1"/>
    <col min="11" max="11" width="17.140625" style="53" customWidth="1"/>
    <col min="12" max="12" width="13.5703125" customWidth="1"/>
    <col min="13" max="13" width="13.42578125" bestFit="1" customWidth="1"/>
    <col min="14" max="14" width="14" style="53" customWidth="1"/>
    <col min="15" max="16" width="14" customWidth="1"/>
    <col min="17" max="17" width="14.140625" style="53" customWidth="1"/>
    <col min="18" max="19" width="12.28515625" customWidth="1"/>
    <col min="20" max="20" width="12.42578125" style="53" customWidth="1"/>
    <col min="21" max="22" width="12.42578125" customWidth="1"/>
    <col min="23" max="23" width="17" style="53" customWidth="1"/>
    <col min="24" max="25" width="17" customWidth="1"/>
    <col min="26" max="26" width="20.7109375" style="53" customWidth="1"/>
    <col min="27" max="28" width="20.7109375" customWidth="1"/>
    <col min="29" max="29" width="14.7109375" style="74" customWidth="1"/>
    <col min="30" max="30" width="17.5703125" style="53" customWidth="1"/>
    <col min="31" max="32" width="17.5703125" customWidth="1"/>
    <col min="33" max="33" width="20.28515625" customWidth="1"/>
    <col min="34" max="34" width="14.42578125" style="53" customWidth="1"/>
    <col min="35" max="36" width="14.42578125" customWidth="1"/>
    <col min="37" max="37" width="21.28515625" customWidth="1"/>
    <col min="38" max="38" width="15.140625" style="53" customWidth="1"/>
    <col min="39" max="40" width="15.140625" customWidth="1"/>
    <col min="41" max="41" width="21.28515625" customWidth="1"/>
    <col min="42" max="42" width="19.42578125" style="53" customWidth="1"/>
    <col min="43" max="44" width="19.42578125" customWidth="1"/>
    <col min="45" max="45" width="21.28515625" customWidth="1"/>
    <col min="46" max="46" width="17" style="53" customWidth="1"/>
    <col min="47" max="48" width="17" customWidth="1"/>
    <col min="49" max="49" width="21.28515625" customWidth="1"/>
    <col min="50" max="50" width="20" style="74" customWidth="1"/>
    <col min="51" max="51" width="23.5703125" style="68" bestFit="1" customWidth="1"/>
    <col min="52" max="52" width="10" bestFit="1" customWidth="1"/>
    <col min="53" max="53" width="14.28515625" bestFit="1" customWidth="1"/>
  </cols>
  <sheetData>
    <row r="1" spans="1:136" s="81" customFormat="1" x14ac:dyDescent="0.25">
      <c r="A1" s="173" t="s">
        <v>0</v>
      </c>
      <c r="B1" s="174"/>
      <c r="C1" s="174"/>
      <c r="D1" s="174"/>
      <c r="E1" s="175" t="s">
        <v>1</v>
      </c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7"/>
      <c r="AD1" s="174" t="s">
        <v>2</v>
      </c>
      <c r="AE1" s="174"/>
      <c r="AF1" s="174"/>
      <c r="AG1" s="174"/>
      <c r="AH1" s="174"/>
      <c r="AI1" s="174"/>
      <c r="AJ1" s="174"/>
      <c r="AK1" s="174"/>
      <c r="AL1" s="174"/>
      <c r="AM1" s="174"/>
      <c r="AN1" s="174"/>
      <c r="AO1" s="174"/>
      <c r="AP1" s="174"/>
      <c r="AQ1" s="174"/>
      <c r="AR1" s="174"/>
      <c r="AS1" s="174"/>
      <c r="AT1" s="174"/>
      <c r="AU1" s="174"/>
      <c r="AV1" s="174"/>
      <c r="AW1" s="174"/>
      <c r="AX1" s="174"/>
      <c r="AY1" s="174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</row>
    <row r="2" spans="1:136" ht="120" customHeight="1" x14ac:dyDescent="0.25">
      <c r="A2" s="53" t="s">
        <v>3</v>
      </c>
      <c r="B2" t="s">
        <v>4</v>
      </c>
      <c r="C2" t="s">
        <v>5</v>
      </c>
      <c r="D2" t="s">
        <v>6</v>
      </c>
      <c r="E2" s="106" t="s">
        <v>113</v>
      </c>
      <c r="F2" s="107" t="s">
        <v>114</v>
      </c>
      <c r="G2" s="107" t="s">
        <v>115</v>
      </c>
      <c r="H2" s="106" t="s">
        <v>116</v>
      </c>
      <c r="I2" s="107" t="s">
        <v>117</v>
      </c>
      <c r="J2" s="107" t="s">
        <v>118</v>
      </c>
      <c r="K2" s="106" t="s">
        <v>119</v>
      </c>
      <c r="L2" s="107" t="s">
        <v>120</v>
      </c>
      <c r="M2" s="107" t="s">
        <v>121</v>
      </c>
      <c r="N2" s="106" t="s">
        <v>122</v>
      </c>
      <c r="O2" s="107" t="s">
        <v>123</v>
      </c>
      <c r="P2" s="107" t="s">
        <v>124</v>
      </c>
      <c r="Q2" s="106" t="s">
        <v>125</v>
      </c>
      <c r="R2" s="107" t="s">
        <v>126</v>
      </c>
      <c r="S2" s="107" t="s">
        <v>127</v>
      </c>
      <c r="T2" s="106" t="s">
        <v>128</v>
      </c>
      <c r="U2" s="107" t="s">
        <v>129</v>
      </c>
      <c r="V2" s="107" t="s">
        <v>130</v>
      </c>
      <c r="W2" s="106" t="s">
        <v>131</v>
      </c>
      <c r="X2" s="107" t="s">
        <v>132</v>
      </c>
      <c r="Y2" s="107" t="s">
        <v>133</v>
      </c>
      <c r="Z2" s="106" t="s">
        <v>134</v>
      </c>
      <c r="AA2" s="107" t="s">
        <v>135</v>
      </c>
      <c r="AB2" s="108" t="s">
        <v>136</v>
      </c>
      <c r="AC2" s="1" t="s">
        <v>15</v>
      </c>
      <c r="AD2" s="59" t="s">
        <v>137</v>
      </c>
      <c r="AE2" s="1" t="s">
        <v>138</v>
      </c>
      <c r="AF2" s="1" t="s">
        <v>139</v>
      </c>
      <c r="AG2" s="1" t="s">
        <v>140</v>
      </c>
      <c r="AH2" s="59" t="s">
        <v>141</v>
      </c>
      <c r="AI2" s="1" t="s">
        <v>142</v>
      </c>
      <c r="AJ2" s="1" t="s">
        <v>143</v>
      </c>
      <c r="AK2" s="1" t="s">
        <v>144</v>
      </c>
      <c r="AL2" s="59" t="s">
        <v>145</v>
      </c>
      <c r="AM2" s="1" t="s">
        <v>146</v>
      </c>
      <c r="AN2" s="1" t="s">
        <v>147</v>
      </c>
      <c r="AO2" s="1" t="s">
        <v>148</v>
      </c>
      <c r="AP2" s="59" t="s">
        <v>149</v>
      </c>
      <c r="AQ2" s="1" t="s">
        <v>150</v>
      </c>
      <c r="AR2" s="1" t="s">
        <v>151</v>
      </c>
      <c r="AS2" s="1" t="s">
        <v>152</v>
      </c>
      <c r="AT2" s="59" t="s">
        <v>153</v>
      </c>
      <c r="AU2" s="1" t="s">
        <v>154</v>
      </c>
      <c r="AV2" s="1" t="s">
        <v>155</v>
      </c>
      <c r="AW2" s="1" t="s">
        <v>156</v>
      </c>
      <c r="AX2" s="70" t="s">
        <v>157</v>
      </c>
      <c r="AY2" s="93" t="s">
        <v>27</v>
      </c>
    </row>
    <row r="3" spans="1:136" s="146" customFormat="1" x14ac:dyDescent="0.25">
      <c r="A3" s="158" t="s">
        <v>168</v>
      </c>
      <c r="B3" s="147"/>
      <c r="C3" s="147"/>
      <c r="D3" s="159"/>
      <c r="E3" s="149"/>
      <c r="F3" s="147"/>
      <c r="G3" s="147"/>
      <c r="H3" s="149"/>
      <c r="I3" s="147"/>
      <c r="J3" s="147"/>
      <c r="K3" s="160"/>
      <c r="L3" s="147"/>
      <c r="M3" s="147"/>
      <c r="N3" s="160"/>
      <c r="O3" s="147"/>
      <c r="P3" s="147"/>
      <c r="Q3" s="160"/>
      <c r="R3" s="147"/>
      <c r="S3" s="147"/>
      <c r="T3" s="160"/>
      <c r="U3" s="147"/>
      <c r="V3" s="147"/>
      <c r="W3" s="160"/>
      <c r="X3" s="147"/>
      <c r="Y3" s="147"/>
      <c r="Z3" s="160"/>
      <c r="AA3" s="147"/>
      <c r="AB3" s="147"/>
      <c r="AC3" s="161"/>
      <c r="AD3" s="162"/>
      <c r="AE3" s="147"/>
      <c r="AF3" s="147"/>
      <c r="AG3" s="148"/>
      <c r="AH3" s="160"/>
      <c r="AI3" s="147"/>
      <c r="AJ3" s="147"/>
      <c r="AK3" s="148"/>
      <c r="AL3" s="160"/>
      <c r="AM3" s="147"/>
      <c r="AN3" s="147"/>
      <c r="AO3" s="148"/>
      <c r="AP3" s="160"/>
      <c r="AQ3" s="147"/>
      <c r="AR3" s="147"/>
      <c r="AS3" s="148"/>
      <c r="AT3" s="160"/>
      <c r="AU3" s="147"/>
      <c r="AV3" s="147"/>
      <c r="AW3" s="148"/>
      <c r="AX3" s="163"/>
      <c r="AY3" s="164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</row>
    <row r="4" spans="1:136" s="81" customFormat="1" x14ac:dyDescent="0.25">
      <c r="A4" s="89" t="s">
        <v>28</v>
      </c>
      <c r="E4" s="83"/>
      <c r="H4" s="83"/>
      <c r="K4" s="83"/>
      <c r="N4" s="83"/>
      <c r="Q4" s="83"/>
      <c r="T4" s="83"/>
      <c r="W4" s="83"/>
      <c r="Z4" s="83"/>
      <c r="AC4" s="104"/>
      <c r="AG4" s="87"/>
      <c r="AH4" s="83"/>
      <c r="AK4" s="87"/>
      <c r="AL4" s="83"/>
      <c r="AO4" s="87"/>
      <c r="AP4" s="83"/>
      <c r="AS4" s="87"/>
      <c r="AT4" s="83"/>
      <c r="AW4" s="87"/>
      <c r="AX4" s="105"/>
      <c r="AY4" s="119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</row>
    <row r="5" spans="1:136" x14ac:dyDescent="0.25">
      <c r="A5" s="53" t="s">
        <v>29</v>
      </c>
      <c r="B5" t="s">
        <v>30</v>
      </c>
      <c r="C5" t="s">
        <v>31</v>
      </c>
      <c r="E5" s="53">
        <v>6397</v>
      </c>
      <c r="F5">
        <v>5863</v>
      </c>
      <c r="G5">
        <f>Tabel242567891011121314151716181921202223[[#This Row],[Stand Coffee einde maand]]-Tabel242567891011121314151716181921202223[[#This Row],[Coffee vorige maand]]</f>
        <v>534</v>
      </c>
      <c r="H5" s="53">
        <v>3181</v>
      </c>
      <c r="I5">
        <v>2986</v>
      </c>
      <c r="J5">
        <f>Tabel242567891011121314151716181921202223[[#This Row],[Stand Espresso Einde maand]]-Tabel242567891011121314151716181921202223[[#This Row],[Espresso vorige maand]]</f>
        <v>195</v>
      </c>
      <c r="K5" s="53">
        <v>2089</v>
      </c>
      <c r="L5">
        <v>2032</v>
      </c>
      <c r="M5">
        <f>Tabel242567891011121314151716181921202223[[#This Row],[Stand Latte Macchiato einde maand]]-Tabel242567891011121314151716181921202223[[#This Row],[Latte Macchiato vorige maand]]</f>
        <v>57</v>
      </c>
      <c r="N5" s="53">
        <v>1040</v>
      </c>
      <c r="O5">
        <v>1013</v>
      </c>
      <c r="P5">
        <f>Tabel242567891011121314151716181921202223[[#This Row],[Stand Coffee Latte einde maand]]-Tabel242567891011121314151716181921202223[[#This Row],[Coffee Latte vorige maand]]</f>
        <v>27</v>
      </c>
      <c r="Q5" s="53">
        <v>6568</v>
      </c>
      <c r="R5">
        <v>6205</v>
      </c>
      <c r="S5">
        <f>Tabel242567891011121314151716181921202223[[#This Row],[Stand Hot Water einde maand]]-Tabel242567891011121314151716181921202223[[#This Row],[Hot Water vorige maand]]</f>
        <v>363</v>
      </c>
      <c r="T5" s="53">
        <v>8116</v>
      </c>
      <c r="U5">
        <v>7744</v>
      </c>
      <c r="V5">
        <f>Tabel242567891011121314151716181921202223[[#This Row],[Stand Cappucino einde maand]]-Tabel242567891011121314151716181921202223[[#This Row],[Stand Cappucino vorige maand]]</f>
        <v>372</v>
      </c>
      <c r="W5" s="53">
        <v>174</v>
      </c>
      <c r="X5">
        <v>173</v>
      </c>
      <c r="Y5">
        <f>Tabel242567891011121314151716181921202223[[#This Row],[Stand Cappucino Plantaardig einde maand]]-Tabel242567891011121314151716181921202223[[#This Row],[Stand Cappucino Plantaardig vorige maand]]</f>
        <v>1</v>
      </c>
      <c r="Z5" s="53">
        <v>342</v>
      </c>
      <c r="AA5">
        <v>283</v>
      </c>
      <c r="AB5" s="52">
        <f>Tabel242567891011121314151716181921202223[[#This Row],[Stand Latte Macchiato Plantaardig einde maand]]-Tabel242567891011121314151716181921202223[[#This Row],[Stand Latte Macchiato Plantaardig vorige maand]]</f>
        <v>59</v>
      </c>
      <c r="AC5" s="3">
        <f>Tabel242567891011121314151716181921202223[[#This Row],[Verbruik Stand Latte Macchiato Plantaardig deze maand]]+Tabel242567891011121314151716181921202223[[#This Row],[Verbruik  Cappucino Plantaardig deze maand]]+Tabel242567891011121314151716181921202223[[#This Row],[Verbruik Cappucino deze maand]]+Tabel242567891011121314151716181921202223[[#This Row],[Verbruik Hot Water deze maand]]+Tabel242567891011121314151716181921202223[[#This Row],[Verbruik Coffee Latte deze maand]]+Tabel242567891011121314151716181921202223[[#This Row],[Verbruik Latte Macchiato deze maand]]+Tabel242567891011121314151716181921202223[[#This Row],[Verbruik Espresso deze maand]]+Tabel242567891011121314151716181921202223[[#This Row],[Verbruik Coffee deze maand]]</f>
        <v>1608</v>
      </c>
      <c r="AD5" s="69"/>
      <c r="AE5" s="41"/>
      <c r="AF5" s="41"/>
      <c r="AG5" s="98"/>
      <c r="AH5" s="41"/>
      <c r="AI5" s="41"/>
      <c r="AJ5" s="5"/>
      <c r="AK5" s="5"/>
      <c r="AL5" s="69"/>
      <c r="AM5" s="41"/>
      <c r="AN5" s="5"/>
      <c r="AO5" s="5"/>
      <c r="AP5" s="69"/>
      <c r="AQ5" s="41"/>
      <c r="AR5" s="5"/>
      <c r="AS5" s="5"/>
      <c r="AT5" s="69"/>
      <c r="AU5" s="41"/>
      <c r="AV5" s="5"/>
      <c r="AW5" s="7"/>
      <c r="AX5" s="78"/>
      <c r="AY5" s="95">
        <f>Tabel242567891011121314151716181921202223[[#This Row],[Subtotaal waterbar in consumpties]]+Tabel242567891011121314151716181921202223[[#This Row],[Subtotaal koffieautomaten]]</f>
        <v>1608</v>
      </c>
    </row>
    <row r="6" spans="1:136" x14ac:dyDescent="0.25">
      <c r="A6" s="53" t="s">
        <v>32</v>
      </c>
      <c r="B6" t="s">
        <v>33</v>
      </c>
      <c r="C6" t="s">
        <v>31</v>
      </c>
      <c r="E6" s="53">
        <v>10568</v>
      </c>
      <c r="F6" s="101">
        <v>10003</v>
      </c>
      <c r="G6">
        <f>Tabel242567891011121314151716181921202223[[#This Row],[Stand Coffee einde maand]]-Tabel242567891011121314151716181921202223[[#This Row],[Coffee vorige maand]]</f>
        <v>565</v>
      </c>
      <c r="H6" s="53">
        <v>3126</v>
      </c>
      <c r="I6" s="101">
        <v>2976</v>
      </c>
      <c r="J6">
        <f>Tabel242567891011121314151716181921202223[[#This Row],[Stand Espresso Einde maand]]-Tabel242567891011121314151716181921202223[[#This Row],[Espresso vorige maand]]</f>
        <v>150</v>
      </c>
      <c r="K6" s="53">
        <v>2031</v>
      </c>
      <c r="L6" s="101">
        <v>1893</v>
      </c>
      <c r="M6">
        <f>Tabel242567891011121314151716181921202223[[#This Row],[Stand Latte Macchiato einde maand]]-Tabel242567891011121314151716181921202223[[#This Row],[Latte Macchiato vorige maand]]</f>
        <v>138</v>
      </c>
      <c r="N6" s="53">
        <v>1900</v>
      </c>
      <c r="O6" s="101">
        <v>1836</v>
      </c>
      <c r="P6">
        <f>Tabel242567891011121314151716181921202223[[#This Row],[Stand Coffee Latte einde maand]]-Tabel242567891011121314151716181921202223[[#This Row],[Coffee Latte vorige maand]]</f>
        <v>64</v>
      </c>
      <c r="Q6" s="53">
        <v>23781</v>
      </c>
      <c r="R6" s="101">
        <v>22487</v>
      </c>
      <c r="S6">
        <f>Tabel242567891011121314151716181921202223[[#This Row],[Stand Hot Water einde maand]]-Tabel242567891011121314151716181921202223[[#This Row],[Hot Water vorige maand]]</f>
        <v>1294</v>
      </c>
      <c r="T6" s="53">
        <v>10682</v>
      </c>
      <c r="U6" s="101">
        <v>10303</v>
      </c>
      <c r="V6">
        <f>Tabel242567891011121314151716181921202223[[#This Row],[Stand Cappucino einde maand]]-Tabel242567891011121314151716181921202223[[#This Row],[Stand Cappucino vorige maand]]</f>
        <v>379</v>
      </c>
      <c r="W6" s="53">
        <v>1394</v>
      </c>
      <c r="X6" s="101">
        <v>1350</v>
      </c>
      <c r="Y6">
        <f>Tabel242567891011121314151716181921202223[[#This Row],[Stand Cappucino Plantaardig einde maand]]-Tabel242567891011121314151716181921202223[[#This Row],[Stand Cappucino Plantaardig vorige maand]]</f>
        <v>44</v>
      </c>
      <c r="Z6" s="53">
        <v>646</v>
      </c>
      <c r="AA6" s="101">
        <v>610</v>
      </c>
      <c r="AB6" s="52">
        <f>Tabel242567891011121314151716181921202223[[#This Row],[Stand Latte Macchiato Plantaardig einde maand]]-Tabel242567891011121314151716181921202223[[#This Row],[Stand Latte Macchiato Plantaardig vorige maand]]</f>
        <v>36</v>
      </c>
      <c r="AC6" s="3">
        <f>Tabel242567891011121314151716181921202223[[#This Row],[Verbruik Stand Latte Macchiato Plantaardig deze maand]]+Tabel242567891011121314151716181921202223[[#This Row],[Verbruik  Cappucino Plantaardig deze maand]]+Tabel242567891011121314151716181921202223[[#This Row],[Verbruik Cappucino deze maand]]+Tabel242567891011121314151716181921202223[[#This Row],[Verbruik Hot Water deze maand]]+Tabel242567891011121314151716181921202223[[#This Row],[Verbruik Coffee Latte deze maand]]+Tabel242567891011121314151716181921202223[[#This Row],[Verbruik Latte Macchiato deze maand]]+Tabel242567891011121314151716181921202223[[#This Row],[Verbruik Espresso deze maand]]+Tabel242567891011121314151716181921202223[[#This Row],[Verbruik Coffee deze maand]]</f>
        <v>2670</v>
      </c>
      <c r="AD6" s="69"/>
      <c r="AE6" s="41"/>
      <c r="AF6" s="41"/>
      <c r="AG6" s="98"/>
      <c r="AH6" s="41"/>
      <c r="AI6" s="41"/>
      <c r="AJ6" s="5"/>
      <c r="AK6" s="5"/>
      <c r="AL6" s="69"/>
      <c r="AM6" s="41"/>
      <c r="AN6" s="5"/>
      <c r="AO6" s="5"/>
      <c r="AP6" s="69"/>
      <c r="AQ6" s="41"/>
      <c r="AR6" s="5"/>
      <c r="AS6" s="5"/>
      <c r="AT6" s="69"/>
      <c r="AU6" s="41"/>
      <c r="AV6" s="5"/>
      <c r="AW6" s="7"/>
      <c r="AX6" s="78"/>
      <c r="AY6" s="95">
        <f>Tabel242567891011121314151716181921202223[[#This Row],[Subtotaal waterbar in consumpties]]+Tabel242567891011121314151716181921202223[[#This Row],[Subtotaal koffieautomaten]]</f>
        <v>2670</v>
      </c>
    </row>
    <row r="7" spans="1:136" x14ac:dyDescent="0.25">
      <c r="A7" s="53" t="s">
        <v>34</v>
      </c>
      <c r="B7" t="s">
        <v>35</v>
      </c>
      <c r="C7" t="s">
        <v>47</v>
      </c>
      <c r="E7" s="53">
        <v>10120</v>
      </c>
      <c r="F7">
        <v>9559</v>
      </c>
      <c r="G7">
        <f>Tabel242567891011121314151716181921202223[[#This Row],[Stand Coffee einde maand]]-Tabel242567891011121314151716181921202223[[#This Row],[Coffee vorige maand]]</f>
        <v>561</v>
      </c>
      <c r="H7" s="53">
        <v>2470</v>
      </c>
      <c r="I7">
        <v>2299</v>
      </c>
      <c r="J7">
        <f>Tabel242567891011121314151716181921202223[[#This Row],[Stand Espresso Einde maand]]-Tabel242567891011121314151716181921202223[[#This Row],[Espresso vorige maand]]</f>
        <v>171</v>
      </c>
      <c r="K7" s="53">
        <v>2701</v>
      </c>
      <c r="L7">
        <v>2605</v>
      </c>
      <c r="M7">
        <f>Tabel242567891011121314151716181921202223[[#This Row],[Stand Latte Macchiato einde maand]]-Tabel242567891011121314151716181921202223[[#This Row],[Latte Macchiato vorige maand]]</f>
        <v>96</v>
      </c>
      <c r="N7" s="53">
        <v>1234</v>
      </c>
      <c r="O7">
        <v>1202</v>
      </c>
      <c r="P7">
        <f>Tabel242567891011121314151716181921202223[[#This Row],[Stand Coffee Latte einde maand]]-Tabel242567891011121314151716181921202223[[#This Row],[Coffee Latte vorige maand]]</f>
        <v>32</v>
      </c>
      <c r="Q7" s="53">
        <v>9821</v>
      </c>
      <c r="R7">
        <v>9280</v>
      </c>
      <c r="S7">
        <f>Tabel242567891011121314151716181921202223[[#This Row],[Stand Hot Water einde maand]]-Tabel242567891011121314151716181921202223[[#This Row],[Hot Water vorige maand]]</f>
        <v>541</v>
      </c>
      <c r="T7" s="53">
        <v>9902</v>
      </c>
      <c r="U7">
        <v>9516</v>
      </c>
      <c r="V7">
        <f>Tabel242567891011121314151716181921202223[[#This Row],[Stand Cappucino einde maand]]-Tabel242567891011121314151716181921202223[[#This Row],[Stand Cappucino vorige maand]]</f>
        <v>386</v>
      </c>
      <c r="W7" s="53">
        <v>892</v>
      </c>
      <c r="X7">
        <v>832</v>
      </c>
      <c r="Y7">
        <f>Tabel242567891011121314151716181921202223[[#This Row],[Stand Cappucino Plantaardig einde maand]]-Tabel242567891011121314151716181921202223[[#This Row],[Stand Cappucino Plantaardig vorige maand]]</f>
        <v>60</v>
      </c>
      <c r="Z7" s="53">
        <v>376</v>
      </c>
      <c r="AA7">
        <v>356</v>
      </c>
      <c r="AB7" s="52">
        <f>Tabel242567891011121314151716181921202223[[#This Row],[Stand Latte Macchiato Plantaardig einde maand]]-Tabel242567891011121314151716181921202223[[#This Row],[Stand Latte Macchiato Plantaardig vorige maand]]</f>
        <v>20</v>
      </c>
      <c r="AC7" s="3">
        <f>Tabel242567891011121314151716181921202223[[#This Row],[Verbruik Stand Latte Macchiato Plantaardig deze maand]]+Tabel242567891011121314151716181921202223[[#This Row],[Verbruik  Cappucino Plantaardig deze maand]]+Tabel242567891011121314151716181921202223[[#This Row],[Verbruik Cappucino deze maand]]+Tabel242567891011121314151716181921202223[[#This Row],[Verbruik Hot Water deze maand]]+Tabel242567891011121314151716181921202223[[#This Row],[Verbruik Coffee Latte deze maand]]+Tabel242567891011121314151716181921202223[[#This Row],[Verbruik Latte Macchiato deze maand]]+Tabel242567891011121314151716181921202223[[#This Row],[Verbruik Espresso deze maand]]+Tabel242567891011121314151716181921202223[[#This Row],[Verbruik Coffee deze maand]]</f>
        <v>1867</v>
      </c>
      <c r="AD7" s="53">
        <v>86.4</v>
      </c>
      <c r="AE7">
        <v>0</v>
      </c>
      <c r="AF7">
        <f>Tabel242567891011121314151716181921202223[[#This Row],[Stand Kamertemp liter einde maand]]-Tabel242567891011121314151716181921202223[[#This Row],[Stand Kamertemp liter vorige maand]]</f>
        <v>86.4</v>
      </c>
      <c r="AG7" s="99">
        <f>Tabel242567891011121314151716181921202223[[#This Row],[Verbruik Kamertemp liter deze maand]]/0.15</f>
        <v>576.00000000000011</v>
      </c>
      <c r="AH7">
        <v>182.1</v>
      </c>
      <c r="AI7">
        <v>70.2</v>
      </c>
      <c r="AJ7">
        <f>Tabel242567891011121314151716181921202223[[#This Row],[Stand Gekoeld liter einde maand]]-Tabel242567891011121314151716181921202223[[#This Row],[Stand Gekoeld liter vorige maand]]</f>
        <v>111.89999999999999</v>
      </c>
      <c r="AK7" s="2">
        <f>Tabel242567891011121314151716181921202223[[#This Row],[Verbruik Gekoeld liter deze maand]]/0.15</f>
        <v>746</v>
      </c>
      <c r="AL7" s="53">
        <v>111.1</v>
      </c>
      <c r="AM7">
        <v>32.799999999999997</v>
      </c>
      <c r="AN7">
        <f>Tabel242567891011121314151716181921202223[[#This Row],[Stand Bruisend liter einde maand]]-Tabel242567891011121314151716181921202223[[#This Row],[Stand Bruisend liter vorige maand]]</f>
        <v>78.3</v>
      </c>
      <c r="AO7" s="2">
        <f>Tabel242567891011121314151716181921202223[[#This Row],[Verbruik Bruisend liter deze maand]]/0.15</f>
        <v>522</v>
      </c>
      <c r="AP7" s="53">
        <v>58.4</v>
      </c>
      <c r="AQ7">
        <v>6.8</v>
      </c>
      <c r="AR7">
        <f>Tabel242567891011121314151716181921202223[[#This Row],[Stand licht bruisend liter einde maand]]-Tabel242567891011121314151716181921202223[[#This Row],[Stand licht bruisend liter vorige maand]]</f>
        <v>51.6</v>
      </c>
      <c r="AS7" s="2">
        <f>Tabel242567891011121314151716181921202223[[#This Row],[Verbruik licht bruisend liter deze maand]]/0.15</f>
        <v>344</v>
      </c>
      <c r="AT7" s="53">
        <v>381.8</v>
      </c>
      <c r="AU7">
        <v>115</v>
      </c>
      <c r="AV7">
        <f>Tabel242567891011121314151716181921202223[[#This Row],[Stand heet water liter einde maand]]-Tabel242567891011121314151716181921202223[[#This Row],[Stand heet water liter vorige maand]]</f>
        <v>266.8</v>
      </c>
      <c r="AW7" s="2">
        <f>Tabel242567891011121314151716181921202223[[#This Row],[Verbruik heet Water liter deze maand ]]/0.15</f>
        <v>1778.6666666666667</v>
      </c>
      <c r="AX7" s="77">
        <f>Tabel242567891011121314151716181921202223[[#This Row],[Aantal consumpties heet water deze maand]]+Tabel242567891011121314151716181921202223[[#This Row],[Aantal consumpties licht bruisend water deze maand]]+Tabel242567891011121314151716181921202223[[#This Row],[aantal consumpties Bruisend water deze maand]]+Tabel242567891011121314151716181921202223[[#This Row],[Aantal consumpties gekoeld water deze maand]]+Tabel242567891011121314151716181921202223[[#This Row],[Aantal consumpties Kamertemp deze maand]]</f>
        <v>3966.666666666667</v>
      </c>
      <c r="AY7" s="95">
        <f>Tabel242567891011121314151716181921202223[[#This Row],[Subtotaal waterbar in consumpties]]+Tabel242567891011121314151716181921202223[[#This Row],[Subtotaal koffieautomaten]]</f>
        <v>5833.666666666667</v>
      </c>
    </row>
    <row r="8" spans="1:136" x14ac:dyDescent="0.25">
      <c r="A8" s="53" t="s">
        <v>37</v>
      </c>
      <c r="B8" t="s">
        <v>38</v>
      </c>
      <c r="C8" t="s">
        <v>31</v>
      </c>
      <c r="E8" s="53">
        <v>17016</v>
      </c>
      <c r="F8" s="101">
        <v>16294</v>
      </c>
      <c r="G8">
        <f>Tabel242567891011121314151716181921202223[[#This Row],[Stand Coffee einde maand]]-Tabel242567891011121314151716181921202223[[#This Row],[Coffee vorige maand]]</f>
        <v>722</v>
      </c>
      <c r="H8" s="53">
        <v>3818</v>
      </c>
      <c r="I8" s="101">
        <v>3660</v>
      </c>
      <c r="J8">
        <f>Tabel242567891011121314151716181921202223[[#This Row],[Stand Espresso Einde maand]]-Tabel242567891011121314151716181921202223[[#This Row],[Espresso vorige maand]]</f>
        <v>158</v>
      </c>
      <c r="K8" s="53">
        <v>2059</v>
      </c>
      <c r="L8" s="101">
        <v>1997</v>
      </c>
      <c r="M8">
        <f>Tabel242567891011121314151716181921202223[[#This Row],[Stand Latte Macchiato einde maand]]-Tabel242567891011121314151716181921202223[[#This Row],[Latte Macchiato vorige maand]]</f>
        <v>62</v>
      </c>
      <c r="N8" s="53">
        <v>2394</v>
      </c>
      <c r="O8" s="101">
        <v>2279</v>
      </c>
      <c r="P8">
        <f>Tabel242567891011121314151716181921202223[[#This Row],[Stand Coffee Latte einde maand]]-Tabel242567891011121314151716181921202223[[#This Row],[Coffee Latte vorige maand]]</f>
        <v>115</v>
      </c>
      <c r="Q8" s="53">
        <v>36288</v>
      </c>
      <c r="R8" s="101">
        <v>34097</v>
      </c>
      <c r="S8">
        <f>Tabel242567891011121314151716181921202223[[#This Row],[Stand Hot Water einde maand]]-Tabel242567891011121314151716181921202223[[#This Row],[Hot Water vorige maand]]</f>
        <v>2191</v>
      </c>
      <c r="T8" s="53">
        <v>9894</v>
      </c>
      <c r="U8" s="101">
        <v>9484</v>
      </c>
      <c r="V8">
        <f>Tabel242567891011121314151716181921202223[[#This Row],[Stand Cappucino einde maand]]-Tabel242567891011121314151716181921202223[[#This Row],[Stand Cappucino vorige maand]]</f>
        <v>410</v>
      </c>
      <c r="W8" s="53">
        <v>720</v>
      </c>
      <c r="X8" s="101">
        <v>656</v>
      </c>
      <c r="Y8">
        <f>Tabel242567891011121314151716181921202223[[#This Row],[Stand Cappucino Plantaardig einde maand]]-Tabel242567891011121314151716181921202223[[#This Row],[Stand Cappucino Plantaardig vorige maand]]</f>
        <v>64</v>
      </c>
      <c r="Z8" s="53">
        <v>482</v>
      </c>
      <c r="AA8" s="101">
        <v>447</v>
      </c>
      <c r="AB8" s="52">
        <f>Tabel242567891011121314151716181921202223[[#This Row],[Stand Latte Macchiato Plantaardig einde maand]]-Tabel242567891011121314151716181921202223[[#This Row],[Stand Latte Macchiato Plantaardig vorige maand]]</f>
        <v>35</v>
      </c>
      <c r="AC8" s="3">
        <f>Tabel242567891011121314151716181921202223[[#This Row],[Verbruik Stand Latte Macchiato Plantaardig deze maand]]+Tabel242567891011121314151716181921202223[[#This Row],[Verbruik  Cappucino Plantaardig deze maand]]+Tabel242567891011121314151716181921202223[[#This Row],[Verbruik Cappucino deze maand]]+Tabel242567891011121314151716181921202223[[#This Row],[Verbruik Hot Water deze maand]]+Tabel242567891011121314151716181921202223[[#This Row],[Verbruik Coffee Latte deze maand]]+Tabel242567891011121314151716181921202223[[#This Row],[Verbruik Latte Macchiato deze maand]]+Tabel242567891011121314151716181921202223[[#This Row],[Verbruik Espresso deze maand]]+Tabel242567891011121314151716181921202223[[#This Row],[Verbruik Coffee deze maand]]</f>
        <v>3757</v>
      </c>
      <c r="AD8" s="69"/>
      <c r="AE8" s="41"/>
      <c r="AF8" s="41"/>
      <c r="AG8" s="98"/>
      <c r="AH8" s="41"/>
      <c r="AI8" s="41"/>
      <c r="AJ8" s="41"/>
      <c r="AK8" s="41"/>
      <c r="AL8" s="75"/>
      <c r="AM8" s="41"/>
      <c r="AN8" s="41"/>
      <c r="AO8" s="5"/>
      <c r="AP8" s="69"/>
      <c r="AQ8" s="41"/>
      <c r="AR8" s="5"/>
      <c r="AS8" s="41"/>
      <c r="AT8" s="69"/>
      <c r="AU8" s="41"/>
      <c r="AV8" s="41"/>
      <c r="AW8" s="41"/>
      <c r="AX8" s="79"/>
      <c r="AY8" s="95">
        <f>Tabel242567891011121314151716181921202223[[#This Row],[Subtotaal waterbar in consumpties]]+Tabel242567891011121314151716181921202223[[#This Row],[Subtotaal koffieautomaten]]</f>
        <v>3757</v>
      </c>
    </row>
    <row r="9" spans="1:136" x14ac:dyDescent="0.25">
      <c r="A9" s="53" t="s">
        <v>39</v>
      </c>
      <c r="B9" t="s">
        <v>40</v>
      </c>
      <c r="C9" t="s">
        <v>31</v>
      </c>
      <c r="E9" s="53">
        <v>21366</v>
      </c>
      <c r="F9">
        <v>20765</v>
      </c>
      <c r="G9">
        <f>Tabel242567891011121314151716181921202223[[#This Row],[Stand Coffee einde maand]]-Tabel242567891011121314151716181921202223[[#This Row],[Coffee vorige maand]]</f>
        <v>601</v>
      </c>
      <c r="H9" s="53">
        <v>3300</v>
      </c>
      <c r="I9">
        <v>3217</v>
      </c>
      <c r="J9">
        <f>Tabel242567891011121314151716181921202223[[#This Row],[Stand Espresso Einde maand]]-Tabel242567891011121314151716181921202223[[#This Row],[Espresso vorige maand]]</f>
        <v>83</v>
      </c>
      <c r="K9" s="53">
        <v>2648</v>
      </c>
      <c r="L9">
        <v>2564</v>
      </c>
      <c r="M9">
        <f>Tabel242567891011121314151716181921202223[[#This Row],[Stand Latte Macchiato einde maand]]-Tabel242567891011121314151716181921202223[[#This Row],[Latte Macchiato vorige maand]]</f>
        <v>84</v>
      </c>
      <c r="N9" s="53">
        <v>1746</v>
      </c>
      <c r="O9">
        <v>1673</v>
      </c>
      <c r="P9">
        <f>Tabel242567891011121314151716181921202223[[#This Row],[Stand Coffee Latte einde maand]]-Tabel242567891011121314151716181921202223[[#This Row],[Coffee Latte vorige maand]]</f>
        <v>73</v>
      </c>
      <c r="Q9" s="53">
        <v>29339</v>
      </c>
      <c r="R9">
        <v>28258</v>
      </c>
      <c r="S9">
        <f>Tabel242567891011121314151716181921202223[[#This Row],[Stand Hot Water einde maand]]-Tabel242567891011121314151716181921202223[[#This Row],[Hot Water vorige maand]]</f>
        <v>1081</v>
      </c>
      <c r="T9" s="53">
        <v>16675</v>
      </c>
      <c r="U9">
        <v>16134</v>
      </c>
      <c r="V9">
        <f>Tabel242567891011121314151716181921202223[[#This Row],[Stand Cappucino einde maand]]-Tabel242567891011121314151716181921202223[[#This Row],[Stand Cappucino vorige maand]]</f>
        <v>541</v>
      </c>
      <c r="W9" s="53">
        <v>764</v>
      </c>
      <c r="X9">
        <v>751</v>
      </c>
      <c r="Y9">
        <f>Tabel242567891011121314151716181921202223[[#This Row],[Stand Cappucino Plantaardig einde maand]]-Tabel242567891011121314151716181921202223[[#This Row],[Stand Cappucino Plantaardig vorige maand]]</f>
        <v>13</v>
      </c>
      <c r="Z9" s="53">
        <v>206</v>
      </c>
      <c r="AA9">
        <v>185</v>
      </c>
      <c r="AB9" s="52">
        <f>Tabel242567891011121314151716181921202223[[#This Row],[Stand Latte Macchiato Plantaardig einde maand]]-Tabel242567891011121314151716181921202223[[#This Row],[Stand Latte Macchiato Plantaardig vorige maand]]</f>
        <v>21</v>
      </c>
      <c r="AC9" s="3">
        <f>Tabel242567891011121314151716181921202223[[#This Row],[Verbruik Stand Latte Macchiato Plantaardig deze maand]]+Tabel242567891011121314151716181921202223[[#This Row],[Verbruik  Cappucino Plantaardig deze maand]]+Tabel242567891011121314151716181921202223[[#This Row],[Verbruik Cappucino deze maand]]+Tabel242567891011121314151716181921202223[[#This Row],[Verbruik Hot Water deze maand]]+Tabel242567891011121314151716181921202223[[#This Row],[Verbruik Coffee Latte deze maand]]+Tabel242567891011121314151716181921202223[[#This Row],[Verbruik Latte Macchiato deze maand]]+Tabel242567891011121314151716181921202223[[#This Row],[Verbruik Espresso deze maand]]+Tabel242567891011121314151716181921202223[[#This Row],[Verbruik Coffee deze maand]]</f>
        <v>2497</v>
      </c>
      <c r="AD9" s="69"/>
      <c r="AE9" s="41"/>
      <c r="AF9" s="41"/>
      <c r="AG9" s="98"/>
      <c r="AH9" s="41"/>
      <c r="AI9" s="41"/>
      <c r="AJ9" s="41"/>
      <c r="AK9" s="41"/>
      <c r="AL9" s="75"/>
      <c r="AM9" s="41"/>
      <c r="AN9" s="41"/>
      <c r="AO9" s="5"/>
      <c r="AP9" s="69"/>
      <c r="AQ9" s="41"/>
      <c r="AR9" s="5"/>
      <c r="AS9" s="41"/>
      <c r="AT9" s="69"/>
      <c r="AU9" s="41"/>
      <c r="AV9" s="41"/>
      <c r="AW9" s="41"/>
      <c r="AX9" s="79"/>
      <c r="AY9" s="95">
        <f>Tabel242567891011121314151716181921202223[[#This Row],[Subtotaal waterbar in consumpties]]+Tabel242567891011121314151716181921202223[[#This Row],[Subtotaal koffieautomaten]]</f>
        <v>2497</v>
      </c>
    </row>
    <row r="10" spans="1:136" x14ac:dyDescent="0.25">
      <c r="A10" s="53" t="s">
        <v>41</v>
      </c>
      <c r="B10" t="s">
        <v>42</v>
      </c>
      <c r="C10" t="s">
        <v>31</v>
      </c>
      <c r="E10" s="53">
        <v>11189</v>
      </c>
      <c r="F10" s="101">
        <v>10547</v>
      </c>
      <c r="G10">
        <f>Tabel242567891011121314151716181921202223[[#This Row],[Stand Coffee einde maand]]-Tabel242567891011121314151716181921202223[[#This Row],[Coffee vorige maand]]</f>
        <v>642</v>
      </c>
      <c r="H10" s="53">
        <v>2853</v>
      </c>
      <c r="I10" s="101">
        <v>2499</v>
      </c>
      <c r="J10">
        <f>Tabel242567891011121314151716181921202223[[#This Row],[Stand Espresso Einde maand]]-Tabel242567891011121314151716181921202223[[#This Row],[Espresso vorige maand]]</f>
        <v>354</v>
      </c>
      <c r="K10" s="53">
        <v>2103</v>
      </c>
      <c r="L10" s="101">
        <v>2039</v>
      </c>
      <c r="M10">
        <f>Tabel242567891011121314151716181921202223[[#This Row],[Stand Latte Macchiato einde maand]]-Tabel242567891011121314151716181921202223[[#This Row],[Latte Macchiato vorige maand]]</f>
        <v>64</v>
      </c>
      <c r="N10" s="53">
        <v>1131</v>
      </c>
      <c r="O10" s="101">
        <v>1088</v>
      </c>
      <c r="P10">
        <f>Tabel242567891011121314151716181921202223[[#This Row],[Stand Coffee Latte einde maand]]-Tabel242567891011121314151716181921202223[[#This Row],[Coffee Latte vorige maand]]</f>
        <v>43</v>
      </c>
      <c r="Q10" s="53">
        <v>32289</v>
      </c>
      <c r="R10" s="101">
        <v>30358</v>
      </c>
      <c r="S10">
        <f>Tabel242567891011121314151716181921202223[[#This Row],[Stand Hot Water einde maand]]-Tabel242567891011121314151716181921202223[[#This Row],[Hot Water vorige maand]]</f>
        <v>1931</v>
      </c>
      <c r="T10" s="53">
        <v>7396</v>
      </c>
      <c r="U10" s="101">
        <v>6996</v>
      </c>
      <c r="V10">
        <f>Tabel242567891011121314151716181921202223[[#This Row],[Stand Cappucino einde maand]]-Tabel242567891011121314151716181921202223[[#This Row],[Stand Cappucino vorige maand]]</f>
        <v>400</v>
      </c>
      <c r="W10" s="53">
        <v>1637</v>
      </c>
      <c r="X10" s="101">
        <v>1594</v>
      </c>
      <c r="Y10">
        <f>Tabel242567891011121314151716181921202223[[#This Row],[Stand Cappucino Plantaardig einde maand]]-Tabel242567891011121314151716181921202223[[#This Row],[Stand Cappucino Plantaardig vorige maand]]</f>
        <v>43</v>
      </c>
      <c r="Z10" s="53">
        <v>664</v>
      </c>
      <c r="AA10" s="101">
        <v>647</v>
      </c>
      <c r="AB10" s="52">
        <f>Tabel242567891011121314151716181921202223[[#This Row],[Stand Latte Macchiato Plantaardig einde maand]]-Tabel242567891011121314151716181921202223[[#This Row],[Stand Latte Macchiato Plantaardig vorige maand]]</f>
        <v>17</v>
      </c>
      <c r="AC10" s="3">
        <f>Tabel242567891011121314151716181921202223[[#This Row],[Verbruik Stand Latte Macchiato Plantaardig deze maand]]+Tabel242567891011121314151716181921202223[[#This Row],[Verbruik  Cappucino Plantaardig deze maand]]+Tabel242567891011121314151716181921202223[[#This Row],[Verbruik Cappucino deze maand]]+Tabel242567891011121314151716181921202223[[#This Row],[Verbruik Hot Water deze maand]]+Tabel242567891011121314151716181921202223[[#This Row],[Verbruik Coffee Latte deze maand]]+Tabel242567891011121314151716181921202223[[#This Row],[Verbruik Latte Macchiato deze maand]]+Tabel242567891011121314151716181921202223[[#This Row],[Verbruik Espresso deze maand]]+Tabel242567891011121314151716181921202223[[#This Row],[Verbruik Coffee deze maand]]</f>
        <v>3494</v>
      </c>
      <c r="AD10" s="69"/>
      <c r="AE10" s="41"/>
      <c r="AF10" s="41"/>
      <c r="AG10" s="98"/>
      <c r="AH10" s="41"/>
      <c r="AI10" s="41"/>
      <c r="AJ10" s="41"/>
      <c r="AK10" s="41"/>
      <c r="AL10" s="75"/>
      <c r="AM10" s="41"/>
      <c r="AN10" s="41"/>
      <c r="AO10" s="5"/>
      <c r="AP10" s="69"/>
      <c r="AQ10" s="41"/>
      <c r="AR10" s="5"/>
      <c r="AS10" s="41"/>
      <c r="AT10" s="69"/>
      <c r="AU10" s="41"/>
      <c r="AV10" s="41"/>
      <c r="AW10" s="41"/>
      <c r="AX10" s="79"/>
      <c r="AY10" s="95">
        <f>Tabel242567891011121314151716181921202223[[#This Row],[Subtotaal waterbar in consumpties]]+Tabel242567891011121314151716181921202223[[#This Row],[Subtotaal koffieautomaten]]</f>
        <v>3494</v>
      </c>
    </row>
    <row r="11" spans="1:136" x14ac:dyDescent="0.25">
      <c r="A11" s="53" t="s">
        <v>43</v>
      </c>
      <c r="B11" t="s">
        <v>44</v>
      </c>
      <c r="C11" t="s">
        <v>31</v>
      </c>
      <c r="E11" s="53">
        <v>13870</v>
      </c>
      <c r="F11">
        <v>13257</v>
      </c>
      <c r="G11">
        <f>Tabel242567891011121314151716181921202223[[#This Row],[Stand Coffee einde maand]]-Tabel242567891011121314151716181921202223[[#This Row],[Coffee vorige maand]]</f>
        <v>613</v>
      </c>
      <c r="H11" s="53">
        <v>2920</v>
      </c>
      <c r="I11">
        <v>2762</v>
      </c>
      <c r="J11">
        <f>Tabel242567891011121314151716181921202223[[#This Row],[Stand Espresso Einde maand]]-Tabel242567891011121314151716181921202223[[#This Row],[Espresso vorige maand]]</f>
        <v>158</v>
      </c>
      <c r="K11" s="53">
        <v>899</v>
      </c>
      <c r="L11">
        <v>872</v>
      </c>
      <c r="M11">
        <f>Tabel242567891011121314151716181921202223[[#This Row],[Stand Latte Macchiato einde maand]]-Tabel242567891011121314151716181921202223[[#This Row],[Latte Macchiato vorige maand]]</f>
        <v>27</v>
      </c>
      <c r="N11" s="53">
        <v>1176</v>
      </c>
      <c r="O11">
        <v>1112</v>
      </c>
      <c r="P11">
        <f>Tabel242567891011121314151716181921202223[[#This Row],[Stand Coffee Latte einde maand]]-Tabel242567891011121314151716181921202223[[#This Row],[Coffee Latte vorige maand]]</f>
        <v>64</v>
      </c>
      <c r="Q11" s="53">
        <v>23719</v>
      </c>
      <c r="R11">
        <v>22576</v>
      </c>
      <c r="S11">
        <f>Tabel242567891011121314151716181921202223[[#This Row],[Stand Hot Water einde maand]]-Tabel242567891011121314151716181921202223[[#This Row],[Hot Water vorige maand]]</f>
        <v>1143</v>
      </c>
      <c r="T11" s="53">
        <v>7830</v>
      </c>
      <c r="U11">
        <v>7442</v>
      </c>
      <c r="V11">
        <f>Tabel242567891011121314151716181921202223[[#This Row],[Stand Cappucino einde maand]]-Tabel242567891011121314151716181921202223[[#This Row],[Stand Cappucino vorige maand]]</f>
        <v>388</v>
      </c>
      <c r="W11" s="53">
        <v>1499</v>
      </c>
      <c r="X11">
        <v>1458</v>
      </c>
      <c r="Y11">
        <f>Tabel242567891011121314151716181921202223[[#This Row],[Stand Cappucino Plantaardig einde maand]]-Tabel242567891011121314151716181921202223[[#This Row],[Stand Cappucino Plantaardig vorige maand]]</f>
        <v>41</v>
      </c>
      <c r="Z11" s="53">
        <v>1299</v>
      </c>
      <c r="AA11">
        <v>1290</v>
      </c>
      <c r="AB11" s="52">
        <f>Tabel242567891011121314151716181921202223[[#This Row],[Stand Latte Macchiato Plantaardig einde maand]]-Tabel242567891011121314151716181921202223[[#This Row],[Stand Latte Macchiato Plantaardig vorige maand]]</f>
        <v>9</v>
      </c>
      <c r="AC11" s="3">
        <f>Tabel242567891011121314151716181921202223[[#This Row],[Verbruik Stand Latte Macchiato Plantaardig deze maand]]+Tabel242567891011121314151716181921202223[[#This Row],[Verbruik  Cappucino Plantaardig deze maand]]+Tabel242567891011121314151716181921202223[[#This Row],[Verbruik Cappucino deze maand]]+Tabel242567891011121314151716181921202223[[#This Row],[Verbruik Hot Water deze maand]]+Tabel242567891011121314151716181921202223[[#This Row],[Verbruik Coffee Latte deze maand]]+Tabel242567891011121314151716181921202223[[#This Row],[Verbruik Latte Macchiato deze maand]]+Tabel242567891011121314151716181921202223[[#This Row],[Verbruik Espresso deze maand]]+Tabel242567891011121314151716181921202223[[#This Row],[Verbruik Coffee deze maand]]</f>
        <v>2443</v>
      </c>
      <c r="AD11" s="69"/>
      <c r="AE11" s="41"/>
      <c r="AF11" s="41"/>
      <c r="AG11" s="98"/>
      <c r="AH11" s="41"/>
      <c r="AI11" s="41"/>
      <c r="AJ11" s="41"/>
      <c r="AK11" s="41"/>
      <c r="AL11" s="75"/>
      <c r="AM11" s="41"/>
      <c r="AN11" s="41"/>
      <c r="AO11" s="5"/>
      <c r="AP11" s="69"/>
      <c r="AQ11" s="41"/>
      <c r="AR11" s="5"/>
      <c r="AS11" s="41"/>
      <c r="AT11" s="69"/>
      <c r="AU11" s="41"/>
      <c r="AV11" s="41"/>
      <c r="AW11" s="41"/>
      <c r="AX11" s="79"/>
      <c r="AY11" s="95">
        <f>Tabel242567891011121314151716181921202223[[#This Row],[Subtotaal waterbar in consumpties]]+Tabel242567891011121314151716181921202223[[#This Row],[Subtotaal koffieautomaten]]</f>
        <v>2443</v>
      </c>
    </row>
    <row r="12" spans="1:136" x14ac:dyDescent="0.25">
      <c r="A12" s="53" t="s">
        <v>45</v>
      </c>
      <c r="B12" t="s">
        <v>46</v>
      </c>
      <c r="C12" t="s">
        <v>47</v>
      </c>
      <c r="E12" s="53">
        <v>22945</v>
      </c>
      <c r="F12" s="101">
        <v>21769</v>
      </c>
      <c r="G12">
        <f>Tabel242567891011121314151716181921202223[[#This Row],[Stand Coffee einde maand]]-Tabel242567891011121314151716181921202223[[#This Row],[Coffee vorige maand]]</f>
        <v>1176</v>
      </c>
      <c r="H12" s="53">
        <v>2266</v>
      </c>
      <c r="I12" s="101">
        <v>2124</v>
      </c>
      <c r="J12">
        <f>Tabel242567891011121314151716181921202223[[#This Row],[Stand Espresso Einde maand]]-Tabel242567891011121314151716181921202223[[#This Row],[Espresso vorige maand]]</f>
        <v>142</v>
      </c>
      <c r="K12" s="53">
        <v>1536</v>
      </c>
      <c r="L12" s="101">
        <v>1434</v>
      </c>
      <c r="M12">
        <f>Tabel242567891011121314151716181921202223[[#This Row],[Stand Latte Macchiato einde maand]]-Tabel242567891011121314151716181921202223[[#This Row],[Latte Macchiato vorige maand]]</f>
        <v>102</v>
      </c>
      <c r="N12" s="53">
        <v>852</v>
      </c>
      <c r="O12" s="101">
        <v>813</v>
      </c>
      <c r="P12">
        <f>Tabel242567891011121314151716181921202223[[#This Row],[Stand Coffee Latte einde maand]]-Tabel242567891011121314151716181921202223[[#This Row],[Coffee Latte vorige maand]]</f>
        <v>39</v>
      </c>
      <c r="Q12" s="53">
        <v>1</v>
      </c>
      <c r="R12" s="101">
        <v>1</v>
      </c>
      <c r="S12">
        <f>Tabel242567891011121314151716181921202223[[#This Row],[Stand Hot Water einde maand]]-Tabel242567891011121314151716181921202223[[#This Row],[Hot Water vorige maand]]</f>
        <v>0</v>
      </c>
      <c r="T12" s="53">
        <v>7365</v>
      </c>
      <c r="U12" s="101">
        <v>7017</v>
      </c>
      <c r="V12">
        <f>Tabel242567891011121314151716181921202223[[#This Row],[Stand Cappucino einde maand]]-Tabel242567891011121314151716181921202223[[#This Row],[Stand Cappucino vorige maand]]</f>
        <v>348</v>
      </c>
      <c r="W12" s="53">
        <v>3084</v>
      </c>
      <c r="X12" s="101">
        <v>2978</v>
      </c>
      <c r="Y12">
        <f>Tabel242567891011121314151716181921202223[[#This Row],[Stand Cappucino Plantaardig einde maand]]-Tabel242567891011121314151716181921202223[[#This Row],[Stand Cappucino Plantaardig vorige maand]]</f>
        <v>106</v>
      </c>
      <c r="Z12" s="53">
        <v>776</v>
      </c>
      <c r="AA12" s="101">
        <v>762</v>
      </c>
      <c r="AB12" s="52">
        <f>Tabel242567891011121314151716181921202223[[#This Row],[Stand Latte Macchiato Plantaardig einde maand]]-Tabel242567891011121314151716181921202223[[#This Row],[Stand Latte Macchiato Plantaardig vorige maand]]</f>
        <v>14</v>
      </c>
      <c r="AC12" s="3">
        <f>Tabel242567891011121314151716181921202223[[#This Row],[Verbruik Stand Latte Macchiato Plantaardig deze maand]]+Tabel242567891011121314151716181921202223[[#This Row],[Verbruik  Cappucino Plantaardig deze maand]]+Tabel242567891011121314151716181921202223[[#This Row],[Verbruik Cappucino deze maand]]+Tabel242567891011121314151716181921202223[[#This Row],[Verbruik Hot Water deze maand]]+Tabel242567891011121314151716181921202223[[#This Row],[Verbruik Coffee Latte deze maand]]+Tabel242567891011121314151716181921202223[[#This Row],[Verbruik Latte Macchiato deze maand]]+Tabel242567891011121314151716181921202223[[#This Row],[Verbruik Espresso deze maand]]+Tabel242567891011121314151716181921202223[[#This Row],[Verbruik Coffee deze maand]]</f>
        <v>1927</v>
      </c>
      <c r="AD12" s="53">
        <v>460.9</v>
      </c>
      <c r="AE12">
        <v>383</v>
      </c>
      <c r="AF12">
        <f>Tabel242567891011121314151716181921202223[[#This Row],[Stand Kamertemp liter einde maand]]-Tabel242567891011121314151716181921202223[[#This Row],[Stand Kamertemp liter vorige maand]]</f>
        <v>77.899999999999977</v>
      </c>
      <c r="AG12" s="99">
        <f>Tabel242567891011121314151716181921202223[[#This Row],[Verbruik Kamertemp liter deze maand]]/0.15</f>
        <v>519.33333333333326</v>
      </c>
      <c r="AH12">
        <v>1630.7</v>
      </c>
      <c r="AI12">
        <v>1448.8</v>
      </c>
      <c r="AJ12">
        <f>Tabel242567891011121314151716181921202223[[#This Row],[Stand Gekoeld liter einde maand]]-Tabel242567891011121314151716181921202223[[#This Row],[Stand Gekoeld liter vorige maand]]</f>
        <v>181.90000000000009</v>
      </c>
      <c r="AK12" s="2">
        <f>Tabel242567891011121314151716181921202223[[#This Row],[Verbruik Gekoeld liter deze maand]]/0.15</f>
        <v>1212.6666666666674</v>
      </c>
      <c r="AL12" s="53">
        <v>1151.3</v>
      </c>
      <c r="AM12">
        <v>998.9</v>
      </c>
      <c r="AN12">
        <f>Tabel242567891011121314151716181921202223[[#This Row],[Stand Bruisend liter einde maand]]-Tabel242567891011121314151716181921202223[[#This Row],[Stand Bruisend liter vorige maand]]</f>
        <v>152.39999999999998</v>
      </c>
      <c r="AO12" s="2">
        <f>Tabel242567891011121314151716181921202223[[#This Row],[Verbruik Bruisend liter deze maand]]/0.15</f>
        <v>1015.9999999999999</v>
      </c>
      <c r="AP12" s="53">
        <v>429.1</v>
      </c>
      <c r="AQ12">
        <v>361.7</v>
      </c>
      <c r="AR12">
        <f>Tabel242567891011121314151716181921202223[[#This Row],[Stand licht bruisend liter einde maand]]-Tabel242567891011121314151716181921202223[[#This Row],[Stand licht bruisend liter vorige maand]]</f>
        <v>67.400000000000034</v>
      </c>
      <c r="AS12" s="2">
        <f>Tabel242567891011121314151716181921202223[[#This Row],[Verbruik licht bruisend liter deze maand]]/0.15</f>
        <v>449.3333333333336</v>
      </c>
      <c r="AT12" s="53">
        <v>3055.6</v>
      </c>
      <c r="AU12">
        <v>2576.3000000000002</v>
      </c>
      <c r="AV12">
        <f>Tabel242567891011121314151716181921202223[[#This Row],[Stand heet water liter einde maand]]-Tabel242567891011121314151716181921202223[[#This Row],[Stand heet water liter vorige maand]]</f>
        <v>479.29999999999973</v>
      </c>
      <c r="AW12" s="2">
        <f>Tabel242567891011121314151716181921202223[[#This Row],[Verbruik heet Water liter deze maand ]]/0.15</f>
        <v>3195.3333333333317</v>
      </c>
      <c r="AX12" s="77">
        <f>Tabel242567891011121314151716181921202223[[#This Row],[Aantal consumpties heet water deze maand]]+Tabel242567891011121314151716181921202223[[#This Row],[Aantal consumpties licht bruisend water deze maand]]+Tabel242567891011121314151716181921202223[[#This Row],[aantal consumpties Bruisend water deze maand]]+Tabel242567891011121314151716181921202223[[#This Row],[Aantal consumpties gekoeld water deze maand]]+Tabel242567891011121314151716181921202223[[#This Row],[Aantal consumpties Kamertemp deze maand]]</f>
        <v>6392.6666666666652</v>
      </c>
      <c r="AY12" s="95">
        <f>Tabel242567891011121314151716181921202223[[#This Row],[Subtotaal waterbar in consumpties]]+Tabel242567891011121314151716181921202223[[#This Row],[Subtotaal koffieautomaten]]</f>
        <v>8319.6666666666642</v>
      </c>
    </row>
    <row r="13" spans="1:136" x14ac:dyDescent="0.25">
      <c r="A13" s="53" t="s">
        <v>48</v>
      </c>
      <c r="B13" t="s">
        <v>49</v>
      </c>
      <c r="C13" t="s">
        <v>31</v>
      </c>
      <c r="E13" s="53">
        <v>23097</v>
      </c>
      <c r="F13">
        <v>22177</v>
      </c>
      <c r="G13">
        <f>Tabel242567891011121314151716181921202223[[#This Row],[Stand Coffee einde maand]]-Tabel242567891011121314151716181921202223[[#This Row],[Coffee vorige maand]]</f>
        <v>920</v>
      </c>
      <c r="H13" s="53">
        <v>6087</v>
      </c>
      <c r="I13">
        <v>5839</v>
      </c>
      <c r="J13">
        <f>Tabel242567891011121314151716181921202223[[#This Row],[Stand Espresso Einde maand]]-Tabel242567891011121314151716181921202223[[#This Row],[Espresso vorige maand]]</f>
        <v>248</v>
      </c>
      <c r="K13" s="53">
        <v>1410</v>
      </c>
      <c r="L13">
        <v>1362</v>
      </c>
      <c r="M13">
        <f>Tabel242567891011121314151716181921202223[[#This Row],[Stand Latte Macchiato einde maand]]-Tabel242567891011121314151716181921202223[[#This Row],[Latte Macchiato vorige maand]]</f>
        <v>48</v>
      </c>
      <c r="N13" s="53">
        <v>530</v>
      </c>
      <c r="O13">
        <v>501</v>
      </c>
      <c r="P13">
        <f>Tabel242567891011121314151716181921202223[[#This Row],[Stand Coffee Latte einde maand]]-Tabel242567891011121314151716181921202223[[#This Row],[Coffee Latte vorige maand]]</f>
        <v>29</v>
      </c>
      <c r="Q13" s="53">
        <v>57439</v>
      </c>
      <c r="R13">
        <v>54436</v>
      </c>
      <c r="S13">
        <f>Tabel242567891011121314151716181921202223[[#This Row],[Stand Hot Water einde maand]]-Tabel242567891011121314151716181921202223[[#This Row],[Hot Water vorige maand]]</f>
        <v>3003</v>
      </c>
      <c r="T13" s="53">
        <v>12149</v>
      </c>
      <c r="U13">
        <v>11497</v>
      </c>
      <c r="V13">
        <f>Tabel242567891011121314151716181921202223[[#This Row],[Stand Cappucino einde maand]]-Tabel242567891011121314151716181921202223[[#This Row],[Stand Cappucino vorige maand]]</f>
        <v>652</v>
      </c>
      <c r="W13" s="53">
        <v>2197</v>
      </c>
      <c r="X13">
        <v>2116</v>
      </c>
      <c r="Y13">
        <f>Tabel242567891011121314151716181921202223[[#This Row],[Stand Cappucino Plantaardig einde maand]]-Tabel242567891011121314151716181921202223[[#This Row],[Stand Cappucino Plantaardig vorige maand]]</f>
        <v>81</v>
      </c>
      <c r="Z13" s="53">
        <v>684</v>
      </c>
      <c r="AA13">
        <v>650</v>
      </c>
      <c r="AB13" s="52">
        <f>Tabel242567891011121314151716181921202223[[#This Row],[Stand Latte Macchiato Plantaardig einde maand]]-Tabel242567891011121314151716181921202223[[#This Row],[Stand Latte Macchiato Plantaardig vorige maand]]</f>
        <v>34</v>
      </c>
      <c r="AC13" s="3">
        <f>Tabel242567891011121314151716181921202223[[#This Row],[Verbruik Stand Latte Macchiato Plantaardig deze maand]]+Tabel242567891011121314151716181921202223[[#This Row],[Verbruik  Cappucino Plantaardig deze maand]]+Tabel242567891011121314151716181921202223[[#This Row],[Verbruik Cappucino deze maand]]+Tabel242567891011121314151716181921202223[[#This Row],[Verbruik Hot Water deze maand]]+Tabel242567891011121314151716181921202223[[#This Row],[Verbruik Coffee Latte deze maand]]+Tabel242567891011121314151716181921202223[[#This Row],[Verbruik Latte Macchiato deze maand]]+Tabel242567891011121314151716181921202223[[#This Row],[Verbruik Espresso deze maand]]+Tabel242567891011121314151716181921202223[[#This Row],[Verbruik Coffee deze maand]]</f>
        <v>5015</v>
      </c>
      <c r="AD13" s="75"/>
      <c r="AE13" s="5"/>
      <c r="AF13" s="5"/>
      <c r="AG13" s="100"/>
      <c r="AH13" s="5"/>
      <c r="AI13" s="41"/>
      <c r="AJ13" s="5"/>
      <c r="AK13" s="5"/>
      <c r="AL13" s="75"/>
      <c r="AM13" s="41"/>
      <c r="AN13" s="5"/>
      <c r="AO13" s="5"/>
      <c r="AP13" s="75"/>
      <c r="AQ13" s="41"/>
      <c r="AR13" s="5"/>
      <c r="AS13" s="5"/>
      <c r="AT13" s="75"/>
      <c r="AU13" s="41"/>
      <c r="AV13" s="5"/>
      <c r="AW13" s="5"/>
      <c r="AX13" s="79"/>
      <c r="AY13" s="95">
        <f>Tabel242567891011121314151716181921202223[[#This Row],[Subtotaal waterbar in consumpties]]+Tabel242567891011121314151716181921202223[[#This Row],[Subtotaal koffieautomaten]]</f>
        <v>5015</v>
      </c>
    </row>
    <row r="14" spans="1:136" x14ac:dyDescent="0.25">
      <c r="A14" s="53" t="s">
        <v>50</v>
      </c>
      <c r="B14" t="s">
        <v>51</v>
      </c>
      <c r="C14" t="s">
        <v>47</v>
      </c>
      <c r="E14" s="53">
        <v>18300</v>
      </c>
      <c r="F14" s="101">
        <v>17377</v>
      </c>
      <c r="G14">
        <f>Tabel242567891011121314151716181921202223[[#This Row],[Stand Coffee einde maand]]-Tabel242567891011121314151716181921202223[[#This Row],[Coffee vorige maand]]</f>
        <v>923</v>
      </c>
      <c r="H14" s="53">
        <v>4568</v>
      </c>
      <c r="I14" s="101">
        <f>4235+29</f>
        <v>4264</v>
      </c>
      <c r="J14">
        <f>Tabel242567891011121314151716181921202223[[#This Row],[Stand Espresso Einde maand]]-Tabel242567891011121314151716181921202223[[#This Row],[Espresso vorige maand]]</f>
        <v>304</v>
      </c>
      <c r="K14" s="53">
        <v>1899</v>
      </c>
      <c r="L14" s="101">
        <v>1846</v>
      </c>
      <c r="M14">
        <f>Tabel242567891011121314151716181921202223[[#This Row],[Stand Latte Macchiato einde maand]]-Tabel242567891011121314151716181921202223[[#This Row],[Latte Macchiato vorige maand]]</f>
        <v>53</v>
      </c>
      <c r="N14" s="53">
        <v>1217</v>
      </c>
      <c r="O14" s="101">
        <v>1216</v>
      </c>
      <c r="P14">
        <f>Tabel242567891011121314151716181921202223[[#This Row],[Stand Coffee Latte einde maand]]-Tabel242567891011121314151716181921202223[[#This Row],[Coffee Latte vorige maand]]</f>
        <v>1</v>
      </c>
      <c r="Q14" s="53">
        <v>1</v>
      </c>
      <c r="R14" s="101">
        <v>1</v>
      </c>
      <c r="S14">
        <f>Tabel242567891011121314151716181921202223[[#This Row],[Stand Hot Water einde maand]]-Tabel242567891011121314151716181921202223[[#This Row],[Hot Water vorige maand]]</f>
        <v>0</v>
      </c>
      <c r="T14" s="53">
        <v>8643</v>
      </c>
      <c r="U14" s="101">
        <v>8271</v>
      </c>
      <c r="V14">
        <f>Tabel242567891011121314151716181921202223[[#This Row],[Stand Cappucino einde maand]]-Tabel242567891011121314151716181921202223[[#This Row],[Stand Cappucino vorige maand]]</f>
        <v>372</v>
      </c>
      <c r="W14" s="53">
        <v>1222</v>
      </c>
      <c r="X14" s="101">
        <v>1207</v>
      </c>
      <c r="Y14">
        <f>Tabel242567891011121314151716181921202223[[#This Row],[Stand Cappucino Plantaardig einde maand]]-Tabel242567891011121314151716181921202223[[#This Row],[Stand Cappucino Plantaardig vorige maand]]</f>
        <v>15</v>
      </c>
      <c r="Z14" s="53">
        <v>687</v>
      </c>
      <c r="AA14" s="101">
        <v>681</v>
      </c>
      <c r="AB14" s="52">
        <f>Tabel242567891011121314151716181921202223[[#This Row],[Stand Latte Macchiato Plantaardig einde maand]]-Tabel242567891011121314151716181921202223[[#This Row],[Stand Latte Macchiato Plantaardig vorige maand]]</f>
        <v>6</v>
      </c>
      <c r="AC14" s="3">
        <f>Tabel242567891011121314151716181921202223[[#This Row],[Verbruik Stand Latte Macchiato Plantaardig deze maand]]+Tabel242567891011121314151716181921202223[[#This Row],[Verbruik  Cappucino Plantaardig deze maand]]+Tabel242567891011121314151716181921202223[[#This Row],[Verbruik Cappucino deze maand]]+Tabel242567891011121314151716181921202223[[#This Row],[Verbruik Hot Water deze maand]]+Tabel242567891011121314151716181921202223[[#This Row],[Verbruik Coffee Latte deze maand]]+Tabel242567891011121314151716181921202223[[#This Row],[Verbruik Latte Macchiato deze maand]]+Tabel242567891011121314151716181921202223[[#This Row],[Verbruik Espresso deze maand]]+Tabel242567891011121314151716181921202223[[#This Row],[Verbruik Coffee deze maand]]</f>
        <v>1674</v>
      </c>
      <c r="AD14" s="53">
        <v>116.3</v>
      </c>
      <c r="AE14">
        <v>73.3</v>
      </c>
      <c r="AF14">
        <f>Tabel242567891011121314151716181921202223[[#This Row],[Stand Kamertemp liter einde maand]]-Tabel242567891011121314151716181921202223[[#This Row],[Stand Kamertemp liter vorige maand]]</f>
        <v>43</v>
      </c>
      <c r="AG14" s="99">
        <f>Tabel242567891011121314151716181921202223[[#This Row],[Verbruik Kamertemp liter deze maand]]/0.15</f>
        <v>286.66666666666669</v>
      </c>
      <c r="AH14">
        <v>1080.4000000000001</v>
      </c>
      <c r="AI14">
        <v>848.7</v>
      </c>
      <c r="AJ14">
        <f>Tabel242567891011121314151716181921202223[[#This Row],[Stand Gekoeld liter einde maand]]-Tabel242567891011121314151716181921202223[[#This Row],[Stand Gekoeld liter vorige maand]]</f>
        <v>231.70000000000005</v>
      </c>
      <c r="AK14" s="2">
        <f>Tabel242567891011121314151716181921202223[[#This Row],[Verbruik Gekoeld liter deze maand]]/0.15</f>
        <v>1544.666666666667</v>
      </c>
      <c r="AL14" s="53">
        <v>478.3</v>
      </c>
      <c r="AM14">
        <v>386.7</v>
      </c>
      <c r="AN14">
        <f>Tabel242567891011121314151716181921202223[[#This Row],[Stand Bruisend liter einde maand]]-Tabel242567891011121314151716181921202223[[#This Row],[Stand Bruisend liter vorige maand]]</f>
        <v>91.600000000000023</v>
      </c>
      <c r="AO14" s="2">
        <f>Tabel242567891011121314151716181921202223[[#This Row],[Verbruik Bruisend liter deze maand]]/0.15</f>
        <v>610.66666666666686</v>
      </c>
      <c r="AP14" s="53">
        <v>540.70000000000005</v>
      </c>
      <c r="AQ14">
        <v>441.3</v>
      </c>
      <c r="AR14">
        <f>Tabel242567891011121314151716181921202223[[#This Row],[Stand licht bruisend liter einde maand]]-Tabel242567891011121314151716181921202223[[#This Row],[Stand licht bruisend liter vorige maand]]</f>
        <v>99.400000000000034</v>
      </c>
      <c r="AS14" s="2">
        <f>Tabel242567891011121314151716181921202223[[#This Row],[Verbruik licht bruisend liter deze maand]]/0.15</f>
        <v>662.66666666666697</v>
      </c>
      <c r="AT14" s="53">
        <v>2241.4</v>
      </c>
      <c r="AU14">
        <v>1690.2</v>
      </c>
      <c r="AV14">
        <f>Tabel242567891011121314151716181921202223[[#This Row],[Stand heet water liter einde maand]]-Tabel242567891011121314151716181921202223[[#This Row],[Stand heet water liter vorige maand]]</f>
        <v>551.20000000000005</v>
      </c>
      <c r="AW14" s="2">
        <f>Tabel242567891011121314151716181921202223[[#This Row],[Verbruik heet Water liter deze maand ]]/0.15</f>
        <v>3674.666666666667</v>
      </c>
      <c r="AX14" s="77">
        <f>Tabel242567891011121314151716181921202223[[#This Row],[Aantal consumpties heet water deze maand]]+Tabel242567891011121314151716181921202223[[#This Row],[Aantal consumpties licht bruisend water deze maand]]+Tabel242567891011121314151716181921202223[[#This Row],[aantal consumpties Bruisend water deze maand]]+Tabel242567891011121314151716181921202223[[#This Row],[Aantal consumpties gekoeld water deze maand]]+Tabel242567891011121314151716181921202223[[#This Row],[Aantal consumpties Kamertemp deze maand]]</f>
        <v>6779.3333333333348</v>
      </c>
      <c r="AY14" s="95">
        <f>Tabel242567891011121314151716181921202223[[#This Row],[Subtotaal waterbar in consumpties]]+Tabel242567891011121314151716181921202223[[#This Row],[Subtotaal koffieautomaten]]</f>
        <v>8453.3333333333358</v>
      </c>
    </row>
    <row r="15" spans="1:136" x14ac:dyDescent="0.25">
      <c r="A15" s="53" t="s">
        <v>52</v>
      </c>
      <c r="B15" t="s">
        <v>53</v>
      </c>
      <c r="C15" t="s">
        <v>31</v>
      </c>
      <c r="E15" s="53">
        <v>17528</v>
      </c>
      <c r="F15">
        <v>16893</v>
      </c>
      <c r="G15">
        <f>Tabel242567891011121314151716181921202223[[#This Row],[Stand Coffee einde maand]]-Tabel242567891011121314151716181921202223[[#This Row],[Coffee vorige maand]]</f>
        <v>635</v>
      </c>
      <c r="H15" s="53">
        <v>4945</v>
      </c>
      <c r="I15">
        <v>4790</v>
      </c>
      <c r="J15">
        <f>Tabel242567891011121314151716181921202223[[#This Row],[Stand Espresso Einde maand]]-Tabel242567891011121314151716181921202223[[#This Row],[Espresso vorige maand]]</f>
        <v>155</v>
      </c>
      <c r="K15" s="53">
        <v>987</v>
      </c>
      <c r="L15">
        <v>919</v>
      </c>
      <c r="M15">
        <f>Tabel242567891011121314151716181921202223[[#This Row],[Stand Latte Macchiato einde maand]]-Tabel242567891011121314151716181921202223[[#This Row],[Latte Macchiato vorige maand]]</f>
        <v>68</v>
      </c>
      <c r="N15" s="53">
        <v>1085</v>
      </c>
      <c r="O15">
        <v>1027</v>
      </c>
      <c r="P15">
        <f>Tabel242567891011121314151716181921202223[[#This Row],[Stand Coffee Latte einde maand]]-Tabel242567891011121314151716181921202223[[#This Row],[Coffee Latte vorige maand]]</f>
        <v>58</v>
      </c>
      <c r="Q15" s="53">
        <v>28670</v>
      </c>
      <c r="R15">
        <v>26837</v>
      </c>
      <c r="S15">
        <f>Tabel242567891011121314151716181921202223[[#This Row],[Stand Hot Water einde maand]]-Tabel242567891011121314151716181921202223[[#This Row],[Hot Water vorige maand]]</f>
        <v>1833</v>
      </c>
      <c r="T15" s="53">
        <v>7576</v>
      </c>
      <c r="U15">
        <v>7242</v>
      </c>
      <c r="V15">
        <f>Tabel242567891011121314151716181921202223[[#This Row],[Stand Cappucino einde maand]]-Tabel242567891011121314151716181921202223[[#This Row],[Stand Cappucino vorige maand]]</f>
        <v>334</v>
      </c>
      <c r="W15" s="53">
        <v>1720</v>
      </c>
      <c r="X15">
        <v>1704</v>
      </c>
      <c r="Y15">
        <f>Tabel242567891011121314151716181921202223[[#This Row],[Stand Cappucino Plantaardig einde maand]]-Tabel242567891011121314151716181921202223[[#This Row],[Stand Cappucino Plantaardig vorige maand]]</f>
        <v>16</v>
      </c>
      <c r="Z15" s="53">
        <v>371</v>
      </c>
      <c r="AA15">
        <v>355</v>
      </c>
      <c r="AB15" s="52">
        <f>Tabel242567891011121314151716181921202223[[#This Row],[Stand Latte Macchiato Plantaardig einde maand]]-Tabel242567891011121314151716181921202223[[#This Row],[Stand Latte Macchiato Plantaardig vorige maand]]</f>
        <v>16</v>
      </c>
      <c r="AC15" s="3">
        <f>Tabel242567891011121314151716181921202223[[#This Row],[Verbruik Stand Latte Macchiato Plantaardig deze maand]]+Tabel242567891011121314151716181921202223[[#This Row],[Verbruik  Cappucino Plantaardig deze maand]]+Tabel242567891011121314151716181921202223[[#This Row],[Verbruik Cappucino deze maand]]+Tabel242567891011121314151716181921202223[[#This Row],[Verbruik Hot Water deze maand]]+Tabel242567891011121314151716181921202223[[#This Row],[Verbruik Coffee Latte deze maand]]+Tabel242567891011121314151716181921202223[[#This Row],[Verbruik Latte Macchiato deze maand]]+Tabel242567891011121314151716181921202223[[#This Row],[Verbruik Espresso deze maand]]+Tabel242567891011121314151716181921202223[[#This Row],[Verbruik Coffee deze maand]]</f>
        <v>3115</v>
      </c>
      <c r="AD15" s="75"/>
      <c r="AE15" s="5"/>
      <c r="AF15" s="5"/>
      <c r="AG15" s="100"/>
      <c r="AH15" s="5"/>
      <c r="AI15" s="41"/>
      <c r="AJ15" s="5"/>
      <c r="AK15" s="5"/>
      <c r="AL15" s="75"/>
      <c r="AM15" s="41"/>
      <c r="AN15" s="5"/>
      <c r="AO15" s="5"/>
      <c r="AP15" s="75"/>
      <c r="AQ15" s="41"/>
      <c r="AR15" s="5"/>
      <c r="AS15" s="5"/>
      <c r="AT15" s="75"/>
      <c r="AU15" s="41"/>
      <c r="AV15" s="5"/>
      <c r="AW15" s="5"/>
      <c r="AX15" s="79"/>
      <c r="AY15" s="95">
        <f>Tabel242567891011121314151716181921202223[[#This Row],[Subtotaal waterbar in consumpties]]+Tabel242567891011121314151716181921202223[[#This Row],[Subtotaal koffieautomaten]]</f>
        <v>3115</v>
      </c>
    </row>
    <row r="16" spans="1:136" x14ac:dyDescent="0.25">
      <c r="A16" s="53" t="s">
        <v>54</v>
      </c>
      <c r="B16" t="s">
        <v>55</v>
      </c>
      <c r="C16" t="s">
        <v>47</v>
      </c>
      <c r="E16" s="53">
        <v>1659</v>
      </c>
      <c r="F16" s="101">
        <v>1380</v>
      </c>
      <c r="G16">
        <f>Tabel242567891011121314151716181921202223[[#This Row],[Stand Coffee einde maand]]-Tabel242567891011121314151716181921202223[[#This Row],[Coffee vorige maand]]</f>
        <v>279</v>
      </c>
      <c r="H16" s="53">
        <v>2010</v>
      </c>
      <c r="I16" s="101">
        <v>1810</v>
      </c>
      <c r="J16">
        <f>Tabel242567891011121314151716181921202223[[#This Row],[Stand Espresso Einde maand]]-Tabel242567891011121314151716181921202223[[#This Row],[Espresso vorige maand]]</f>
        <v>200</v>
      </c>
      <c r="K16" s="53">
        <v>146</v>
      </c>
      <c r="L16" s="101">
        <v>123</v>
      </c>
      <c r="M16">
        <f>Tabel242567891011121314151716181921202223[[#This Row],[Stand Latte Macchiato einde maand]]-Tabel242567891011121314151716181921202223[[#This Row],[Latte Macchiato vorige maand]]</f>
        <v>23</v>
      </c>
      <c r="N16" s="53">
        <v>127</v>
      </c>
      <c r="O16" s="101">
        <v>113</v>
      </c>
      <c r="P16">
        <f>Tabel242567891011121314151716181921202223[[#This Row],[Stand Coffee Latte einde maand]]-Tabel242567891011121314151716181921202223[[#This Row],[Coffee Latte vorige maand]]</f>
        <v>14</v>
      </c>
      <c r="Q16" s="53">
        <v>446</v>
      </c>
      <c r="R16" s="101">
        <v>344</v>
      </c>
      <c r="S16">
        <f>Tabel242567891011121314151716181921202223[[#This Row],[Stand Hot Water einde maand]]-Tabel242567891011121314151716181921202223[[#This Row],[Hot Water vorige maand]]</f>
        <v>102</v>
      </c>
      <c r="T16" s="53">
        <v>2398</v>
      </c>
      <c r="U16" s="101">
        <v>2026</v>
      </c>
      <c r="V16">
        <f>Tabel242567891011121314151716181921202223[[#This Row],[Stand Cappucino einde maand]]-Tabel242567891011121314151716181921202223[[#This Row],[Stand Cappucino vorige maand]]</f>
        <v>372</v>
      </c>
      <c r="W16" s="53">
        <v>193</v>
      </c>
      <c r="X16" s="101">
        <v>159</v>
      </c>
      <c r="Y16">
        <f>Tabel242567891011121314151716181921202223[[#This Row],[Stand Cappucino Plantaardig einde maand]]-Tabel242567891011121314151716181921202223[[#This Row],[Stand Cappucino Plantaardig vorige maand]]</f>
        <v>34</v>
      </c>
      <c r="Z16" s="53">
        <v>36</v>
      </c>
      <c r="AA16" s="101">
        <v>23</v>
      </c>
      <c r="AB16" s="52">
        <f>Tabel242567891011121314151716181921202223[[#This Row],[Stand Latte Macchiato Plantaardig einde maand]]-Tabel242567891011121314151716181921202223[[#This Row],[Stand Latte Macchiato Plantaardig vorige maand]]</f>
        <v>13</v>
      </c>
      <c r="AC16" s="3">
        <f>Tabel242567891011121314151716181921202223[[#This Row],[Verbruik Stand Latte Macchiato Plantaardig deze maand]]+Tabel242567891011121314151716181921202223[[#This Row],[Verbruik  Cappucino Plantaardig deze maand]]+Tabel242567891011121314151716181921202223[[#This Row],[Verbruik Cappucino deze maand]]+Tabel242567891011121314151716181921202223[[#This Row],[Verbruik Hot Water deze maand]]+Tabel242567891011121314151716181921202223[[#This Row],[Verbruik Coffee Latte deze maand]]+Tabel242567891011121314151716181921202223[[#This Row],[Verbruik Latte Macchiato deze maand]]+Tabel242567891011121314151716181921202223[[#This Row],[Verbruik Espresso deze maand]]+Tabel242567891011121314151716181921202223[[#This Row],[Verbruik Coffee deze maand]]</f>
        <v>1037</v>
      </c>
      <c r="AD16" s="53">
        <v>338.8</v>
      </c>
      <c r="AE16">
        <v>325.3</v>
      </c>
      <c r="AF16">
        <f>Tabel242567891011121314151716181921202223[[#This Row],[Stand Kamertemp liter einde maand]]-Tabel242567891011121314151716181921202223[[#This Row],[Stand Kamertemp liter vorige maand]]</f>
        <v>13.5</v>
      </c>
      <c r="AG16" s="99">
        <f>Tabel242567891011121314151716181921202223[[#This Row],[Verbruik Kamertemp liter deze maand]]/0.15</f>
        <v>90</v>
      </c>
      <c r="AH16" s="40">
        <v>2530.4</v>
      </c>
      <c r="AI16">
        <v>2408.1</v>
      </c>
      <c r="AJ16">
        <f>Tabel242567891011121314151716181921202223[[#This Row],[Stand Gekoeld liter einde maand]]-Tabel242567891011121314151716181921202223[[#This Row],[Stand Gekoeld liter vorige maand]]</f>
        <v>122.30000000000018</v>
      </c>
      <c r="AK16" s="2">
        <f>Tabel242567891011121314151716181921202223[[#This Row],[Verbruik Gekoeld liter deze maand]]/0.15</f>
        <v>815.33333333333462</v>
      </c>
      <c r="AL16" s="51">
        <v>2503.6</v>
      </c>
      <c r="AM16">
        <v>2412.6</v>
      </c>
      <c r="AN16">
        <f>Tabel242567891011121314151716181921202223[[#This Row],[Stand Bruisend liter einde maand]]-Tabel242567891011121314151716181921202223[[#This Row],[Stand Bruisend liter vorige maand]]</f>
        <v>91</v>
      </c>
      <c r="AO16" s="2">
        <f>Tabel242567891011121314151716181921202223[[#This Row],[Verbruik Bruisend liter deze maand]]/0.15</f>
        <v>606.66666666666674</v>
      </c>
      <c r="AP16" s="51">
        <v>643.1</v>
      </c>
      <c r="AQ16">
        <v>618.1</v>
      </c>
      <c r="AR16">
        <f>Tabel242567891011121314151716181921202223[[#This Row],[Stand licht bruisend liter einde maand]]-Tabel242567891011121314151716181921202223[[#This Row],[Stand licht bruisend liter vorige maand]]</f>
        <v>25</v>
      </c>
      <c r="AS16" s="2">
        <f>Tabel242567891011121314151716181921202223[[#This Row],[Verbruik licht bruisend liter deze maand]]/0.15</f>
        <v>166.66666666666669</v>
      </c>
      <c r="AT16" s="51">
        <v>6869.4</v>
      </c>
      <c r="AU16">
        <v>6424.5</v>
      </c>
      <c r="AV16">
        <f>Tabel242567891011121314151716181921202223[[#This Row],[Stand heet water liter einde maand]]-Tabel242567891011121314151716181921202223[[#This Row],[Stand heet water liter vorige maand]]</f>
        <v>444.89999999999964</v>
      </c>
      <c r="AW16" s="2">
        <f>Tabel242567891011121314151716181921202223[[#This Row],[Verbruik heet Water liter deze maand ]]/0.15</f>
        <v>2965.9999999999977</v>
      </c>
      <c r="AX16" s="77">
        <f>Tabel242567891011121314151716181921202223[[#This Row],[Aantal consumpties heet water deze maand]]+Tabel242567891011121314151716181921202223[[#This Row],[Aantal consumpties licht bruisend water deze maand]]+Tabel242567891011121314151716181921202223[[#This Row],[aantal consumpties Bruisend water deze maand]]+Tabel242567891011121314151716181921202223[[#This Row],[Aantal consumpties gekoeld water deze maand]]+Tabel242567891011121314151716181921202223[[#This Row],[Aantal consumpties Kamertemp deze maand]]</f>
        <v>4644.6666666666661</v>
      </c>
      <c r="AY16" s="95">
        <f>Tabel242567891011121314151716181921202223[[#This Row],[Subtotaal waterbar in consumpties]]+Tabel242567891011121314151716181921202223[[#This Row],[Subtotaal koffieautomaten]]</f>
        <v>5681.6666666666661</v>
      </c>
    </row>
    <row r="17" spans="1:126" x14ac:dyDescent="0.25">
      <c r="A17" s="53" t="s">
        <v>56</v>
      </c>
      <c r="B17" t="s">
        <v>57</v>
      </c>
      <c r="C17" t="s">
        <v>31</v>
      </c>
      <c r="E17" s="53">
        <v>24996</v>
      </c>
      <c r="F17">
        <v>23839</v>
      </c>
      <c r="G17">
        <f>Tabel242567891011121314151716181921202223[[#This Row],[Stand Coffee einde maand]]-Tabel242567891011121314151716181921202223[[#This Row],[Coffee vorige maand]]</f>
        <v>1157</v>
      </c>
      <c r="H17" s="53">
        <v>5308</v>
      </c>
      <c r="I17">
        <v>5171</v>
      </c>
      <c r="J17">
        <f>Tabel242567891011121314151716181921202223[[#This Row],[Stand Espresso Einde maand]]-Tabel242567891011121314151716181921202223[[#This Row],[Espresso vorige maand]]</f>
        <v>137</v>
      </c>
      <c r="K17" s="53">
        <v>735</v>
      </c>
      <c r="L17">
        <v>699</v>
      </c>
      <c r="M17">
        <f>Tabel242567891011121314151716181921202223[[#This Row],[Stand Latte Macchiato einde maand]]-Tabel242567891011121314151716181921202223[[#This Row],[Latte Macchiato vorige maand]]</f>
        <v>36</v>
      </c>
      <c r="N17" s="53">
        <v>1566</v>
      </c>
      <c r="O17">
        <v>1547</v>
      </c>
      <c r="P17">
        <f>Tabel242567891011121314151716181921202223[[#This Row],[Stand Coffee Latte einde maand]]-Tabel242567891011121314151716181921202223[[#This Row],[Coffee Latte vorige maand]]</f>
        <v>19</v>
      </c>
      <c r="Q17" s="53">
        <v>38238</v>
      </c>
      <c r="R17">
        <v>36126</v>
      </c>
      <c r="S17">
        <f>Tabel242567891011121314151716181921202223[[#This Row],[Stand Hot Water einde maand]]-Tabel242567891011121314151716181921202223[[#This Row],[Hot Water vorige maand]]</f>
        <v>2112</v>
      </c>
      <c r="T17" s="53">
        <v>10583</v>
      </c>
      <c r="U17">
        <v>10306</v>
      </c>
      <c r="V17">
        <f>Tabel242567891011121314151716181921202223[[#This Row],[Stand Cappucino einde maand]]-Tabel242567891011121314151716181921202223[[#This Row],[Stand Cappucino vorige maand]]</f>
        <v>277</v>
      </c>
      <c r="W17" s="53">
        <v>3155</v>
      </c>
      <c r="X17">
        <v>3059</v>
      </c>
      <c r="Y17">
        <f>Tabel242567891011121314151716181921202223[[#This Row],[Stand Cappucino Plantaardig einde maand]]-Tabel242567891011121314151716181921202223[[#This Row],[Stand Cappucino Plantaardig vorige maand]]</f>
        <v>96</v>
      </c>
      <c r="Z17" s="53">
        <v>780</v>
      </c>
      <c r="AA17">
        <v>748</v>
      </c>
      <c r="AB17" s="52">
        <f>Tabel242567891011121314151716181921202223[[#This Row],[Stand Latte Macchiato Plantaardig einde maand]]-Tabel242567891011121314151716181921202223[[#This Row],[Stand Latte Macchiato Plantaardig vorige maand]]</f>
        <v>32</v>
      </c>
      <c r="AC17" s="3">
        <f>Tabel242567891011121314151716181921202223[[#This Row],[Verbruik Stand Latte Macchiato Plantaardig deze maand]]+Tabel242567891011121314151716181921202223[[#This Row],[Verbruik  Cappucino Plantaardig deze maand]]+Tabel242567891011121314151716181921202223[[#This Row],[Verbruik Cappucino deze maand]]+Tabel242567891011121314151716181921202223[[#This Row],[Verbruik Hot Water deze maand]]+Tabel242567891011121314151716181921202223[[#This Row],[Verbruik Coffee Latte deze maand]]+Tabel242567891011121314151716181921202223[[#This Row],[Verbruik Latte Macchiato deze maand]]+Tabel242567891011121314151716181921202223[[#This Row],[Verbruik Espresso deze maand]]+Tabel242567891011121314151716181921202223[[#This Row],[Verbruik Coffee deze maand]]</f>
        <v>3866</v>
      </c>
      <c r="AD17" s="75"/>
      <c r="AE17" s="5"/>
      <c r="AF17" s="5"/>
      <c r="AG17" s="100"/>
      <c r="AH17" s="5"/>
      <c r="AI17" s="41"/>
      <c r="AJ17" s="5"/>
      <c r="AK17" s="5"/>
      <c r="AL17" s="75"/>
      <c r="AM17" s="41"/>
      <c r="AN17" s="5"/>
      <c r="AO17" s="5"/>
      <c r="AP17" s="75"/>
      <c r="AQ17" s="41"/>
      <c r="AR17" s="5"/>
      <c r="AS17" s="5"/>
      <c r="AT17" s="75"/>
      <c r="AU17" s="41"/>
      <c r="AV17" s="5"/>
      <c r="AW17" s="5"/>
      <c r="AX17" s="79"/>
      <c r="AY17" s="95">
        <f>Tabel242567891011121314151716181921202223[[#This Row],[Subtotaal waterbar in consumpties]]+Tabel242567891011121314151716181921202223[[#This Row],[Subtotaal koffieautomaten]]</f>
        <v>3866</v>
      </c>
    </row>
    <row r="18" spans="1:126" x14ac:dyDescent="0.25">
      <c r="A18" s="53" t="s">
        <v>58</v>
      </c>
      <c r="B18" t="s">
        <v>59</v>
      </c>
      <c r="C18" t="s">
        <v>47</v>
      </c>
      <c r="E18" s="53">
        <v>17783</v>
      </c>
      <c r="F18" s="101">
        <v>17181</v>
      </c>
      <c r="G18">
        <f>Tabel242567891011121314151716181921202223[[#This Row],[Stand Coffee einde maand]]-Tabel242567891011121314151716181921202223[[#This Row],[Coffee vorige maand]]</f>
        <v>602</v>
      </c>
      <c r="H18" s="53">
        <v>4053</v>
      </c>
      <c r="I18" s="101">
        <v>3820</v>
      </c>
      <c r="J18">
        <f>Tabel242567891011121314151716181921202223[[#This Row],[Stand Espresso Einde maand]]-Tabel242567891011121314151716181921202223[[#This Row],[Espresso vorige maand]]</f>
        <v>233</v>
      </c>
      <c r="K18" s="53">
        <v>2392</v>
      </c>
      <c r="L18" s="101">
        <v>2274</v>
      </c>
      <c r="M18">
        <f>Tabel242567891011121314151716181921202223[[#This Row],[Stand Latte Macchiato einde maand]]-Tabel242567891011121314151716181921202223[[#This Row],[Latte Macchiato vorige maand]]</f>
        <v>118</v>
      </c>
      <c r="N18" s="53">
        <v>555</v>
      </c>
      <c r="O18" s="101">
        <v>499</v>
      </c>
      <c r="P18">
        <f>Tabel242567891011121314151716181921202223[[#This Row],[Stand Coffee Latte einde maand]]-Tabel242567891011121314151716181921202223[[#This Row],[Coffee Latte vorige maand]]</f>
        <v>56</v>
      </c>
      <c r="Q18" s="53">
        <v>1</v>
      </c>
      <c r="R18" s="101">
        <v>1</v>
      </c>
      <c r="S18">
        <f>Tabel242567891011121314151716181921202223[[#This Row],[Stand Hot Water einde maand]]-Tabel242567891011121314151716181921202223[[#This Row],[Hot Water vorige maand]]</f>
        <v>0</v>
      </c>
      <c r="T18" s="53">
        <v>9532</v>
      </c>
      <c r="U18" s="101">
        <v>9136</v>
      </c>
      <c r="V18">
        <f>Tabel242567891011121314151716181921202223[[#This Row],[Stand Cappucino einde maand]]-Tabel242567891011121314151716181921202223[[#This Row],[Stand Cappucino vorige maand]]</f>
        <v>396</v>
      </c>
      <c r="W18" s="53">
        <v>3487</v>
      </c>
      <c r="X18" s="101">
        <v>3345</v>
      </c>
      <c r="Y18">
        <f>Tabel242567891011121314151716181921202223[[#This Row],[Stand Cappucino Plantaardig einde maand]]-Tabel242567891011121314151716181921202223[[#This Row],[Stand Cappucino Plantaardig vorige maand]]</f>
        <v>142</v>
      </c>
      <c r="Z18" s="53">
        <v>424</v>
      </c>
      <c r="AA18" s="101">
        <v>418</v>
      </c>
      <c r="AB18" s="52">
        <f>Tabel242567891011121314151716181921202223[[#This Row],[Stand Latte Macchiato Plantaardig einde maand]]-Tabel242567891011121314151716181921202223[[#This Row],[Stand Latte Macchiato Plantaardig vorige maand]]</f>
        <v>6</v>
      </c>
      <c r="AC18" s="3">
        <f>Tabel242567891011121314151716181921202223[[#This Row],[Verbruik Stand Latte Macchiato Plantaardig deze maand]]+Tabel242567891011121314151716181921202223[[#This Row],[Verbruik  Cappucino Plantaardig deze maand]]+Tabel242567891011121314151716181921202223[[#This Row],[Verbruik Cappucino deze maand]]+Tabel242567891011121314151716181921202223[[#This Row],[Verbruik Hot Water deze maand]]+Tabel242567891011121314151716181921202223[[#This Row],[Verbruik Coffee Latte deze maand]]+Tabel242567891011121314151716181921202223[[#This Row],[Verbruik Latte Macchiato deze maand]]+Tabel242567891011121314151716181921202223[[#This Row],[Verbruik Espresso deze maand]]+Tabel242567891011121314151716181921202223[[#This Row],[Verbruik Coffee deze maand]]</f>
        <v>1553</v>
      </c>
      <c r="AD18" s="53">
        <v>363.7</v>
      </c>
      <c r="AE18">
        <v>288.5</v>
      </c>
      <c r="AF18">
        <f>Tabel242567891011121314151716181921202223[[#This Row],[Stand Kamertemp liter einde maand]]-Tabel242567891011121314151716181921202223[[#This Row],[Stand Kamertemp liter vorige maand]]</f>
        <v>75.199999999999989</v>
      </c>
      <c r="AG18" s="99">
        <f>Tabel242567891011121314151716181921202223[[#This Row],[Verbruik Kamertemp liter deze maand]]/0.15</f>
        <v>501.33333333333326</v>
      </c>
      <c r="AH18">
        <v>1401.3</v>
      </c>
      <c r="AI18">
        <v>1261.3</v>
      </c>
      <c r="AJ18">
        <f>Tabel242567891011121314151716181921202223[[#This Row],[Stand Gekoeld liter einde maand]]-Tabel242567891011121314151716181921202223[[#This Row],[Stand Gekoeld liter vorige maand]]</f>
        <v>140</v>
      </c>
      <c r="AK18" s="2">
        <f>Tabel242567891011121314151716181921202223[[#This Row],[Verbruik Gekoeld liter deze maand]]/0.15</f>
        <v>933.33333333333337</v>
      </c>
      <c r="AL18" s="53">
        <v>1310.0999999999999</v>
      </c>
      <c r="AM18">
        <v>1194.4000000000001</v>
      </c>
      <c r="AN18">
        <f>Tabel242567891011121314151716181921202223[[#This Row],[Stand Bruisend liter einde maand]]-Tabel242567891011121314151716181921202223[[#This Row],[Stand Bruisend liter vorige maand]]</f>
        <v>115.69999999999982</v>
      </c>
      <c r="AO18" s="2">
        <f>Tabel242567891011121314151716181921202223[[#This Row],[Verbruik Bruisend liter deze maand]]/0.15</f>
        <v>771.33333333333212</v>
      </c>
      <c r="AP18" s="53">
        <v>385.8</v>
      </c>
      <c r="AQ18">
        <v>337.4</v>
      </c>
      <c r="AR18">
        <f>Tabel242567891011121314151716181921202223[[#This Row],[Stand licht bruisend liter einde maand]]-Tabel242567891011121314151716181921202223[[#This Row],[Stand licht bruisend liter vorige maand]]</f>
        <v>48.400000000000034</v>
      </c>
      <c r="AS18" s="2">
        <f>Tabel242567891011121314151716181921202223[[#This Row],[Verbruik licht bruisend liter deze maand]]/0.15</f>
        <v>322.66666666666691</v>
      </c>
      <c r="AT18" s="53">
        <v>3299.6</v>
      </c>
      <c r="AU18">
        <v>2820.9</v>
      </c>
      <c r="AV18">
        <f>Tabel242567891011121314151716181921202223[[#This Row],[Stand heet water liter einde maand]]-Tabel242567891011121314151716181921202223[[#This Row],[Stand heet water liter vorige maand]]</f>
        <v>478.69999999999982</v>
      </c>
      <c r="AW18" s="2">
        <f>Tabel242567891011121314151716181921202223[[#This Row],[Verbruik heet Water liter deze maand ]]/0.15</f>
        <v>3191.3333333333321</v>
      </c>
      <c r="AX18" s="77">
        <f>Tabel242567891011121314151716181921202223[[#This Row],[Aantal consumpties heet water deze maand]]+Tabel242567891011121314151716181921202223[[#This Row],[Aantal consumpties licht bruisend water deze maand]]+Tabel242567891011121314151716181921202223[[#This Row],[aantal consumpties Bruisend water deze maand]]+Tabel242567891011121314151716181921202223[[#This Row],[Aantal consumpties gekoeld water deze maand]]+Tabel242567891011121314151716181921202223[[#This Row],[Aantal consumpties Kamertemp deze maand]]</f>
        <v>5719.9999999999973</v>
      </c>
      <c r="AY18" s="95">
        <f>Tabel242567891011121314151716181921202223[[#This Row],[Subtotaal waterbar in consumpties]]+Tabel242567891011121314151716181921202223[[#This Row],[Subtotaal koffieautomaten]]</f>
        <v>7272.9999999999973</v>
      </c>
    </row>
    <row r="19" spans="1:126" x14ac:dyDescent="0.25">
      <c r="A19" s="53" t="s">
        <v>60</v>
      </c>
      <c r="B19" t="s">
        <v>61</v>
      </c>
      <c r="C19" t="s">
        <v>31</v>
      </c>
      <c r="E19" s="53">
        <v>18787</v>
      </c>
      <c r="F19">
        <v>17878</v>
      </c>
      <c r="G19">
        <f>Tabel242567891011121314151716181921202223[[#This Row],[Stand Coffee einde maand]]-Tabel242567891011121314151716181921202223[[#This Row],[Coffee vorige maand]]</f>
        <v>909</v>
      </c>
      <c r="H19" s="53">
        <v>3965</v>
      </c>
      <c r="I19">
        <v>3704</v>
      </c>
      <c r="J19">
        <f>Tabel242567891011121314151716181921202223[[#This Row],[Stand Espresso Einde maand]]-Tabel242567891011121314151716181921202223[[#This Row],[Espresso vorige maand]]</f>
        <v>261</v>
      </c>
      <c r="K19" s="53">
        <v>1398</v>
      </c>
      <c r="L19">
        <v>1355</v>
      </c>
      <c r="M19">
        <f>Tabel242567891011121314151716181921202223[[#This Row],[Stand Latte Macchiato einde maand]]-Tabel242567891011121314151716181921202223[[#This Row],[Latte Macchiato vorige maand]]</f>
        <v>43</v>
      </c>
      <c r="N19" s="53">
        <v>826</v>
      </c>
      <c r="O19">
        <v>742</v>
      </c>
      <c r="P19">
        <f>Tabel242567891011121314151716181921202223[[#This Row],[Stand Coffee Latte einde maand]]-Tabel242567891011121314151716181921202223[[#This Row],[Coffee Latte vorige maand]]</f>
        <v>84</v>
      </c>
      <c r="Q19" s="53">
        <v>40282</v>
      </c>
      <c r="R19">
        <v>37711</v>
      </c>
      <c r="S19">
        <f>Tabel242567891011121314151716181921202223[[#This Row],[Stand Hot Water einde maand]]-Tabel242567891011121314151716181921202223[[#This Row],[Hot Water vorige maand]]</f>
        <v>2571</v>
      </c>
      <c r="T19" s="53">
        <v>10464</v>
      </c>
      <c r="U19">
        <v>9999</v>
      </c>
      <c r="V19">
        <f>Tabel242567891011121314151716181921202223[[#This Row],[Stand Cappucino einde maand]]-Tabel242567891011121314151716181921202223[[#This Row],[Stand Cappucino vorige maand]]</f>
        <v>465</v>
      </c>
      <c r="W19" s="53">
        <v>1687</v>
      </c>
      <c r="X19">
        <v>1614</v>
      </c>
      <c r="Y19">
        <f>Tabel242567891011121314151716181921202223[[#This Row],[Stand Cappucino Plantaardig einde maand]]-Tabel242567891011121314151716181921202223[[#This Row],[Stand Cappucino Plantaardig vorige maand]]</f>
        <v>73</v>
      </c>
      <c r="Z19" s="53">
        <v>463</v>
      </c>
      <c r="AA19">
        <v>457</v>
      </c>
      <c r="AB19" s="52">
        <f>Tabel242567891011121314151716181921202223[[#This Row],[Stand Latte Macchiato Plantaardig einde maand]]-Tabel242567891011121314151716181921202223[[#This Row],[Stand Latte Macchiato Plantaardig vorige maand]]</f>
        <v>6</v>
      </c>
      <c r="AC19" s="3">
        <f>Tabel242567891011121314151716181921202223[[#This Row],[Verbruik Stand Latte Macchiato Plantaardig deze maand]]+Tabel242567891011121314151716181921202223[[#This Row],[Verbruik  Cappucino Plantaardig deze maand]]+Tabel242567891011121314151716181921202223[[#This Row],[Verbruik Cappucino deze maand]]+Tabel242567891011121314151716181921202223[[#This Row],[Verbruik Hot Water deze maand]]+Tabel242567891011121314151716181921202223[[#This Row],[Verbruik Coffee Latte deze maand]]+Tabel242567891011121314151716181921202223[[#This Row],[Verbruik Latte Macchiato deze maand]]+Tabel242567891011121314151716181921202223[[#This Row],[Verbruik Espresso deze maand]]+Tabel242567891011121314151716181921202223[[#This Row],[Verbruik Coffee deze maand]]</f>
        <v>4412</v>
      </c>
      <c r="AD19" s="75"/>
      <c r="AE19" s="5"/>
      <c r="AF19" s="5"/>
      <c r="AG19" s="100"/>
      <c r="AH19" s="5"/>
      <c r="AI19" s="41"/>
      <c r="AJ19" s="5"/>
      <c r="AK19" s="5"/>
      <c r="AL19" s="75"/>
      <c r="AM19" s="41"/>
      <c r="AN19" s="5"/>
      <c r="AO19" s="5"/>
      <c r="AP19" s="75"/>
      <c r="AQ19" s="41"/>
      <c r="AR19" s="5"/>
      <c r="AS19" s="5"/>
      <c r="AT19" s="75"/>
      <c r="AU19" s="41"/>
      <c r="AV19" s="5"/>
      <c r="AW19" s="5"/>
      <c r="AX19" s="79"/>
      <c r="AY19" s="95">
        <f>Tabel242567891011121314151716181921202223[[#This Row],[Subtotaal waterbar in consumpties]]+Tabel242567891011121314151716181921202223[[#This Row],[Subtotaal koffieautomaten]]</f>
        <v>4412</v>
      </c>
    </row>
    <row r="20" spans="1:126" x14ac:dyDescent="0.25">
      <c r="A20" s="53" t="s">
        <v>62</v>
      </c>
      <c r="B20" t="s">
        <v>63</v>
      </c>
      <c r="C20" t="s">
        <v>47</v>
      </c>
      <c r="E20" s="53">
        <v>4173</v>
      </c>
      <c r="F20" s="101">
        <v>3245</v>
      </c>
      <c r="G20">
        <f>Tabel242567891011121314151716181921202223[[#This Row],[Stand Coffee einde maand]]-Tabel242567891011121314151716181921202223[[#This Row],[Coffee vorige maand]]</f>
        <v>928</v>
      </c>
      <c r="H20" s="53">
        <v>965</v>
      </c>
      <c r="I20" s="101">
        <v>794</v>
      </c>
      <c r="J20">
        <f>Tabel242567891011121314151716181921202223[[#This Row],[Stand Espresso Einde maand]]-Tabel242567891011121314151716181921202223[[#This Row],[Espresso vorige maand]]</f>
        <v>171</v>
      </c>
      <c r="K20" s="53">
        <v>190</v>
      </c>
      <c r="L20" s="101">
        <v>152</v>
      </c>
      <c r="M20">
        <f>Tabel242567891011121314151716181921202223[[#This Row],[Stand Latte Macchiato einde maand]]-Tabel242567891011121314151716181921202223[[#This Row],[Latte Macchiato vorige maand]]</f>
        <v>38</v>
      </c>
      <c r="N20" s="53">
        <v>339</v>
      </c>
      <c r="O20" s="101">
        <v>271</v>
      </c>
      <c r="P20">
        <f>Tabel242567891011121314151716181921202223[[#This Row],[Stand Coffee Latte einde maand]]-Tabel242567891011121314151716181921202223[[#This Row],[Coffee Latte vorige maand]]</f>
        <v>68</v>
      </c>
      <c r="Q20" s="53">
        <v>1564</v>
      </c>
      <c r="R20" s="101">
        <v>1233</v>
      </c>
      <c r="S20">
        <f>Tabel242567891011121314151716181921202223[[#This Row],[Stand Hot Water einde maand]]-Tabel242567891011121314151716181921202223[[#This Row],[Hot Water vorige maand]]</f>
        <v>331</v>
      </c>
      <c r="T20" s="53">
        <v>1571</v>
      </c>
      <c r="U20" s="101">
        <v>1289</v>
      </c>
      <c r="V20">
        <f>Tabel242567891011121314151716181921202223[[#This Row],[Stand Cappucino einde maand]]-Tabel242567891011121314151716181921202223[[#This Row],[Stand Cappucino vorige maand]]</f>
        <v>282</v>
      </c>
      <c r="W20" s="53">
        <v>575</v>
      </c>
      <c r="X20" s="101">
        <v>454</v>
      </c>
      <c r="Y20">
        <f>Tabel242567891011121314151716181921202223[[#This Row],[Stand Cappucino Plantaardig einde maand]]-Tabel242567891011121314151716181921202223[[#This Row],[Stand Cappucino Plantaardig vorige maand]]</f>
        <v>121</v>
      </c>
      <c r="Z20" s="53">
        <v>205</v>
      </c>
      <c r="AA20" s="101">
        <v>179</v>
      </c>
      <c r="AB20" s="52">
        <f>Tabel242567891011121314151716181921202223[[#This Row],[Stand Latte Macchiato Plantaardig einde maand]]-Tabel242567891011121314151716181921202223[[#This Row],[Stand Latte Macchiato Plantaardig vorige maand]]</f>
        <v>26</v>
      </c>
      <c r="AC20" s="3">
        <f>Tabel242567891011121314151716181921202223[[#This Row],[Verbruik Stand Latte Macchiato Plantaardig deze maand]]+Tabel242567891011121314151716181921202223[[#This Row],[Verbruik  Cappucino Plantaardig deze maand]]+Tabel242567891011121314151716181921202223[[#This Row],[Verbruik Cappucino deze maand]]+Tabel242567891011121314151716181921202223[[#This Row],[Verbruik Hot Water deze maand]]+Tabel242567891011121314151716181921202223[[#This Row],[Verbruik Coffee Latte deze maand]]+Tabel242567891011121314151716181921202223[[#This Row],[Verbruik Latte Macchiato deze maand]]+Tabel242567891011121314151716181921202223[[#This Row],[Verbruik Espresso deze maand]]+Tabel242567891011121314151716181921202223[[#This Row],[Verbruik Coffee deze maand]]</f>
        <v>1965</v>
      </c>
      <c r="AD20" s="53">
        <v>128.69999999999999</v>
      </c>
      <c r="AE20">
        <v>109.9</v>
      </c>
      <c r="AF20">
        <f>Tabel242567891011121314151716181921202223[[#This Row],[Stand Kamertemp liter einde maand]]-Tabel242567891011121314151716181921202223[[#This Row],[Stand Kamertemp liter vorige maand]]</f>
        <v>18.799999999999983</v>
      </c>
      <c r="AG20" s="99">
        <f>Tabel242567891011121314151716181921202223[[#This Row],[Verbruik Kamertemp liter deze maand]]/0.15</f>
        <v>125.33333333333323</v>
      </c>
      <c r="AH20" s="40">
        <v>1193.5999999999999</v>
      </c>
      <c r="AI20">
        <v>1061</v>
      </c>
      <c r="AJ20">
        <f>Tabel242567891011121314151716181921202223[[#This Row],[Stand Gekoeld liter einde maand]]-Tabel242567891011121314151716181921202223[[#This Row],[Stand Gekoeld liter vorige maand]]</f>
        <v>132.59999999999991</v>
      </c>
      <c r="AK20" s="2">
        <f>Tabel242567891011121314151716181921202223[[#This Row],[Verbruik Gekoeld liter deze maand]]/0.15</f>
        <v>883.99999999999943</v>
      </c>
      <c r="AL20" s="51">
        <v>1351.7</v>
      </c>
      <c r="AM20">
        <v>1251.5999999999999</v>
      </c>
      <c r="AN20">
        <f>Tabel242567891011121314151716181921202223[[#This Row],[Stand Bruisend liter einde maand]]-Tabel242567891011121314151716181921202223[[#This Row],[Stand Bruisend liter vorige maand]]</f>
        <v>100.10000000000014</v>
      </c>
      <c r="AO20" s="2">
        <f>Tabel242567891011121314151716181921202223[[#This Row],[Verbruik Bruisend liter deze maand]]/0.15</f>
        <v>667.33333333333428</v>
      </c>
      <c r="AP20" s="51">
        <v>313.8</v>
      </c>
      <c r="AQ20">
        <v>261.89999999999998</v>
      </c>
      <c r="AR20">
        <f>Tabel242567891011121314151716181921202223[[#This Row],[Stand licht bruisend liter einde maand]]-Tabel242567891011121314151716181921202223[[#This Row],[Stand licht bruisend liter vorige maand]]</f>
        <v>51.900000000000034</v>
      </c>
      <c r="AS20" s="2">
        <f>Tabel242567891011121314151716181921202223[[#This Row],[Verbruik licht bruisend liter deze maand]]/0.15</f>
        <v>346.00000000000023</v>
      </c>
      <c r="AT20" s="51">
        <v>3769.1</v>
      </c>
      <c r="AU20">
        <v>3389.8</v>
      </c>
      <c r="AV20">
        <f>Tabel242567891011121314151716181921202223[[#This Row],[Stand heet water liter einde maand]]-Tabel242567891011121314151716181921202223[[#This Row],[Stand heet water liter vorige maand]]</f>
        <v>379.29999999999973</v>
      </c>
      <c r="AW20" s="2">
        <f>Tabel242567891011121314151716181921202223[[#This Row],[Verbruik heet Water liter deze maand ]]/0.15</f>
        <v>2528.6666666666652</v>
      </c>
      <c r="AX20" s="77">
        <f>Tabel242567891011121314151716181921202223[[#This Row],[Aantal consumpties heet water deze maand]]+Tabel242567891011121314151716181921202223[[#This Row],[Aantal consumpties licht bruisend water deze maand]]+Tabel242567891011121314151716181921202223[[#This Row],[aantal consumpties Bruisend water deze maand]]+Tabel242567891011121314151716181921202223[[#This Row],[Aantal consumpties gekoeld water deze maand]]+Tabel242567891011121314151716181921202223[[#This Row],[Aantal consumpties Kamertemp deze maand]]</f>
        <v>4551.3333333333321</v>
      </c>
      <c r="AY20" s="95">
        <f>Tabel242567891011121314151716181921202223[[#This Row],[Subtotaal waterbar in consumpties]]+Tabel242567891011121314151716181921202223[[#This Row],[Subtotaal koffieautomaten]]</f>
        <v>6516.3333333333321</v>
      </c>
    </row>
    <row r="21" spans="1:126" x14ac:dyDescent="0.25">
      <c r="A21" s="53" t="s">
        <v>64</v>
      </c>
      <c r="B21" t="s">
        <v>65</v>
      </c>
      <c r="C21" t="s">
        <v>31</v>
      </c>
      <c r="E21" s="53">
        <v>20627</v>
      </c>
      <c r="F21">
        <v>19783</v>
      </c>
      <c r="G21">
        <f>Tabel242567891011121314151716181921202223[[#This Row],[Stand Coffee einde maand]]-Tabel242567891011121314151716181921202223[[#This Row],[Coffee vorige maand]]</f>
        <v>844</v>
      </c>
      <c r="H21" s="53">
        <v>5657</v>
      </c>
      <c r="I21">
        <v>5360</v>
      </c>
      <c r="J21">
        <f>Tabel242567891011121314151716181921202223[[#This Row],[Stand Espresso Einde maand]]-Tabel242567891011121314151716181921202223[[#This Row],[Espresso vorige maand]]</f>
        <v>297</v>
      </c>
      <c r="K21" s="53">
        <v>2537</v>
      </c>
      <c r="L21">
        <v>2431</v>
      </c>
      <c r="M21">
        <f>Tabel242567891011121314151716181921202223[[#This Row],[Stand Latte Macchiato einde maand]]-Tabel242567891011121314151716181921202223[[#This Row],[Latte Macchiato vorige maand]]</f>
        <v>106</v>
      </c>
      <c r="N21" s="53">
        <v>1073</v>
      </c>
      <c r="O21">
        <v>1037</v>
      </c>
      <c r="P21">
        <f>Tabel242567891011121314151716181921202223[[#This Row],[Stand Coffee Latte einde maand]]-Tabel242567891011121314151716181921202223[[#This Row],[Coffee Latte vorige maand]]</f>
        <v>36</v>
      </c>
      <c r="Q21" s="53">
        <v>44134</v>
      </c>
      <c r="R21">
        <v>41462</v>
      </c>
      <c r="S21">
        <f>Tabel242567891011121314151716181921202223[[#This Row],[Stand Hot Water einde maand]]-Tabel242567891011121314151716181921202223[[#This Row],[Hot Water vorige maand]]</f>
        <v>2672</v>
      </c>
      <c r="T21" s="53">
        <v>13689</v>
      </c>
      <c r="U21">
        <v>13169</v>
      </c>
      <c r="V21">
        <f>Tabel242567891011121314151716181921202223[[#This Row],[Stand Cappucino einde maand]]-Tabel242567891011121314151716181921202223[[#This Row],[Stand Cappucino vorige maand]]</f>
        <v>520</v>
      </c>
      <c r="W21" s="53">
        <v>2411</v>
      </c>
      <c r="X21">
        <v>2333</v>
      </c>
      <c r="Y21">
        <f>Tabel242567891011121314151716181921202223[[#This Row],[Stand Cappucino Plantaardig einde maand]]-Tabel242567891011121314151716181921202223[[#This Row],[Stand Cappucino Plantaardig vorige maand]]</f>
        <v>78</v>
      </c>
      <c r="Z21" s="53">
        <v>722</v>
      </c>
      <c r="AA21">
        <v>694</v>
      </c>
      <c r="AB21" s="52">
        <f>Tabel242567891011121314151716181921202223[[#This Row],[Stand Latte Macchiato Plantaardig einde maand]]-Tabel242567891011121314151716181921202223[[#This Row],[Stand Latte Macchiato Plantaardig vorige maand]]</f>
        <v>28</v>
      </c>
      <c r="AC21" s="3">
        <f>Tabel242567891011121314151716181921202223[[#This Row],[Verbruik Stand Latte Macchiato Plantaardig deze maand]]+Tabel242567891011121314151716181921202223[[#This Row],[Verbruik  Cappucino Plantaardig deze maand]]+Tabel242567891011121314151716181921202223[[#This Row],[Verbruik Cappucino deze maand]]+Tabel242567891011121314151716181921202223[[#This Row],[Verbruik Hot Water deze maand]]+Tabel242567891011121314151716181921202223[[#This Row],[Verbruik Coffee Latte deze maand]]+Tabel242567891011121314151716181921202223[[#This Row],[Verbruik Latte Macchiato deze maand]]+Tabel242567891011121314151716181921202223[[#This Row],[Verbruik Espresso deze maand]]+Tabel242567891011121314151716181921202223[[#This Row],[Verbruik Coffee deze maand]]</f>
        <v>4581</v>
      </c>
      <c r="AD21" s="75"/>
      <c r="AE21" s="5"/>
      <c r="AF21" s="5"/>
      <c r="AG21" s="100"/>
      <c r="AH21" s="5"/>
      <c r="AI21" s="41"/>
      <c r="AJ21" s="5"/>
      <c r="AK21" s="5"/>
      <c r="AL21" s="75"/>
      <c r="AM21" s="41"/>
      <c r="AN21" s="5"/>
      <c r="AO21" s="5"/>
      <c r="AP21" s="75"/>
      <c r="AQ21" s="41"/>
      <c r="AR21" s="5"/>
      <c r="AS21" s="5"/>
      <c r="AT21" s="75"/>
      <c r="AU21" s="41"/>
      <c r="AV21" s="5"/>
      <c r="AW21" s="5"/>
      <c r="AX21" s="79"/>
      <c r="AY21" s="95">
        <f>Tabel242567891011121314151716181921202223[[#This Row],[Subtotaal waterbar in consumpties]]+Tabel242567891011121314151716181921202223[[#This Row],[Subtotaal koffieautomaten]]</f>
        <v>4581</v>
      </c>
    </row>
    <row r="22" spans="1:126" x14ac:dyDescent="0.25">
      <c r="A22" s="53" t="s">
        <v>66</v>
      </c>
      <c r="B22" t="s">
        <v>67</v>
      </c>
      <c r="C22" t="s">
        <v>31</v>
      </c>
      <c r="E22" s="53">
        <v>25212</v>
      </c>
      <c r="F22" s="101">
        <v>24040</v>
      </c>
      <c r="G22">
        <f>Tabel242567891011121314151716181921202223[[#This Row],[Stand Coffee einde maand]]-Tabel242567891011121314151716181921202223[[#This Row],[Coffee vorige maand]]</f>
        <v>1172</v>
      </c>
      <c r="H22" s="53">
        <v>3927</v>
      </c>
      <c r="I22" s="101">
        <v>3691</v>
      </c>
      <c r="J22">
        <f>Tabel242567891011121314151716181921202223[[#This Row],[Stand Espresso Einde maand]]-Tabel242567891011121314151716181921202223[[#This Row],[Espresso vorige maand]]</f>
        <v>236</v>
      </c>
      <c r="K22" s="53">
        <v>3092</v>
      </c>
      <c r="L22" s="101">
        <v>2950</v>
      </c>
      <c r="M22">
        <f>Tabel242567891011121314151716181921202223[[#This Row],[Stand Latte Macchiato einde maand]]-Tabel242567891011121314151716181921202223[[#This Row],[Latte Macchiato vorige maand]]</f>
        <v>142</v>
      </c>
      <c r="N22" s="53">
        <v>777</v>
      </c>
      <c r="O22" s="101">
        <v>758</v>
      </c>
      <c r="P22">
        <f>Tabel242567891011121314151716181921202223[[#This Row],[Stand Coffee Latte einde maand]]-Tabel242567891011121314151716181921202223[[#This Row],[Coffee Latte vorige maand]]</f>
        <v>19</v>
      </c>
      <c r="Q22" s="53">
        <v>40996</v>
      </c>
      <c r="R22" s="101">
        <v>38877</v>
      </c>
      <c r="S22">
        <f>Tabel242567891011121314151716181921202223[[#This Row],[Stand Hot Water einde maand]]-Tabel242567891011121314151716181921202223[[#This Row],[Hot Water vorige maand]]</f>
        <v>2119</v>
      </c>
      <c r="T22" s="53">
        <v>13821</v>
      </c>
      <c r="U22" s="101">
        <v>13175</v>
      </c>
      <c r="V22">
        <f>Tabel242567891011121314151716181921202223[[#This Row],[Stand Cappucino einde maand]]-Tabel242567891011121314151716181921202223[[#This Row],[Stand Cappucino vorige maand]]</f>
        <v>646</v>
      </c>
      <c r="W22" s="53">
        <v>2944</v>
      </c>
      <c r="X22" s="101">
        <v>2838</v>
      </c>
      <c r="Y22">
        <f>Tabel242567891011121314151716181921202223[[#This Row],[Stand Cappucino Plantaardig einde maand]]-Tabel242567891011121314151716181921202223[[#This Row],[Stand Cappucino Plantaardig vorige maand]]</f>
        <v>106</v>
      </c>
      <c r="Z22" s="53">
        <v>641</v>
      </c>
      <c r="AA22" s="101">
        <v>629</v>
      </c>
      <c r="AB22" s="52">
        <f>Tabel242567891011121314151716181921202223[[#This Row],[Stand Latte Macchiato Plantaardig einde maand]]-Tabel242567891011121314151716181921202223[[#This Row],[Stand Latte Macchiato Plantaardig vorige maand]]</f>
        <v>12</v>
      </c>
      <c r="AC22" s="3">
        <f>Tabel242567891011121314151716181921202223[[#This Row],[Verbruik Stand Latte Macchiato Plantaardig deze maand]]+Tabel242567891011121314151716181921202223[[#This Row],[Verbruik  Cappucino Plantaardig deze maand]]+Tabel242567891011121314151716181921202223[[#This Row],[Verbruik Cappucino deze maand]]+Tabel242567891011121314151716181921202223[[#This Row],[Verbruik Hot Water deze maand]]+Tabel242567891011121314151716181921202223[[#This Row],[Verbruik Coffee Latte deze maand]]+Tabel242567891011121314151716181921202223[[#This Row],[Verbruik Latte Macchiato deze maand]]+Tabel242567891011121314151716181921202223[[#This Row],[Verbruik Espresso deze maand]]+Tabel242567891011121314151716181921202223[[#This Row],[Verbruik Coffee deze maand]]</f>
        <v>4452</v>
      </c>
      <c r="AD22" s="75"/>
      <c r="AE22" s="5"/>
      <c r="AF22" s="5"/>
      <c r="AG22" s="100"/>
      <c r="AH22" s="5"/>
      <c r="AI22" s="41"/>
      <c r="AJ22" s="5"/>
      <c r="AK22" s="5"/>
      <c r="AL22" s="75"/>
      <c r="AM22" s="41"/>
      <c r="AN22" s="5"/>
      <c r="AO22" s="5"/>
      <c r="AP22" s="75"/>
      <c r="AQ22" s="41"/>
      <c r="AR22" s="5"/>
      <c r="AS22" s="5"/>
      <c r="AT22" s="75"/>
      <c r="AU22" s="41"/>
      <c r="AV22" s="5"/>
      <c r="AW22" s="5"/>
      <c r="AX22" s="79"/>
      <c r="AY22" s="95">
        <f>Tabel242567891011121314151716181921202223[[#This Row],[Subtotaal waterbar in consumpties]]+Tabel242567891011121314151716181921202223[[#This Row],[Subtotaal koffieautomaten]]</f>
        <v>4452</v>
      </c>
    </row>
    <row r="23" spans="1:126" x14ac:dyDescent="0.25">
      <c r="A23" s="53" t="s">
        <v>68</v>
      </c>
      <c r="B23" t="s">
        <v>69</v>
      </c>
      <c r="C23" t="s">
        <v>47</v>
      </c>
      <c r="E23" s="53">
        <v>14701</v>
      </c>
      <c r="F23">
        <v>14002</v>
      </c>
      <c r="G23">
        <f>Tabel242567891011121314151716181921202223[[#This Row],[Stand Coffee einde maand]]-Tabel242567891011121314151716181921202223[[#This Row],[Coffee vorige maand]]</f>
        <v>699</v>
      </c>
      <c r="H23" s="53">
        <v>6040</v>
      </c>
      <c r="I23">
        <v>5735</v>
      </c>
      <c r="J23">
        <f>Tabel242567891011121314151716181921202223[[#This Row],[Stand Espresso Einde maand]]-Tabel242567891011121314151716181921202223[[#This Row],[Espresso vorige maand]]</f>
        <v>305</v>
      </c>
      <c r="K23" s="53">
        <v>4521</v>
      </c>
      <c r="L23">
        <f>172+4295</f>
        <v>4467</v>
      </c>
      <c r="M23">
        <f>Tabel242567891011121314151716181921202223[[#This Row],[Stand Latte Macchiato einde maand]]-Tabel242567891011121314151716181921202223[[#This Row],[Latte Macchiato vorige maand]]</f>
        <v>54</v>
      </c>
      <c r="N23" s="53">
        <v>795</v>
      </c>
      <c r="O23">
        <v>766</v>
      </c>
      <c r="P23">
        <f>Tabel242567891011121314151716181921202223[[#This Row],[Stand Coffee Latte einde maand]]-Tabel242567891011121314151716181921202223[[#This Row],[Coffee Latte vorige maand]]</f>
        <v>29</v>
      </c>
      <c r="Q23" s="53">
        <v>1</v>
      </c>
      <c r="R23">
        <v>1</v>
      </c>
      <c r="S23">
        <f>Tabel242567891011121314151716181921202223[[#This Row],[Stand Hot Water einde maand]]-Tabel242567891011121314151716181921202223[[#This Row],[Hot Water vorige maand]]</f>
        <v>0</v>
      </c>
      <c r="T23" s="53">
        <v>13008</v>
      </c>
      <c r="U23">
        <v>12605</v>
      </c>
      <c r="V23">
        <f>Tabel242567891011121314151716181921202223[[#This Row],[Stand Cappucino einde maand]]-Tabel242567891011121314151716181921202223[[#This Row],[Stand Cappucino vorige maand]]</f>
        <v>403</v>
      </c>
      <c r="W23" s="53">
        <v>2555</v>
      </c>
      <c r="X23">
        <v>2449</v>
      </c>
      <c r="Y23">
        <f>Tabel242567891011121314151716181921202223[[#This Row],[Stand Cappucino Plantaardig einde maand]]-Tabel242567891011121314151716181921202223[[#This Row],[Stand Cappucino Plantaardig vorige maand]]</f>
        <v>106</v>
      </c>
      <c r="Z23" s="53">
        <v>627</v>
      </c>
      <c r="AA23">
        <v>602</v>
      </c>
      <c r="AB23" s="52">
        <f>Tabel242567891011121314151716181921202223[[#This Row],[Stand Latte Macchiato Plantaardig einde maand]]-Tabel242567891011121314151716181921202223[[#This Row],[Stand Latte Macchiato Plantaardig vorige maand]]</f>
        <v>25</v>
      </c>
      <c r="AC23" s="3">
        <f>Tabel242567891011121314151716181921202223[[#This Row],[Verbruik Stand Latte Macchiato Plantaardig deze maand]]+Tabel242567891011121314151716181921202223[[#This Row],[Verbruik  Cappucino Plantaardig deze maand]]+Tabel242567891011121314151716181921202223[[#This Row],[Verbruik Cappucino deze maand]]+Tabel242567891011121314151716181921202223[[#This Row],[Verbruik Hot Water deze maand]]+Tabel242567891011121314151716181921202223[[#This Row],[Verbruik Coffee Latte deze maand]]+Tabel242567891011121314151716181921202223[[#This Row],[Verbruik Latte Macchiato deze maand]]+Tabel242567891011121314151716181921202223[[#This Row],[Verbruik Espresso deze maand]]+Tabel242567891011121314151716181921202223[[#This Row],[Verbruik Coffee deze maand]]</f>
        <v>1621</v>
      </c>
      <c r="AD23" s="53">
        <v>32.1</v>
      </c>
      <c r="AE23">
        <v>0</v>
      </c>
      <c r="AF23">
        <f>Tabel242567891011121314151716181921202223[[#This Row],[Stand Kamertemp liter einde maand]]-Tabel242567891011121314151716181921202223[[#This Row],[Stand Kamertemp liter vorige maand]]</f>
        <v>32.1</v>
      </c>
      <c r="AG23" s="99">
        <f>Tabel242567891011121314151716181921202223[[#This Row],[Verbruik Kamertemp liter deze maand]]/0.15</f>
        <v>214.00000000000003</v>
      </c>
      <c r="AH23">
        <v>302.8</v>
      </c>
      <c r="AI23">
        <v>134.1</v>
      </c>
      <c r="AJ23">
        <f>Tabel242567891011121314151716181921202223[[#This Row],[Stand Gekoeld liter einde maand]]-Tabel242567891011121314151716181921202223[[#This Row],[Stand Gekoeld liter vorige maand]]</f>
        <v>168.70000000000002</v>
      </c>
      <c r="AK23" s="2">
        <f>Tabel242567891011121314151716181921202223[[#This Row],[Verbruik Gekoeld liter deze maand]]/0.15</f>
        <v>1124.6666666666667</v>
      </c>
      <c r="AL23" s="53">
        <v>137.4</v>
      </c>
      <c r="AM23">
        <v>59.3</v>
      </c>
      <c r="AN23">
        <f>Tabel242567891011121314151716181921202223[[#This Row],[Stand Bruisend liter einde maand]]-Tabel242567891011121314151716181921202223[[#This Row],[Stand Bruisend liter vorige maand]]</f>
        <v>78.100000000000009</v>
      </c>
      <c r="AO23" s="2">
        <f>Tabel242567891011121314151716181921202223[[#This Row],[Verbruik Bruisend liter deze maand]]/0.15</f>
        <v>520.66666666666674</v>
      </c>
      <c r="AP23" s="53">
        <v>14</v>
      </c>
      <c r="AQ23">
        <v>3.4</v>
      </c>
      <c r="AR23">
        <f>Tabel242567891011121314151716181921202223[[#This Row],[Stand licht bruisend liter einde maand]]-Tabel242567891011121314151716181921202223[[#This Row],[Stand licht bruisend liter vorige maand]]</f>
        <v>10.6</v>
      </c>
      <c r="AS23" s="2">
        <f>Tabel242567891011121314151716181921202223[[#This Row],[Verbruik licht bruisend liter deze maand]]/0.15</f>
        <v>70.666666666666671</v>
      </c>
      <c r="AT23" s="53">
        <v>792.1</v>
      </c>
      <c r="AU23">
        <v>243.3</v>
      </c>
      <c r="AV23">
        <f>Tabel242567891011121314151716181921202223[[#This Row],[Stand heet water liter einde maand]]-Tabel242567891011121314151716181921202223[[#This Row],[Stand heet water liter vorige maand]]</f>
        <v>548.79999999999995</v>
      </c>
      <c r="AW23" s="2">
        <f>Tabel242567891011121314151716181921202223[[#This Row],[Verbruik heet Water liter deze maand ]]/0.15</f>
        <v>3658.6666666666665</v>
      </c>
      <c r="AX23" s="77">
        <f>Tabel242567891011121314151716181921202223[[#This Row],[Aantal consumpties heet water deze maand]]+Tabel242567891011121314151716181921202223[[#This Row],[Aantal consumpties licht bruisend water deze maand]]+Tabel242567891011121314151716181921202223[[#This Row],[aantal consumpties Bruisend water deze maand]]+Tabel242567891011121314151716181921202223[[#This Row],[Aantal consumpties gekoeld water deze maand]]+Tabel242567891011121314151716181921202223[[#This Row],[Aantal consumpties Kamertemp deze maand]]</f>
        <v>5588.666666666667</v>
      </c>
      <c r="AY23" s="95">
        <f>Tabel242567891011121314151716181921202223[[#This Row],[Subtotaal waterbar in consumpties]]+Tabel242567891011121314151716181921202223[[#This Row],[Subtotaal koffieautomaten]]</f>
        <v>7209.666666666667</v>
      </c>
    </row>
    <row r="24" spans="1:126" x14ac:dyDescent="0.25">
      <c r="A24" s="53" t="s">
        <v>70</v>
      </c>
      <c r="B24" t="s">
        <v>71</v>
      </c>
      <c r="C24" t="s">
        <v>31</v>
      </c>
      <c r="E24" s="53">
        <v>16338</v>
      </c>
      <c r="F24" s="101">
        <v>15601</v>
      </c>
      <c r="G24">
        <f>Tabel242567891011121314151716181921202223[[#This Row],[Stand Coffee einde maand]]-Tabel242567891011121314151716181921202223[[#This Row],[Coffee vorige maand]]</f>
        <v>737</v>
      </c>
      <c r="H24" s="53">
        <v>2423</v>
      </c>
      <c r="I24" s="101">
        <v>2272</v>
      </c>
      <c r="J24">
        <f>Tabel242567891011121314151716181921202223[[#This Row],[Stand Espresso Einde maand]]-Tabel242567891011121314151716181921202223[[#This Row],[Espresso vorige maand]]</f>
        <v>151</v>
      </c>
      <c r="K24" s="53">
        <v>1238</v>
      </c>
      <c r="L24" s="101">
        <v>1207</v>
      </c>
      <c r="M24">
        <f>Tabel242567891011121314151716181921202223[[#This Row],[Stand Latte Macchiato einde maand]]-Tabel242567891011121314151716181921202223[[#This Row],[Latte Macchiato vorige maand]]</f>
        <v>31</v>
      </c>
      <c r="N24" s="53">
        <v>1878</v>
      </c>
      <c r="O24" s="101">
        <v>1774</v>
      </c>
      <c r="P24">
        <f>Tabel242567891011121314151716181921202223[[#This Row],[Stand Coffee Latte einde maand]]-Tabel242567891011121314151716181921202223[[#This Row],[Coffee Latte vorige maand]]</f>
        <v>104</v>
      </c>
      <c r="Q24" s="53">
        <v>29989</v>
      </c>
      <c r="R24" s="101">
        <v>28177</v>
      </c>
      <c r="S24">
        <f>Tabel242567891011121314151716181921202223[[#This Row],[Stand Hot Water einde maand]]-Tabel242567891011121314151716181921202223[[#This Row],[Hot Water vorige maand]]</f>
        <v>1812</v>
      </c>
      <c r="T24" s="53">
        <v>6238</v>
      </c>
      <c r="U24" s="101">
        <v>5951</v>
      </c>
      <c r="V24">
        <f>Tabel242567891011121314151716181921202223[[#This Row],[Stand Cappucino einde maand]]-Tabel242567891011121314151716181921202223[[#This Row],[Stand Cappucino vorige maand]]</f>
        <v>287</v>
      </c>
      <c r="W24" s="53">
        <v>1137</v>
      </c>
      <c r="X24" s="101">
        <v>1108</v>
      </c>
      <c r="Y24">
        <f>Tabel242567891011121314151716181921202223[[#This Row],[Stand Cappucino Plantaardig einde maand]]-Tabel242567891011121314151716181921202223[[#This Row],[Stand Cappucino Plantaardig vorige maand]]</f>
        <v>29</v>
      </c>
      <c r="Z24" s="53">
        <v>1970</v>
      </c>
      <c r="AA24" s="101">
        <v>1875</v>
      </c>
      <c r="AB24" s="52">
        <f>Tabel242567891011121314151716181921202223[[#This Row],[Stand Latte Macchiato Plantaardig einde maand]]-Tabel242567891011121314151716181921202223[[#This Row],[Stand Latte Macchiato Plantaardig vorige maand]]</f>
        <v>95</v>
      </c>
      <c r="AC24" s="3">
        <f>Tabel242567891011121314151716181921202223[[#This Row],[Verbruik Stand Latte Macchiato Plantaardig deze maand]]+Tabel242567891011121314151716181921202223[[#This Row],[Verbruik  Cappucino Plantaardig deze maand]]+Tabel242567891011121314151716181921202223[[#This Row],[Verbruik Cappucino deze maand]]+Tabel242567891011121314151716181921202223[[#This Row],[Verbruik Hot Water deze maand]]+Tabel242567891011121314151716181921202223[[#This Row],[Verbruik Coffee Latte deze maand]]+Tabel242567891011121314151716181921202223[[#This Row],[Verbruik Latte Macchiato deze maand]]+Tabel242567891011121314151716181921202223[[#This Row],[Verbruik Espresso deze maand]]+Tabel242567891011121314151716181921202223[[#This Row],[Verbruik Coffee deze maand]]</f>
        <v>3246</v>
      </c>
      <c r="AD24" s="75"/>
      <c r="AE24" s="5"/>
      <c r="AF24" s="5"/>
      <c r="AG24" s="100"/>
      <c r="AH24" s="5"/>
      <c r="AI24" s="41"/>
      <c r="AJ24" s="5"/>
      <c r="AK24" s="5"/>
      <c r="AL24" s="75"/>
      <c r="AM24" s="41"/>
      <c r="AN24" s="5"/>
      <c r="AO24" s="5"/>
      <c r="AP24" s="75"/>
      <c r="AQ24" s="41"/>
      <c r="AR24" s="5"/>
      <c r="AS24" s="5"/>
      <c r="AT24" s="75"/>
      <c r="AU24" s="41"/>
      <c r="AV24" s="5"/>
      <c r="AW24" s="5"/>
      <c r="AX24" s="79"/>
      <c r="AY24" s="95">
        <f>Tabel242567891011121314151716181921202223[[#This Row],[Subtotaal waterbar in consumpties]]+Tabel242567891011121314151716181921202223[[#This Row],[Subtotaal koffieautomaten]]</f>
        <v>3246</v>
      </c>
    </row>
    <row r="25" spans="1:126" x14ac:dyDescent="0.25">
      <c r="A25" s="53" t="s">
        <v>72</v>
      </c>
      <c r="B25" t="s">
        <v>73</v>
      </c>
      <c r="C25" t="s">
        <v>47</v>
      </c>
      <c r="E25" s="53">
        <v>12280</v>
      </c>
      <c r="F25">
        <v>11794</v>
      </c>
      <c r="G25">
        <f>Tabel242567891011121314151716181921202223[[#This Row],[Stand Coffee einde maand]]-Tabel242567891011121314151716181921202223[[#This Row],[Coffee vorige maand]]</f>
        <v>486</v>
      </c>
      <c r="H25" s="53">
        <v>3880</v>
      </c>
      <c r="I25">
        <v>3739</v>
      </c>
      <c r="J25">
        <f>Tabel242567891011121314151716181921202223[[#This Row],[Stand Espresso Einde maand]]-Tabel242567891011121314151716181921202223[[#This Row],[Espresso vorige maand]]</f>
        <v>141</v>
      </c>
      <c r="K25" s="53">
        <v>1424</v>
      </c>
      <c r="L25">
        <v>1371</v>
      </c>
      <c r="M25">
        <f>Tabel242567891011121314151716181921202223[[#This Row],[Stand Latte Macchiato einde maand]]-Tabel242567891011121314151716181921202223[[#This Row],[Latte Macchiato vorige maand]]</f>
        <v>53</v>
      </c>
      <c r="N25" s="53">
        <v>974</v>
      </c>
      <c r="O25">
        <v>900</v>
      </c>
      <c r="P25">
        <f>Tabel242567891011121314151716181921202223[[#This Row],[Stand Coffee Latte einde maand]]-Tabel242567891011121314151716181921202223[[#This Row],[Coffee Latte vorige maand]]</f>
        <v>74</v>
      </c>
      <c r="Q25" s="53">
        <v>1</v>
      </c>
      <c r="R25">
        <v>1</v>
      </c>
      <c r="S25">
        <f>Tabel242567891011121314151716181921202223[[#This Row],[Stand Hot Water einde maand]]-Tabel242567891011121314151716181921202223[[#This Row],[Hot Water vorige maand]]</f>
        <v>0</v>
      </c>
      <c r="T25" s="53">
        <v>8141</v>
      </c>
      <c r="U25">
        <v>7794</v>
      </c>
      <c r="V25">
        <f>Tabel242567891011121314151716181921202223[[#This Row],[Stand Cappucino einde maand]]-Tabel242567891011121314151716181921202223[[#This Row],[Stand Cappucino vorige maand]]</f>
        <v>347</v>
      </c>
      <c r="W25" s="53">
        <v>1446</v>
      </c>
      <c r="X25">
        <v>1385</v>
      </c>
      <c r="Y25">
        <f>Tabel242567891011121314151716181921202223[[#This Row],[Stand Cappucino Plantaardig einde maand]]-Tabel242567891011121314151716181921202223[[#This Row],[Stand Cappucino Plantaardig vorige maand]]</f>
        <v>61</v>
      </c>
      <c r="Z25" s="53">
        <v>446</v>
      </c>
      <c r="AA25">
        <v>428</v>
      </c>
      <c r="AB25" s="52">
        <f>Tabel242567891011121314151716181921202223[[#This Row],[Stand Latte Macchiato Plantaardig einde maand]]-Tabel242567891011121314151716181921202223[[#This Row],[Stand Latte Macchiato Plantaardig vorige maand]]</f>
        <v>18</v>
      </c>
      <c r="AC25" s="3">
        <f>Tabel242567891011121314151716181921202223[[#This Row],[Verbruik Stand Latte Macchiato Plantaardig deze maand]]+Tabel242567891011121314151716181921202223[[#This Row],[Verbruik  Cappucino Plantaardig deze maand]]+Tabel242567891011121314151716181921202223[[#This Row],[Verbruik Cappucino deze maand]]+Tabel242567891011121314151716181921202223[[#This Row],[Verbruik Hot Water deze maand]]+Tabel242567891011121314151716181921202223[[#This Row],[Verbruik Coffee Latte deze maand]]+Tabel242567891011121314151716181921202223[[#This Row],[Verbruik Latte Macchiato deze maand]]+Tabel242567891011121314151716181921202223[[#This Row],[Verbruik Espresso deze maand]]+Tabel242567891011121314151716181921202223[[#This Row],[Verbruik Coffee deze maand]]</f>
        <v>1180</v>
      </c>
      <c r="AD25" s="53">
        <v>362.9</v>
      </c>
      <c r="AE25">
        <v>338</v>
      </c>
      <c r="AF25">
        <f>Tabel242567891011121314151716181921202223[[#This Row],[Stand Kamertemp liter einde maand]]-Tabel242567891011121314151716181921202223[[#This Row],[Stand Kamertemp liter vorige maand]]</f>
        <v>24.899999999999977</v>
      </c>
      <c r="AG25" s="99">
        <f>Tabel242567891011121314151716181921202223[[#This Row],[Verbruik Kamertemp liter deze maand]]/0.15</f>
        <v>165.99999999999986</v>
      </c>
      <c r="AH25">
        <v>2252.6</v>
      </c>
      <c r="AI25">
        <v>2131.9</v>
      </c>
      <c r="AJ25">
        <f>Tabel242567891011121314151716181921202223[[#This Row],[Stand Gekoeld liter einde maand]]-Tabel242567891011121314151716181921202223[[#This Row],[Stand Gekoeld liter vorige maand]]</f>
        <v>120.69999999999982</v>
      </c>
      <c r="AK25" s="2">
        <f>Tabel242567891011121314151716181921202223[[#This Row],[Verbruik Gekoeld liter deze maand]]/0.15</f>
        <v>804.66666666666549</v>
      </c>
      <c r="AL25" s="53">
        <v>1867.6</v>
      </c>
      <c r="AM25">
        <v>1826.2</v>
      </c>
      <c r="AN25">
        <f>Tabel242567891011121314151716181921202223[[#This Row],[Stand Bruisend liter einde maand]]-Tabel242567891011121314151716181921202223[[#This Row],[Stand Bruisend liter vorige maand]]</f>
        <v>41.399999999999864</v>
      </c>
      <c r="AO25" s="2">
        <f>Tabel242567891011121314151716181921202223[[#This Row],[Verbruik Bruisend liter deze maand]]/0.15</f>
        <v>275.99999999999909</v>
      </c>
      <c r="AP25" s="53">
        <v>569.4</v>
      </c>
      <c r="AQ25">
        <v>550.9</v>
      </c>
      <c r="AR25">
        <f>Tabel242567891011121314151716181921202223[[#This Row],[Stand licht bruisend liter einde maand]]-Tabel242567891011121314151716181921202223[[#This Row],[Stand licht bruisend liter vorige maand]]</f>
        <v>18.5</v>
      </c>
      <c r="AS25" s="2">
        <f>Tabel242567891011121314151716181921202223[[#This Row],[Verbruik licht bruisend liter deze maand]]/0.15</f>
        <v>123.33333333333334</v>
      </c>
      <c r="AT25" s="53">
        <v>3066.6</v>
      </c>
      <c r="AU25">
        <v>2913</v>
      </c>
      <c r="AV25">
        <f>Tabel242567891011121314151716181921202223[[#This Row],[Stand heet water liter einde maand]]-Tabel242567891011121314151716181921202223[[#This Row],[Stand heet water liter vorige maand]]</f>
        <v>153.59999999999991</v>
      </c>
      <c r="AW25" s="2">
        <f>Tabel242567891011121314151716181921202223[[#This Row],[Verbruik heet Water liter deze maand ]]/0.15</f>
        <v>1023.9999999999994</v>
      </c>
      <c r="AX25" s="77">
        <f>Tabel242567891011121314151716181921202223[[#This Row],[Aantal consumpties heet water deze maand]]+Tabel242567891011121314151716181921202223[[#This Row],[Aantal consumpties licht bruisend water deze maand]]+Tabel242567891011121314151716181921202223[[#This Row],[aantal consumpties Bruisend water deze maand]]+Tabel242567891011121314151716181921202223[[#This Row],[Aantal consumpties gekoeld water deze maand]]+Tabel242567891011121314151716181921202223[[#This Row],[Aantal consumpties Kamertemp deze maand]]</f>
        <v>2393.9999999999973</v>
      </c>
      <c r="AY25" s="95">
        <f>Tabel242567891011121314151716181921202223[[#This Row],[Subtotaal waterbar in consumpties]]+Tabel242567891011121314151716181921202223[[#This Row],[Subtotaal koffieautomaten]]</f>
        <v>3573.9999999999973</v>
      </c>
    </row>
    <row r="26" spans="1:126" s="81" customFormat="1" x14ac:dyDescent="0.25">
      <c r="A26" s="89" t="s">
        <v>74</v>
      </c>
      <c r="F26" s="103"/>
      <c r="I26" s="103"/>
      <c r="L26" s="103"/>
      <c r="O26" s="103"/>
      <c r="R26" s="103"/>
      <c r="U26" s="103"/>
      <c r="X26" s="103"/>
      <c r="AA26" s="103"/>
      <c r="AC26" s="104"/>
      <c r="AG26" s="87"/>
      <c r="AK26" s="87"/>
      <c r="AO26" s="87"/>
      <c r="AS26" s="87"/>
      <c r="AW26" s="87"/>
      <c r="AX26" s="105"/>
      <c r="AY26" s="119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</row>
    <row r="27" spans="1:126" x14ac:dyDescent="0.25">
      <c r="A27" s="53" t="s">
        <v>32</v>
      </c>
      <c r="B27" t="s">
        <v>75</v>
      </c>
      <c r="C27" t="s">
        <v>47</v>
      </c>
      <c r="E27" s="53">
        <v>8200</v>
      </c>
      <c r="F27">
        <v>7880</v>
      </c>
      <c r="G27">
        <f>Tabel242567891011121314151716181921202223[[#This Row],[Stand Coffee einde maand]]-Tabel242567891011121314151716181921202223[[#This Row],[Coffee vorige maand]]</f>
        <v>320</v>
      </c>
      <c r="H27" s="53">
        <v>2067</v>
      </c>
      <c r="I27">
        <v>1928</v>
      </c>
      <c r="J27">
        <f>Tabel242567891011121314151716181921202223[[#This Row],[Stand Espresso Einde maand]]-Tabel242567891011121314151716181921202223[[#This Row],[Espresso vorige maand]]</f>
        <v>139</v>
      </c>
      <c r="K27" s="53">
        <v>1712</v>
      </c>
      <c r="L27">
        <v>1677</v>
      </c>
      <c r="M27">
        <f>Tabel242567891011121314151716181921202223[[#This Row],[Stand Latte Macchiato einde maand]]-Tabel242567891011121314151716181921202223[[#This Row],[Latte Macchiato vorige maand]]</f>
        <v>35</v>
      </c>
      <c r="N27" s="53">
        <v>679</v>
      </c>
      <c r="O27">
        <v>650</v>
      </c>
      <c r="P27">
        <f>Tabel242567891011121314151716181921202223[[#This Row],[Stand Coffee Latte einde maand]]-Tabel242567891011121314151716181921202223[[#This Row],[Coffee Latte vorige maand]]</f>
        <v>29</v>
      </c>
      <c r="Q27" s="53">
        <v>1</v>
      </c>
      <c r="R27">
        <v>1</v>
      </c>
      <c r="S27">
        <f>Tabel242567891011121314151716181921202223[[#This Row],[Stand Hot Water einde maand]]-Tabel242567891011121314151716181921202223[[#This Row],[Hot Water vorige maand]]</f>
        <v>0</v>
      </c>
      <c r="T27" s="53">
        <v>5080</v>
      </c>
      <c r="U27">
        <v>4925</v>
      </c>
      <c r="V27">
        <f>Tabel242567891011121314151716181921202223[[#This Row],[Stand Cappucino einde maand]]-Tabel242567891011121314151716181921202223[[#This Row],[Stand Cappucino vorige maand]]</f>
        <v>155</v>
      </c>
      <c r="W27" s="53">
        <v>829</v>
      </c>
      <c r="X27">
        <v>795</v>
      </c>
      <c r="Y27">
        <f>Tabel242567891011121314151716181921202223[[#This Row],[Stand Cappucino Plantaardig einde maand]]-Tabel242567891011121314151716181921202223[[#This Row],[Stand Cappucino Plantaardig vorige maand]]</f>
        <v>34</v>
      </c>
      <c r="Z27" s="53">
        <v>403</v>
      </c>
      <c r="AA27">
        <v>390</v>
      </c>
      <c r="AB27" s="52">
        <f>Tabel242567891011121314151716181921202223[[#This Row],[Stand Latte Macchiato Plantaardig einde maand]]-Tabel242567891011121314151716181921202223[[#This Row],[Stand Latte Macchiato Plantaardig vorige maand]]</f>
        <v>13</v>
      </c>
      <c r="AC27" s="3">
        <f>Tabel242567891011121314151716181921202223[[#This Row],[Verbruik Stand Latte Macchiato Plantaardig deze maand]]+Tabel242567891011121314151716181921202223[[#This Row],[Verbruik  Cappucino Plantaardig deze maand]]+Tabel242567891011121314151716181921202223[[#This Row],[Verbruik Cappucino deze maand]]+Tabel242567891011121314151716181921202223[[#This Row],[Verbruik Hot Water deze maand]]+Tabel242567891011121314151716181921202223[[#This Row],[Verbruik Coffee Latte deze maand]]+Tabel242567891011121314151716181921202223[[#This Row],[Verbruik Latte Macchiato deze maand]]+Tabel242567891011121314151716181921202223[[#This Row],[Verbruik Espresso deze maand]]+Tabel242567891011121314151716181921202223[[#This Row],[Verbruik Coffee deze maand]]</f>
        <v>725</v>
      </c>
      <c r="AD27" s="53">
        <v>209.8</v>
      </c>
      <c r="AE27">
        <v>177.3</v>
      </c>
      <c r="AF27">
        <f>Tabel242567891011121314151716181921202223[[#This Row],[Stand Kamertemp liter einde maand]]-Tabel242567891011121314151716181921202223[[#This Row],[Stand Kamertemp liter vorige maand]]</f>
        <v>32.5</v>
      </c>
      <c r="AG27" s="99">
        <f>Tabel242567891011121314151716181921202223[[#This Row],[Verbruik Kamertemp liter deze maand]]/0.15</f>
        <v>216.66666666666669</v>
      </c>
      <c r="AH27">
        <v>762.6</v>
      </c>
      <c r="AI27">
        <v>705.7</v>
      </c>
      <c r="AJ27">
        <f>Tabel242567891011121314151716181921202223[[#This Row],[Stand Gekoeld liter einde maand]]-Tabel242567891011121314151716181921202223[[#This Row],[Stand Gekoeld liter vorige maand]]</f>
        <v>56.899999999999977</v>
      </c>
      <c r="AK27" s="2">
        <f>Tabel242567891011121314151716181921202223[[#This Row],[Verbruik Gekoeld liter deze maand]]/0.15</f>
        <v>379.3333333333332</v>
      </c>
      <c r="AL27" s="53">
        <v>362.7</v>
      </c>
      <c r="AM27">
        <v>335.2</v>
      </c>
      <c r="AN27">
        <f>Tabel242567891011121314151716181921202223[[#This Row],[Stand Bruisend liter einde maand]]-Tabel242567891011121314151716181921202223[[#This Row],[Stand Bruisend liter vorige maand]]</f>
        <v>27.5</v>
      </c>
      <c r="AO27" s="2">
        <f>Tabel242567891011121314151716181921202223[[#This Row],[Verbruik Bruisend liter deze maand]]/0.15</f>
        <v>183.33333333333334</v>
      </c>
      <c r="AP27" s="53">
        <v>293.5</v>
      </c>
      <c r="AQ27">
        <v>247.4</v>
      </c>
      <c r="AR27">
        <f>Tabel242567891011121314151716181921202223[[#This Row],[Stand licht bruisend liter einde maand]]-Tabel242567891011121314151716181921202223[[#This Row],[Stand licht bruisend liter vorige maand]]</f>
        <v>46.099999999999994</v>
      </c>
      <c r="AS27" s="2">
        <f>Tabel242567891011121314151716181921202223[[#This Row],[Verbruik licht bruisend liter deze maand]]/0.15</f>
        <v>307.33333333333331</v>
      </c>
      <c r="AT27" s="53">
        <v>1973.9</v>
      </c>
      <c r="AU27">
        <v>1744.6</v>
      </c>
      <c r="AV27">
        <f>Tabel242567891011121314151716181921202223[[#This Row],[Stand heet water liter einde maand]]-Tabel242567891011121314151716181921202223[[#This Row],[Stand heet water liter vorige maand]]</f>
        <v>229.30000000000018</v>
      </c>
      <c r="AW27" s="2">
        <f>Tabel242567891011121314151716181921202223[[#This Row],[Verbruik heet Water liter deze maand ]]/0.15</f>
        <v>1528.6666666666679</v>
      </c>
      <c r="AX27" s="77">
        <f>Tabel242567891011121314151716181921202223[[#This Row],[Aantal consumpties heet water deze maand]]+Tabel242567891011121314151716181921202223[[#This Row],[Aantal consumpties licht bruisend water deze maand]]+Tabel242567891011121314151716181921202223[[#This Row],[aantal consumpties Bruisend water deze maand]]+Tabel242567891011121314151716181921202223[[#This Row],[Aantal consumpties gekoeld water deze maand]]+Tabel242567891011121314151716181921202223[[#This Row],[Aantal consumpties Kamertemp deze maand]]</f>
        <v>2615.3333333333339</v>
      </c>
      <c r="AY27" s="95">
        <f>Tabel242567891011121314151716181921202223[[#This Row],[Subtotaal waterbar in consumpties]]+Tabel242567891011121314151716181921202223[[#This Row],[Subtotaal koffieautomaten]]</f>
        <v>3340.3333333333339</v>
      </c>
    </row>
    <row r="28" spans="1:126" x14ac:dyDescent="0.25">
      <c r="A28" s="53" t="s">
        <v>39</v>
      </c>
      <c r="B28" t="s">
        <v>163</v>
      </c>
      <c r="C28" t="s">
        <v>31</v>
      </c>
      <c r="E28" s="53">
        <v>25125</v>
      </c>
      <c r="F28" s="101">
        <v>24502</v>
      </c>
      <c r="G28">
        <f>Tabel242567891011121314151716181921202223[[#This Row],[Stand Coffee einde maand]]-Tabel242567891011121314151716181921202223[[#This Row],[Coffee vorige maand]]</f>
        <v>623</v>
      </c>
      <c r="H28" s="53">
        <v>6137</v>
      </c>
      <c r="I28" s="101">
        <v>5979</v>
      </c>
      <c r="J28">
        <f>Tabel242567891011121314151716181921202223[[#This Row],[Stand Espresso Einde maand]]-Tabel242567891011121314151716181921202223[[#This Row],[Espresso vorige maand]]</f>
        <v>158</v>
      </c>
      <c r="K28" s="53">
        <v>3003</v>
      </c>
      <c r="L28" s="101">
        <v>2927</v>
      </c>
      <c r="M28">
        <f>Tabel242567891011121314151716181921202223[[#This Row],[Stand Latte Macchiato einde maand]]-Tabel242567891011121314151716181921202223[[#This Row],[Latte Macchiato vorige maand]]</f>
        <v>76</v>
      </c>
      <c r="N28" s="53">
        <v>1262</v>
      </c>
      <c r="O28" s="101">
        <v>1225</v>
      </c>
      <c r="P28">
        <f>Tabel242567891011121314151716181921202223[[#This Row],[Stand Coffee Latte einde maand]]-Tabel242567891011121314151716181921202223[[#This Row],[Coffee Latte vorige maand]]</f>
        <v>37</v>
      </c>
      <c r="Q28" s="53">
        <v>21109</v>
      </c>
      <c r="R28" s="101">
        <v>20331</v>
      </c>
      <c r="S28">
        <f>Tabel242567891011121314151716181921202223[[#This Row],[Stand Hot Water einde maand]]-Tabel242567891011121314151716181921202223[[#This Row],[Hot Water vorige maand]]</f>
        <v>778</v>
      </c>
      <c r="T28" s="53">
        <v>17428</v>
      </c>
      <c r="U28" s="101">
        <v>16917</v>
      </c>
      <c r="V28">
        <f>Tabel242567891011121314151716181921202223[[#This Row],[Stand Cappucino einde maand]]-Tabel242567891011121314151716181921202223[[#This Row],[Stand Cappucino vorige maand]]</f>
        <v>511</v>
      </c>
      <c r="W28" s="53">
        <v>2121</v>
      </c>
      <c r="X28" s="101">
        <v>2088</v>
      </c>
      <c r="Y28">
        <f>Tabel242567891011121314151716181921202223[[#This Row],[Stand Cappucino Plantaardig einde maand]]-Tabel242567891011121314151716181921202223[[#This Row],[Stand Cappucino Plantaardig vorige maand]]</f>
        <v>33</v>
      </c>
      <c r="Z28" s="53">
        <v>663</v>
      </c>
      <c r="AA28" s="101">
        <v>638</v>
      </c>
      <c r="AB28" s="52">
        <f>Tabel242567891011121314151716181921202223[[#This Row],[Stand Latte Macchiato Plantaardig einde maand]]-Tabel242567891011121314151716181921202223[[#This Row],[Stand Latte Macchiato Plantaardig vorige maand]]</f>
        <v>25</v>
      </c>
      <c r="AC28" s="3">
        <f>Tabel242567891011121314151716181921202223[[#This Row],[Verbruik Stand Latte Macchiato Plantaardig deze maand]]+Tabel242567891011121314151716181921202223[[#This Row],[Verbruik  Cappucino Plantaardig deze maand]]+Tabel242567891011121314151716181921202223[[#This Row],[Verbruik Cappucino deze maand]]+Tabel242567891011121314151716181921202223[[#This Row],[Verbruik Hot Water deze maand]]+Tabel242567891011121314151716181921202223[[#This Row],[Verbruik Coffee Latte deze maand]]+Tabel242567891011121314151716181921202223[[#This Row],[Verbruik Latte Macchiato deze maand]]+Tabel242567891011121314151716181921202223[[#This Row],[Verbruik Espresso deze maand]]+Tabel242567891011121314151716181921202223[[#This Row],[Verbruik Coffee deze maand]]</f>
        <v>2241</v>
      </c>
      <c r="AD28" s="75"/>
      <c r="AE28" s="5"/>
      <c r="AF28" s="5"/>
      <c r="AG28" s="100"/>
      <c r="AH28" s="5"/>
      <c r="AI28" s="41"/>
      <c r="AJ28" s="5"/>
      <c r="AK28" s="5"/>
      <c r="AL28" s="75"/>
      <c r="AM28" s="41"/>
      <c r="AN28" s="5"/>
      <c r="AO28" s="5"/>
      <c r="AP28" s="75"/>
      <c r="AQ28" s="41"/>
      <c r="AR28" s="5"/>
      <c r="AS28" s="5"/>
      <c r="AT28" s="75"/>
      <c r="AU28" s="41"/>
      <c r="AV28" s="5"/>
      <c r="AW28" s="5"/>
      <c r="AX28" s="79"/>
      <c r="AY28" s="95">
        <f>Tabel242567891011121314151716181921202223[[#This Row],[Subtotaal waterbar in consumpties]]+Tabel242567891011121314151716181921202223[[#This Row],[Subtotaal koffieautomaten]]</f>
        <v>2241</v>
      </c>
    </row>
    <row r="29" spans="1:126" x14ac:dyDescent="0.25">
      <c r="A29" s="53" t="s">
        <v>39</v>
      </c>
      <c r="B29" t="s">
        <v>77</v>
      </c>
      <c r="C29" t="s">
        <v>36</v>
      </c>
      <c r="E29" s="54"/>
      <c r="F29" s="46"/>
      <c r="G29" s="47"/>
      <c r="H29" s="54"/>
      <c r="I29" s="46"/>
      <c r="J29" s="47"/>
      <c r="K29" s="54"/>
      <c r="L29" s="46"/>
      <c r="M29" s="47"/>
      <c r="N29" s="54"/>
      <c r="O29" s="46"/>
      <c r="P29" s="47"/>
      <c r="Q29" s="54"/>
      <c r="R29" s="46"/>
      <c r="S29" s="47"/>
      <c r="T29" s="54"/>
      <c r="U29" s="46"/>
      <c r="V29" s="47"/>
      <c r="W29" s="54"/>
      <c r="X29" s="46"/>
      <c r="Y29" s="47"/>
      <c r="Z29" s="54"/>
      <c r="AA29" s="46"/>
      <c r="AB29" s="109"/>
      <c r="AC29" s="47"/>
      <c r="AD29" s="53">
        <v>168.5</v>
      </c>
      <c r="AE29">
        <v>137</v>
      </c>
      <c r="AF29">
        <f>Tabel242567891011121314151716181921202223[[#This Row],[Stand Kamertemp liter einde maand]]-Tabel242567891011121314151716181921202223[[#This Row],[Stand Kamertemp liter vorige maand]]</f>
        <v>31.5</v>
      </c>
      <c r="AG29" s="99">
        <f>Tabel242567891011121314151716181921202223[[#This Row],[Verbruik Kamertemp liter deze maand]]/0.15</f>
        <v>210</v>
      </c>
      <c r="AH29">
        <v>1626.6</v>
      </c>
      <c r="AI29">
        <v>1484.1</v>
      </c>
      <c r="AJ29">
        <f>Tabel242567891011121314151716181921202223[[#This Row],[Stand Gekoeld liter einde maand]]-Tabel242567891011121314151716181921202223[[#This Row],[Stand Gekoeld liter vorige maand]]</f>
        <v>142.5</v>
      </c>
      <c r="AK29" s="2">
        <f>Tabel242567891011121314151716181921202223[[#This Row],[Verbruik Gekoeld liter deze maand]]/0.15</f>
        <v>950</v>
      </c>
      <c r="AL29" s="53">
        <v>1143.0999999999999</v>
      </c>
      <c r="AM29">
        <v>1066.5999999999999</v>
      </c>
      <c r="AN29">
        <f>Tabel242567891011121314151716181921202223[[#This Row],[Stand Bruisend liter einde maand]]-Tabel242567891011121314151716181921202223[[#This Row],[Stand Bruisend liter vorige maand]]</f>
        <v>76.5</v>
      </c>
      <c r="AO29" s="2">
        <f>Tabel242567891011121314151716181921202223[[#This Row],[Verbruik Bruisend liter deze maand]]/0.15</f>
        <v>510</v>
      </c>
      <c r="AP29" s="53">
        <v>320.89999999999998</v>
      </c>
      <c r="AQ29">
        <v>295.10000000000002</v>
      </c>
      <c r="AR29">
        <f>Tabel242567891011121314151716181921202223[[#This Row],[Stand licht bruisend liter einde maand]]-Tabel242567891011121314151716181921202223[[#This Row],[Stand licht bruisend liter vorige maand]]</f>
        <v>25.799999999999955</v>
      </c>
      <c r="AS29" s="2">
        <f>Tabel242567891011121314151716181921202223[[#This Row],[Verbruik licht bruisend liter deze maand]]/0.15</f>
        <v>171.99999999999972</v>
      </c>
      <c r="AT29" s="53">
        <v>941.5</v>
      </c>
      <c r="AU29">
        <v>839.6</v>
      </c>
      <c r="AV29">
        <f>Tabel242567891011121314151716181921202223[[#This Row],[Stand heet water liter einde maand]]-Tabel242567891011121314151716181921202223[[#This Row],[Stand heet water liter vorige maand]]</f>
        <v>101.89999999999998</v>
      </c>
      <c r="AW29" s="2">
        <f>Tabel242567891011121314151716181921202223[[#This Row],[Verbruik heet Water liter deze maand ]]/0.15</f>
        <v>679.33333333333326</v>
      </c>
      <c r="AX29" s="77">
        <f>Tabel242567891011121314151716181921202223[[#This Row],[Aantal consumpties heet water deze maand]]+Tabel242567891011121314151716181921202223[[#This Row],[Aantal consumpties licht bruisend water deze maand]]+Tabel242567891011121314151716181921202223[[#This Row],[aantal consumpties Bruisend water deze maand]]+Tabel242567891011121314151716181921202223[[#This Row],[Aantal consumpties gekoeld water deze maand]]+Tabel242567891011121314151716181921202223[[#This Row],[Aantal consumpties Kamertemp deze maand]]</f>
        <v>2521.333333333333</v>
      </c>
      <c r="AY29" s="95">
        <f>Tabel242567891011121314151716181921202223[[#This Row],[Subtotaal waterbar in consumpties]]+Tabel242567891011121314151716181921202223[[#This Row],[Subtotaal koffieautomaten]]</f>
        <v>2521.333333333333</v>
      </c>
    </row>
    <row r="30" spans="1:126" x14ac:dyDescent="0.25">
      <c r="A30" s="53" t="s">
        <v>41</v>
      </c>
      <c r="B30" t="s">
        <v>78</v>
      </c>
      <c r="C30" t="s">
        <v>47</v>
      </c>
      <c r="E30" s="53">
        <v>5760</v>
      </c>
      <c r="F30" s="101">
        <v>5556</v>
      </c>
      <c r="G30">
        <f>Tabel242567891011121314151716181921202223[[#This Row],[Stand Coffee einde maand]]-Tabel242567891011121314151716181921202223[[#This Row],[Coffee vorige maand]]</f>
        <v>204</v>
      </c>
      <c r="H30" s="53">
        <v>2055</v>
      </c>
      <c r="I30" s="101">
        <v>2031</v>
      </c>
      <c r="J30">
        <f>Tabel242567891011121314151716181921202223[[#This Row],[Stand Espresso Einde maand]]-Tabel242567891011121314151716181921202223[[#This Row],[Espresso vorige maand]]</f>
        <v>24</v>
      </c>
      <c r="K30" s="53">
        <v>451</v>
      </c>
      <c r="L30" s="101">
        <v>432</v>
      </c>
      <c r="M30">
        <f>Tabel242567891011121314151716181921202223[[#This Row],[Stand Latte Macchiato einde maand]]-Tabel242567891011121314151716181921202223[[#This Row],[Latte Macchiato vorige maand]]</f>
        <v>19</v>
      </c>
      <c r="N30" s="53">
        <v>333</v>
      </c>
      <c r="O30" s="101">
        <v>316</v>
      </c>
      <c r="P30">
        <f>Tabel242567891011121314151716181921202223[[#This Row],[Stand Coffee Latte einde maand]]-Tabel242567891011121314151716181921202223[[#This Row],[Coffee Latte vorige maand]]</f>
        <v>17</v>
      </c>
      <c r="Q30" s="53">
        <v>1</v>
      </c>
      <c r="R30" s="101">
        <v>1</v>
      </c>
      <c r="S30">
        <f>Tabel242567891011121314151716181921202223[[#This Row],[Stand Hot Water einde maand]]-Tabel242567891011121314151716181921202223[[#This Row],[Hot Water vorige maand]]</f>
        <v>0</v>
      </c>
      <c r="T30" s="53">
        <v>2710</v>
      </c>
      <c r="U30" s="101">
        <v>2660</v>
      </c>
      <c r="V30">
        <f>Tabel242567891011121314151716181921202223[[#This Row],[Stand Cappucino einde maand]]-Tabel242567891011121314151716181921202223[[#This Row],[Stand Cappucino vorige maand]]</f>
        <v>50</v>
      </c>
      <c r="W30" s="53">
        <v>1427</v>
      </c>
      <c r="X30" s="101">
        <v>1404</v>
      </c>
      <c r="Y30">
        <f>Tabel242567891011121314151716181921202223[[#This Row],[Stand Cappucino Plantaardig einde maand]]-Tabel242567891011121314151716181921202223[[#This Row],[Stand Cappucino Plantaardig vorige maand]]</f>
        <v>23</v>
      </c>
      <c r="Z30" s="53">
        <v>995</v>
      </c>
      <c r="AA30" s="101">
        <v>949</v>
      </c>
      <c r="AB30" s="52">
        <f>Tabel242567891011121314151716181921202223[[#This Row],[Stand Latte Macchiato Plantaardig einde maand]]-Tabel242567891011121314151716181921202223[[#This Row],[Stand Latte Macchiato Plantaardig vorige maand]]</f>
        <v>46</v>
      </c>
      <c r="AC30" s="3">
        <f>Tabel242567891011121314151716181921202223[[#This Row],[Verbruik Stand Latte Macchiato Plantaardig deze maand]]+Tabel242567891011121314151716181921202223[[#This Row],[Verbruik  Cappucino Plantaardig deze maand]]+Tabel242567891011121314151716181921202223[[#This Row],[Verbruik Cappucino deze maand]]+Tabel242567891011121314151716181921202223[[#This Row],[Verbruik Hot Water deze maand]]+Tabel242567891011121314151716181921202223[[#This Row],[Verbruik Coffee Latte deze maand]]+Tabel242567891011121314151716181921202223[[#This Row],[Verbruik Latte Macchiato deze maand]]+Tabel242567891011121314151716181921202223[[#This Row],[Verbruik Espresso deze maand]]+Tabel242567891011121314151716181921202223[[#This Row],[Verbruik Coffee deze maand]]</f>
        <v>383</v>
      </c>
      <c r="AD30" s="53">
        <v>141.6</v>
      </c>
      <c r="AE30">
        <v>118.8</v>
      </c>
      <c r="AF30">
        <f>Tabel242567891011121314151716181921202223[[#This Row],[Stand Kamertemp liter einde maand]]-Tabel242567891011121314151716181921202223[[#This Row],[Stand Kamertemp liter vorige maand]]</f>
        <v>22.799999999999997</v>
      </c>
      <c r="AG30" s="99">
        <f>Tabel242567891011121314151716181921202223[[#This Row],[Verbruik Kamertemp liter deze maand]]/0.15</f>
        <v>152</v>
      </c>
      <c r="AH30">
        <v>1003.6</v>
      </c>
      <c r="AI30">
        <v>932.2</v>
      </c>
      <c r="AJ30">
        <f>Tabel242567891011121314151716181921202223[[#This Row],[Stand Gekoeld liter einde maand]]-Tabel242567891011121314151716181921202223[[#This Row],[Stand Gekoeld liter vorige maand]]</f>
        <v>71.399999999999977</v>
      </c>
      <c r="AK30" s="2">
        <f>Tabel242567891011121314151716181921202223[[#This Row],[Verbruik Gekoeld liter deze maand]]/0.15</f>
        <v>475.99999999999989</v>
      </c>
      <c r="AL30" s="53">
        <v>666.5</v>
      </c>
      <c r="AM30">
        <v>626</v>
      </c>
      <c r="AN30">
        <f>Tabel242567891011121314151716181921202223[[#This Row],[Stand Bruisend liter einde maand]]-Tabel242567891011121314151716181921202223[[#This Row],[Stand Bruisend liter vorige maand]]</f>
        <v>40.5</v>
      </c>
      <c r="AO30" s="2">
        <f>Tabel242567891011121314151716181921202223[[#This Row],[Verbruik Bruisend liter deze maand]]/0.15</f>
        <v>270</v>
      </c>
      <c r="AP30" s="53">
        <v>521.9</v>
      </c>
      <c r="AQ30">
        <v>484.7</v>
      </c>
      <c r="AR30">
        <f>Tabel242567891011121314151716181921202223[[#This Row],[Stand licht bruisend liter einde maand]]-Tabel242567891011121314151716181921202223[[#This Row],[Stand licht bruisend liter vorige maand]]</f>
        <v>37.199999999999989</v>
      </c>
      <c r="AS30" s="2">
        <f>Tabel242567891011121314151716181921202223[[#This Row],[Verbruik licht bruisend liter deze maand]]/0.15</f>
        <v>247.99999999999994</v>
      </c>
      <c r="AT30" s="53">
        <v>3013.3</v>
      </c>
      <c r="AU30">
        <v>2664.8</v>
      </c>
      <c r="AV30">
        <f>Tabel242567891011121314151716181921202223[[#This Row],[Stand heet water liter einde maand]]-Tabel242567891011121314151716181921202223[[#This Row],[Stand heet water liter vorige maand]]</f>
        <v>348.5</v>
      </c>
      <c r="AW30" s="2">
        <f>Tabel242567891011121314151716181921202223[[#This Row],[Verbruik heet Water liter deze maand ]]/0.15</f>
        <v>2323.3333333333335</v>
      </c>
      <c r="AX30" s="77">
        <f>Tabel242567891011121314151716181921202223[[#This Row],[Aantal consumpties heet water deze maand]]+Tabel242567891011121314151716181921202223[[#This Row],[Aantal consumpties licht bruisend water deze maand]]+Tabel242567891011121314151716181921202223[[#This Row],[aantal consumpties Bruisend water deze maand]]+Tabel242567891011121314151716181921202223[[#This Row],[Aantal consumpties gekoeld water deze maand]]+Tabel242567891011121314151716181921202223[[#This Row],[Aantal consumpties Kamertemp deze maand]]</f>
        <v>3469.3333333333335</v>
      </c>
      <c r="AY30" s="95">
        <f>Tabel242567891011121314151716181921202223[[#This Row],[Subtotaal waterbar in consumpties]]+Tabel242567891011121314151716181921202223[[#This Row],[Subtotaal koffieautomaten]]</f>
        <v>3852.3333333333335</v>
      </c>
    </row>
    <row r="31" spans="1:126" x14ac:dyDescent="0.25">
      <c r="A31" s="53" t="s">
        <v>43</v>
      </c>
      <c r="B31" t="s">
        <v>79</v>
      </c>
      <c r="C31" t="s">
        <v>31</v>
      </c>
      <c r="E31" s="53">
        <v>10835</v>
      </c>
      <c r="F31">
        <v>10383</v>
      </c>
      <c r="G31">
        <f>Tabel242567891011121314151716181921202223[[#This Row],[Stand Coffee einde maand]]-Tabel242567891011121314151716181921202223[[#This Row],[Coffee vorige maand]]</f>
        <v>452</v>
      </c>
      <c r="H31" s="53">
        <v>3996</v>
      </c>
      <c r="I31">
        <v>3730</v>
      </c>
      <c r="J31">
        <f>Tabel242567891011121314151716181921202223[[#This Row],[Stand Espresso Einde maand]]-Tabel242567891011121314151716181921202223[[#This Row],[Espresso vorige maand]]</f>
        <v>266</v>
      </c>
      <c r="K31" s="53">
        <v>677</v>
      </c>
      <c r="L31">
        <v>622</v>
      </c>
      <c r="M31">
        <f>Tabel242567891011121314151716181921202223[[#This Row],[Stand Latte Macchiato einde maand]]-Tabel242567891011121314151716181921202223[[#This Row],[Latte Macchiato vorige maand]]</f>
        <v>55</v>
      </c>
      <c r="N31" s="53">
        <v>142</v>
      </c>
      <c r="O31">
        <v>139</v>
      </c>
      <c r="P31">
        <f>Tabel242567891011121314151716181921202223[[#This Row],[Stand Coffee Latte einde maand]]-Tabel242567891011121314151716181921202223[[#This Row],[Coffee Latte vorige maand]]</f>
        <v>3</v>
      </c>
      <c r="Q31" s="53">
        <v>9446</v>
      </c>
      <c r="R31">
        <v>8953</v>
      </c>
      <c r="S31">
        <f>Tabel242567891011121314151716181921202223[[#This Row],[Stand Hot Water einde maand]]-Tabel242567891011121314151716181921202223[[#This Row],[Hot Water vorige maand]]</f>
        <v>493</v>
      </c>
      <c r="T31" s="53">
        <v>5566</v>
      </c>
      <c r="U31">
        <v>5190</v>
      </c>
      <c r="V31">
        <f>Tabel242567891011121314151716181921202223[[#This Row],[Stand Cappucino einde maand]]-Tabel242567891011121314151716181921202223[[#This Row],[Stand Cappucino vorige maand]]</f>
        <v>376</v>
      </c>
      <c r="W31" s="53">
        <v>393</v>
      </c>
      <c r="X31">
        <v>372</v>
      </c>
      <c r="Y31">
        <f>Tabel242567891011121314151716181921202223[[#This Row],[Stand Cappucino Plantaardig einde maand]]-Tabel242567891011121314151716181921202223[[#This Row],[Stand Cappucino Plantaardig vorige maand]]</f>
        <v>21</v>
      </c>
      <c r="Z31" s="53">
        <v>98</v>
      </c>
      <c r="AA31">
        <v>90</v>
      </c>
      <c r="AB31" s="52">
        <f>Tabel242567891011121314151716181921202223[[#This Row],[Stand Latte Macchiato Plantaardig einde maand]]-Tabel242567891011121314151716181921202223[[#This Row],[Stand Latte Macchiato Plantaardig vorige maand]]</f>
        <v>8</v>
      </c>
      <c r="AC31" s="3">
        <f>Tabel242567891011121314151716181921202223[[#This Row],[Verbruik Stand Latte Macchiato Plantaardig deze maand]]+Tabel242567891011121314151716181921202223[[#This Row],[Verbruik  Cappucino Plantaardig deze maand]]+Tabel242567891011121314151716181921202223[[#This Row],[Verbruik Cappucino deze maand]]+Tabel242567891011121314151716181921202223[[#This Row],[Verbruik Hot Water deze maand]]+Tabel242567891011121314151716181921202223[[#This Row],[Verbruik Coffee Latte deze maand]]+Tabel242567891011121314151716181921202223[[#This Row],[Verbruik Latte Macchiato deze maand]]+Tabel242567891011121314151716181921202223[[#This Row],[Verbruik Espresso deze maand]]+Tabel242567891011121314151716181921202223[[#This Row],[Verbruik Coffee deze maand]]</f>
        <v>1674</v>
      </c>
      <c r="AD31" s="75"/>
      <c r="AE31" s="5"/>
      <c r="AF31" s="5"/>
      <c r="AG31" s="100"/>
      <c r="AH31" s="5"/>
      <c r="AI31" s="41"/>
      <c r="AJ31" s="5"/>
      <c r="AK31" s="5"/>
      <c r="AL31" s="75"/>
      <c r="AM31" s="41"/>
      <c r="AN31" s="5"/>
      <c r="AO31" s="5"/>
      <c r="AP31" s="75"/>
      <c r="AQ31" s="41"/>
      <c r="AR31" s="5"/>
      <c r="AS31" s="5"/>
      <c r="AT31" s="75"/>
      <c r="AU31" s="41"/>
      <c r="AV31" s="5"/>
      <c r="AW31" s="5"/>
      <c r="AX31" s="79"/>
      <c r="AY31" s="95">
        <f>Tabel242567891011121314151716181921202223[[#This Row],[Subtotaal waterbar in consumpties]]+Tabel242567891011121314151716181921202223[[#This Row],[Subtotaal koffieautomaten]]</f>
        <v>1674</v>
      </c>
    </row>
    <row r="32" spans="1:126" x14ac:dyDescent="0.25">
      <c r="A32" s="53" t="s">
        <v>45</v>
      </c>
      <c r="B32" t="s">
        <v>80</v>
      </c>
      <c r="C32" t="s">
        <v>36</v>
      </c>
      <c r="E32" s="54"/>
      <c r="F32" s="46"/>
      <c r="G32" s="47"/>
      <c r="H32" s="54"/>
      <c r="I32" s="46"/>
      <c r="J32" s="47"/>
      <c r="K32" s="54"/>
      <c r="L32" s="46"/>
      <c r="M32" s="47"/>
      <c r="N32" s="54"/>
      <c r="O32" s="46"/>
      <c r="P32" s="47"/>
      <c r="Q32" s="54"/>
      <c r="R32" s="46"/>
      <c r="S32" s="47"/>
      <c r="T32" s="54"/>
      <c r="U32" s="46"/>
      <c r="V32" s="47"/>
      <c r="W32" s="54"/>
      <c r="X32" s="46"/>
      <c r="Y32" s="47"/>
      <c r="Z32" s="54"/>
      <c r="AA32" s="46"/>
      <c r="AB32" s="109"/>
      <c r="AC32" s="47"/>
      <c r="AD32" s="53">
        <v>25.2</v>
      </c>
      <c r="AE32">
        <v>10.5</v>
      </c>
      <c r="AF32">
        <f>Tabel242567891011121314151716181921202223[[#This Row],[Stand Kamertemp liter einde maand]]-Tabel242567891011121314151716181921202223[[#This Row],[Stand Kamertemp liter vorige maand]]</f>
        <v>14.7</v>
      </c>
      <c r="AG32" s="99">
        <f>Tabel242567891011121314151716181921202223[[#This Row],[Verbruik Kamertemp liter deze maand]]/0.15</f>
        <v>98</v>
      </c>
      <c r="AH32">
        <v>102.8</v>
      </c>
      <c r="AI32">
        <v>62</v>
      </c>
      <c r="AJ32">
        <f>Tabel242567891011121314151716181921202223[[#This Row],[Stand Gekoeld liter einde maand]]-Tabel242567891011121314151716181921202223[[#This Row],[Stand Gekoeld liter vorige maand]]</f>
        <v>40.799999999999997</v>
      </c>
      <c r="AK32" s="2">
        <f>Tabel242567891011121314151716181921202223[[#This Row],[Verbruik Gekoeld liter deze maand]]/0.15</f>
        <v>272</v>
      </c>
      <c r="AL32" s="53">
        <v>79.099999999999994</v>
      </c>
      <c r="AM32">
        <v>49.8</v>
      </c>
      <c r="AN32">
        <f>Tabel242567891011121314151716181921202223[[#This Row],[Stand Bruisend liter einde maand]]-Tabel242567891011121314151716181921202223[[#This Row],[Stand Bruisend liter vorige maand]]</f>
        <v>29.299999999999997</v>
      </c>
      <c r="AO32" s="2">
        <f>Tabel242567891011121314151716181921202223[[#This Row],[Verbruik Bruisend liter deze maand]]/0.15</f>
        <v>195.33333333333331</v>
      </c>
      <c r="AP32" s="53">
        <v>17</v>
      </c>
      <c r="AQ32">
        <v>3.8</v>
      </c>
      <c r="AR32">
        <f>Tabel242567891011121314151716181921202223[[#This Row],[Stand licht bruisend liter einde maand]]-Tabel242567891011121314151716181921202223[[#This Row],[Stand licht bruisend liter vorige maand]]</f>
        <v>13.2</v>
      </c>
      <c r="AS32" s="2">
        <f>Tabel242567891011121314151716181921202223[[#This Row],[Verbruik licht bruisend liter deze maand]]/0.15</f>
        <v>88</v>
      </c>
      <c r="AT32" s="53">
        <v>471.6</v>
      </c>
      <c r="AU32">
        <v>273</v>
      </c>
      <c r="AV32">
        <f>Tabel242567891011121314151716181921202223[[#This Row],[Stand heet water liter einde maand]]-Tabel242567891011121314151716181921202223[[#This Row],[Stand heet water liter vorige maand]]</f>
        <v>198.60000000000002</v>
      </c>
      <c r="AW32" s="2">
        <f>Tabel242567891011121314151716181921202223[[#This Row],[Verbruik heet Water liter deze maand ]]/0.15</f>
        <v>1324.0000000000002</v>
      </c>
      <c r="AX32" s="77">
        <f>Tabel242567891011121314151716181921202223[[#This Row],[Aantal consumpties heet water deze maand]]+Tabel242567891011121314151716181921202223[[#This Row],[Aantal consumpties licht bruisend water deze maand]]+Tabel242567891011121314151716181921202223[[#This Row],[aantal consumpties Bruisend water deze maand]]+Tabel242567891011121314151716181921202223[[#This Row],[Aantal consumpties gekoeld water deze maand]]+Tabel242567891011121314151716181921202223[[#This Row],[Aantal consumpties Kamertemp deze maand]]</f>
        <v>1977.3333333333335</v>
      </c>
      <c r="AY32" s="95">
        <f>Tabel242567891011121314151716181921202223[[#This Row],[Subtotaal waterbar in consumpties]]+Tabel242567891011121314151716181921202223[[#This Row],[Subtotaal koffieautomaten]]</f>
        <v>1977.3333333333335</v>
      </c>
    </row>
    <row r="33" spans="1:126" x14ac:dyDescent="0.25">
      <c r="A33" s="53" t="s">
        <v>48</v>
      </c>
      <c r="B33" t="s">
        <v>81</v>
      </c>
      <c r="C33" t="s">
        <v>31</v>
      </c>
      <c r="E33" s="53">
        <v>9844</v>
      </c>
      <c r="F33">
        <v>9378</v>
      </c>
      <c r="G33">
        <f>Tabel242567891011121314151716181921202223[[#This Row],[Stand Coffee einde maand]]-Tabel242567891011121314151716181921202223[[#This Row],[Coffee vorige maand]]</f>
        <v>466</v>
      </c>
      <c r="H33" s="53">
        <v>448</v>
      </c>
      <c r="I33">
        <v>428</v>
      </c>
      <c r="J33">
        <f>Tabel242567891011121314151716181921202223[[#This Row],[Stand Espresso Einde maand]]-Tabel242567891011121314151716181921202223[[#This Row],[Espresso vorige maand]]</f>
        <v>20</v>
      </c>
      <c r="K33" s="53">
        <v>676</v>
      </c>
      <c r="L33">
        <v>645</v>
      </c>
      <c r="M33">
        <f>Tabel242567891011121314151716181921202223[[#This Row],[Stand Latte Macchiato einde maand]]-Tabel242567891011121314151716181921202223[[#This Row],[Latte Macchiato vorige maand]]</f>
        <v>31</v>
      </c>
      <c r="N33" s="53">
        <v>394</v>
      </c>
      <c r="O33">
        <v>388</v>
      </c>
      <c r="P33">
        <f>Tabel242567891011121314151716181921202223[[#This Row],[Stand Coffee Latte einde maand]]-Tabel242567891011121314151716181921202223[[#This Row],[Coffee Latte vorige maand]]</f>
        <v>6</v>
      </c>
      <c r="Q33" s="53">
        <v>22053</v>
      </c>
      <c r="R33">
        <v>21000</v>
      </c>
      <c r="S33">
        <f>Tabel242567891011121314151716181921202223[[#This Row],[Stand Hot Water einde maand]]-Tabel242567891011121314151716181921202223[[#This Row],[Hot Water vorige maand]]</f>
        <v>1053</v>
      </c>
      <c r="T33" s="53">
        <v>3697</v>
      </c>
      <c r="U33">
        <v>3554</v>
      </c>
      <c r="V33">
        <f>Tabel242567891011121314151716181921202223[[#This Row],[Stand Cappucino einde maand]]-Tabel242567891011121314151716181921202223[[#This Row],[Stand Cappucino vorige maand]]</f>
        <v>143</v>
      </c>
      <c r="W33" s="53">
        <v>372</v>
      </c>
      <c r="X33">
        <v>360</v>
      </c>
      <c r="Y33">
        <f>Tabel242567891011121314151716181921202223[[#This Row],[Stand Cappucino Plantaardig einde maand]]-Tabel242567891011121314151716181921202223[[#This Row],[Stand Cappucino Plantaardig vorige maand]]</f>
        <v>12</v>
      </c>
      <c r="Z33" s="53">
        <v>63</v>
      </c>
      <c r="AA33">
        <v>63</v>
      </c>
      <c r="AB33" s="52">
        <f>Tabel242567891011121314151716181921202223[[#This Row],[Stand Latte Macchiato Plantaardig einde maand]]-Tabel242567891011121314151716181921202223[[#This Row],[Stand Latte Macchiato Plantaardig vorige maand]]</f>
        <v>0</v>
      </c>
      <c r="AC33" s="3">
        <f>Tabel242567891011121314151716181921202223[[#This Row],[Verbruik Stand Latte Macchiato Plantaardig deze maand]]+Tabel242567891011121314151716181921202223[[#This Row],[Verbruik  Cappucino Plantaardig deze maand]]+Tabel242567891011121314151716181921202223[[#This Row],[Verbruik Cappucino deze maand]]+Tabel242567891011121314151716181921202223[[#This Row],[Verbruik Hot Water deze maand]]+Tabel242567891011121314151716181921202223[[#This Row],[Verbruik Coffee Latte deze maand]]+Tabel242567891011121314151716181921202223[[#This Row],[Verbruik Latte Macchiato deze maand]]+Tabel242567891011121314151716181921202223[[#This Row],[Verbruik Espresso deze maand]]+Tabel242567891011121314151716181921202223[[#This Row],[Verbruik Coffee deze maand]]</f>
        <v>1731</v>
      </c>
      <c r="AD33" s="75"/>
      <c r="AE33" s="5"/>
      <c r="AF33" s="5"/>
      <c r="AG33" s="100"/>
      <c r="AH33" s="5"/>
      <c r="AI33" s="41"/>
      <c r="AJ33" s="5"/>
      <c r="AK33" s="5"/>
      <c r="AL33" s="75"/>
      <c r="AM33" s="41"/>
      <c r="AN33" s="5"/>
      <c r="AO33" s="5"/>
      <c r="AP33" s="75"/>
      <c r="AQ33" s="41"/>
      <c r="AR33" s="5"/>
      <c r="AS33" s="5"/>
      <c r="AT33" s="75"/>
      <c r="AU33" s="41"/>
      <c r="AV33" s="5"/>
      <c r="AW33" s="5"/>
      <c r="AX33" s="79"/>
      <c r="AY33" s="95">
        <f>Tabel242567891011121314151716181921202223[[#This Row],[Subtotaal waterbar in consumpties]]+Tabel242567891011121314151716181921202223[[#This Row],[Subtotaal koffieautomaten]]</f>
        <v>1731</v>
      </c>
    </row>
    <row r="34" spans="1:126" x14ac:dyDescent="0.25">
      <c r="A34" s="53" t="s">
        <v>50</v>
      </c>
      <c r="B34" t="s">
        <v>82</v>
      </c>
      <c r="C34" t="s">
        <v>47</v>
      </c>
      <c r="E34" s="53">
        <v>7065</v>
      </c>
      <c r="F34" s="101">
        <v>6708</v>
      </c>
      <c r="G34">
        <f>Tabel242567891011121314151716181921202223[[#This Row],[Stand Coffee einde maand]]-Tabel242567891011121314151716181921202223[[#This Row],[Coffee vorige maand]]</f>
        <v>357</v>
      </c>
      <c r="H34" s="53">
        <v>1242</v>
      </c>
      <c r="I34" s="101">
        <v>1155</v>
      </c>
      <c r="J34">
        <f>Tabel242567891011121314151716181921202223[[#This Row],[Stand Espresso Einde maand]]-Tabel242567891011121314151716181921202223[[#This Row],[Espresso vorige maand]]</f>
        <v>87</v>
      </c>
      <c r="K34" s="53">
        <v>1729</v>
      </c>
      <c r="L34" s="101">
        <v>1604</v>
      </c>
      <c r="M34">
        <f>Tabel242567891011121314151716181921202223[[#This Row],[Stand Latte Macchiato einde maand]]-Tabel242567891011121314151716181921202223[[#This Row],[Latte Macchiato vorige maand]]</f>
        <v>125</v>
      </c>
      <c r="N34" s="53">
        <v>1584</v>
      </c>
      <c r="O34" s="101">
        <v>1456</v>
      </c>
      <c r="P34">
        <f>Tabel242567891011121314151716181921202223[[#This Row],[Stand Coffee Latte einde maand]]-Tabel242567891011121314151716181921202223[[#This Row],[Coffee Latte vorige maand]]</f>
        <v>128</v>
      </c>
      <c r="Q34" s="53">
        <v>1</v>
      </c>
      <c r="R34" s="101">
        <v>1</v>
      </c>
      <c r="S34">
        <f>Tabel242567891011121314151716181921202223[[#This Row],[Stand Hot Water einde maand]]-Tabel242567891011121314151716181921202223[[#This Row],[Hot Water vorige maand]]</f>
        <v>0</v>
      </c>
      <c r="T34" s="53">
        <v>3926</v>
      </c>
      <c r="U34" s="101">
        <v>3792</v>
      </c>
      <c r="V34">
        <f>Tabel242567891011121314151716181921202223[[#This Row],[Stand Cappucino einde maand]]-Tabel242567891011121314151716181921202223[[#This Row],[Stand Cappucino vorige maand]]</f>
        <v>134</v>
      </c>
      <c r="W34" s="53">
        <v>682</v>
      </c>
      <c r="X34" s="101">
        <v>614</v>
      </c>
      <c r="Y34">
        <f>Tabel242567891011121314151716181921202223[[#This Row],[Stand Cappucino Plantaardig einde maand]]-Tabel242567891011121314151716181921202223[[#This Row],[Stand Cappucino Plantaardig vorige maand]]</f>
        <v>68</v>
      </c>
      <c r="Z34" s="53">
        <v>100</v>
      </c>
      <c r="AA34" s="101">
        <v>96</v>
      </c>
      <c r="AB34" s="52">
        <f>Tabel242567891011121314151716181921202223[[#This Row],[Stand Latte Macchiato Plantaardig einde maand]]-Tabel242567891011121314151716181921202223[[#This Row],[Stand Latte Macchiato Plantaardig vorige maand]]</f>
        <v>4</v>
      </c>
      <c r="AC34" s="3">
        <f>Tabel242567891011121314151716181921202223[[#This Row],[Verbruik Stand Latte Macchiato Plantaardig deze maand]]+Tabel242567891011121314151716181921202223[[#This Row],[Verbruik  Cappucino Plantaardig deze maand]]+Tabel242567891011121314151716181921202223[[#This Row],[Verbruik Cappucino deze maand]]+Tabel242567891011121314151716181921202223[[#This Row],[Verbruik Hot Water deze maand]]+Tabel242567891011121314151716181921202223[[#This Row],[Verbruik Coffee Latte deze maand]]+Tabel242567891011121314151716181921202223[[#This Row],[Verbruik Latte Macchiato deze maand]]+Tabel242567891011121314151716181921202223[[#This Row],[Verbruik Espresso deze maand]]+Tabel242567891011121314151716181921202223[[#This Row],[Verbruik Coffee deze maand]]</f>
        <v>903</v>
      </c>
      <c r="AD34" s="53">
        <v>40.799999999999997</v>
      </c>
      <c r="AE34">
        <v>19.600000000000001</v>
      </c>
      <c r="AF34">
        <f>Tabel242567891011121314151716181921202223[[#This Row],[Stand Kamertemp liter einde maand]]-Tabel242567891011121314151716181921202223[[#This Row],[Stand Kamertemp liter vorige maand]]</f>
        <v>21.199999999999996</v>
      </c>
      <c r="AG34" s="99">
        <f>Tabel242567891011121314151716181921202223[[#This Row],[Verbruik Kamertemp liter deze maand]]/0.15</f>
        <v>141.33333333333331</v>
      </c>
      <c r="AH34">
        <v>132.69999999999999</v>
      </c>
      <c r="AI34">
        <v>81</v>
      </c>
      <c r="AJ34">
        <f>Tabel242567891011121314151716181921202223[[#This Row],[Stand Gekoeld liter einde maand]]-Tabel242567891011121314151716181921202223[[#This Row],[Stand Gekoeld liter vorige maand]]</f>
        <v>51.699999999999989</v>
      </c>
      <c r="AK34" s="2">
        <f>Tabel242567891011121314151716181921202223[[#This Row],[Verbruik Gekoeld liter deze maand]]/0.15</f>
        <v>344.66666666666663</v>
      </c>
      <c r="AL34" s="53">
        <v>86</v>
      </c>
      <c r="AM34">
        <v>59.6</v>
      </c>
      <c r="AN34">
        <f>Tabel242567891011121314151716181921202223[[#This Row],[Stand Bruisend liter einde maand]]-Tabel242567891011121314151716181921202223[[#This Row],[Stand Bruisend liter vorige maand]]</f>
        <v>26.4</v>
      </c>
      <c r="AO34" s="2">
        <f>Tabel242567891011121314151716181921202223[[#This Row],[Verbruik Bruisend liter deze maand]]/0.15</f>
        <v>176</v>
      </c>
      <c r="AP34" s="53">
        <v>33.5</v>
      </c>
      <c r="AQ34">
        <v>23.3</v>
      </c>
      <c r="AR34">
        <f>Tabel242567891011121314151716181921202223[[#This Row],[Stand licht bruisend liter einde maand]]-Tabel242567891011121314151716181921202223[[#This Row],[Stand licht bruisend liter vorige maand]]</f>
        <v>10.199999999999999</v>
      </c>
      <c r="AS34" s="2">
        <f>Tabel242567891011121314151716181921202223[[#This Row],[Verbruik licht bruisend liter deze maand]]/0.15</f>
        <v>68</v>
      </c>
      <c r="AT34" s="53">
        <v>579.1</v>
      </c>
      <c r="AU34">
        <v>376.9</v>
      </c>
      <c r="AV34">
        <f>Tabel242567891011121314151716181921202223[[#This Row],[Stand heet water liter einde maand]]-Tabel242567891011121314151716181921202223[[#This Row],[Stand heet water liter vorige maand]]</f>
        <v>202.20000000000005</v>
      </c>
      <c r="AW34" s="2">
        <f>Tabel242567891011121314151716181921202223[[#This Row],[Verbruik heet Water liter deze maand ]]/0.15</f>
        <v>1348.0000000000005</v>
      </c>
      <c r="AX34" s="77">
        <f>Tabel242567891011121314151716181921202223[[#This Row],[Aantal consumpties heet water deze maand]]+Tabel242567891011121314151716181921202223[[#This Row],[Aantal consumpties licht bruisend water deze maand]]+Tabel242567891011121314151716181921202223[[#This Row],[aantal consumpties Bruisend water deze maand]]+Tabel242567891011121314151716181921202223[[#This Row],[Aantal consumpties gekoeld water deze maand]]+Tabel242567891011121314151716181921202223[[#This Row],[Aantal consumpties Kamertemp deze maand]]</f>
        <v>2078.0000000000005</v>
      </c>
      <c r="AY34" s="95">
        <f>Tabel242567891011121314151716181921202223[[#This Row],[Subtotaal waterbar in consumpties]]+Tabel242567891011121314151716181921202223[[#This Row],[Subtotaal koffieautomaten]]</f>
        <v>2981.0000000000005</v>
      </c>
    </row>
    <row r="35" spans="1:126" x14ac:dyDescent="0.25">
      <c r="A35" s="53" t="s">
        <v>52</v>
      </c>
      <c r="B35" t="s">
        <v>83</v>
      </c>
      <c r="C35" t="s">
        <v>47</v>
      </c>
      <c r="E35" s="53">
        <v>7477</v>
      </c>
      <c r="F35">
        <v>7111</v>
      </c>
      <c r="G35">
        <f>Tabel242567891011121314151716181921202223[[#This Row],[Stand Coffee einde maand]]-Tabel242567891011121314151716181921202223[[#This Row],[Coffee vorige maand]]</f>
        <v>366</v>
      </c>
      <c r="H35" s="53">
        <v>2809</v>
      </c>
      <c r="I35">
        <v>2703</v>
      </c>
      <c r="J35">
        <f>Tabel242567891011121314151716181921202223[[#This Row],[Stand Espresso Einde maand]]-Tabel242567891011121314151716181921202223[[#This Row],[Espresso vorige maand]]</f>
        <v>106</v>
      </c>
      <c r="K35" s="53">
        <v>1300</v>
      </c>
      <c r="L35">
        <v>1236</v>
      </c>
      <c r="M35">
        <f>Tabel242567891011121314151716181921202223[[#This Row],[Stand Latte Macchiato einde maand]]-Tabel242567891011121314151716181921202223[[#This Row],[Latte Macchiato vorige maand]]</f>
        <v>64</v>
      </c>
      <c r="N35" s="53">
        <v>264</v>
      </c>
      <c r="O35">
        <v>250</v>
      </c>
      <c r="P35">
        <f>Tabel242567891011121314151716181921202223[[#This Row],[Stand Coffee Latte einde maand]]-Tabel242567891011121314151716181921202223[[#This Row],[Coffee Latte vorige maand]]</f>
        <v>14</v>
      </c>
      <c r="Q35" s="53">
        <v>1</v>
      </c>
      <c r="R35">
        <v>1</v>
      </c>
      <c r="S35">
        <f>Tabel242567891011121314151716181921202223[[#This Row],[Stand Hot Water einde maand]]-Tabel242567891011121314151716181921202223[[#This Row],[Hot Water vorige maand]]</f>
        <v>0</v>
      </c>
      <c r="T35" s="53">
        <v>2615</v>
      </c>
      <c r="U35">
        <v>2475</v>
      </c>
      <c r="V35">
        <f>Tabel242567891011121314151716181921202223[[#This Row],[Stand Cappucino einde maand]]-Tabel242567891011121314151716181921202223[[#This Row],[Stand Cappucino vorige maand]]</f>
        <v>140</v>
      </c>
      <c r="W35" s="53">
        <v>826</v>
      </c>
      <c r="X35">
        <v>802</v>
      </c>
      <c r="Y35">
        <f>Tabel242567891011121314151716181921202223[[#This Row],[Stand Cappucino Plantaardig einde maand]]-Tabel242567891011121314151716181921202223[[#This Row],[Stand Cappucino Plantaardig vorige maand]]</f>
        <v>24</v>
      </c>
      <c r="Z35" s="53">
        <v>564</v>
      </c>
      <c r="AA35">
        <v>560</v>
      </c>
      <c r="AB35" s="52">
        <f>Tabel242567891011121314151716181921202223[[#This Row],[Stand Latte Macchiato Plantaardig einde maand]]-Tabel242567891011121314151716181921202223[[#This Row],[Stand Latte Macchiato Plantaardig vorige maand]]</f>
        <v>4</v>
      </c>
      <c r="AC35" s="3">
        <f>Tabel242567891011121314151716181921202223[[#This Row],[Verbruik Stand Latte Macchiato Plantaardig deze maand]]+Tabel242567891011121314151716181921202223[[#This Row],[Verbruik  Cappucino Plantaardig deze maand]]+Tabel242567891011121314151716181921202223[[#This Row],[Verbruik Cappucino deze maand]]+Tabel242567891011121314151716181921202223[[#This Row],[Verbruik Hot Water deze maand]]+Tabel242567891011121314151716181921202223[[#This Row],[Verbruik Coffee Latte deze maand]]+Tabel242567891011121314151716181921202223[[#This Row],[Verbruik Latte Macchiato deze maand]]+Tabel242567891011121314151716181921202223[[#This Row],[Verbruik Espresso deze maand]]+Tabel242567891011121314151716181921202223[[#This Row],[Verbruik Coffee deze maand]]</f>
        <v>718</v>
      </c>
      <c r="AD35" s="53">
        <v>186</v>
      </c>
      <c r="AE35">
        <v>178.9</v>
      </c>
      <c r="AF35">
        <f>Tabel242567891011121314151716181921202223[[#This Row],[Stand Kamertemp liter einde maand]]-Tabel242567891011121314151716181921202223[[#This Row],[Stand Kamertemp liter vorige maand]]</f>
        <v>7.0999999999999943</v>
      </c>
      <c r="AG35" s="99">
        <f>Tabel242567891011121314151716181921202223[[#This Row],[Verbruik Kamertemp liter deze maand]]/0.15</f>
        <v>47.3333333333333</v>
      </c>
      <c r="AH35">
        <v>850.8</v>
      </c>
      <c r="AI35">
        <v>823.3</v>
      </c>
      <c r="AJ35">
        <f>Tabel242567891011121314151716181921202223[[#This Row],[Stand Gekoeld liter einde maand]]-Tabel242567891011121314151716181921202223[[#This Row],[Stand Gekoeld liter vorige maand]]</f>
        <v>27.5</v>
      </c>
      <c r="AK35" s="2">
        <f>Tabel242567891011121314151716181921202223[[#This Row],[Verbruik Gekoeld liter deze maand]]/0.15</f>
        <v>183.33333333333334</v>
      </c>
      <c r="AL35" s="53">
        <v>828.3</v>
      </c>
      <c r="AM35">
        <v>796.3</v>
      </c>
      <c r="AN35">
        <f>Tabel242567891011121314151716181921202223[[#This Row],[Stand Bruisend liter einde maand]]-Tabel242567891011121314151716181921202223[[#This Row],[Stand Bruisend liter vorige maand]]</f>
        <v>32</v>
      </c>
      <c r="AO35" s="2">
        <f>Tabel242567891011121314151716181921202223[[#This Row],[Verbruik Bruisend liter deze maand]]/0.15</f>
        <v>213.33333333333334</v>
      </c>
      <c r="AP35" s="53">
        <v>299.3</v>
      </c>
      <c r="AQ35">
        <v>283.10000000000002</v>
      </c>
      <c r="AR35">
        <f>Tabel242567891011121314151716181921202223[[#This Row],[Stand licht bruisend liter einde maand]]-Tabel242567891011121314151716181921202223[[#This Row],[Stand licht bruisend liter vorige maand]]</f>
        <v>16.199999999999989</v>
      </c>
      <c r="AS35" s="2">
        <f>Tabel242567891011121314151716181921202223[[#This Row],[Verbruik licht bruisend liter deze maand]]/0.15</f>
        <v>107.99999999999993</v>
      </c>
      <c r="AT35" s="53">
        <v>5470.1</v>
      </c>
      <c r="AU35">
        <v>5188.6000000000004</v>
      </c>
      <c r="AV35">
        <f>Tabel242567891011121314151716181921202223[[#This Row],[Stand heet water liter einde maand]]-Tabel242567891011121314151716181921202223[[#This Row],[Stand heet water liter vorige maand]]</f>
        <v>281.5</v>
      </c>
      <c r="AW35" s="2">
        <f>Tabel242567891011121314151716181921202223[[#This Row],[Verbruik heet Water liter deze maand ]]/0.15</f>
        <v>1876.6666666666667</v>
      </c>
      <c r="AX35" s="77">
        <f>Tabel242567891011121314151716181921202223[[#This Row],[Aantal consumpties heet water deze maand]]+Tabel242567891011121314151716181921202223[[#This Row],[Aantal consumpties licht bruisend water deze maand]]+Tabel242567891011121314151716181921202223[[#This Row],[aantal consumpties Bruisend water deze maand]]+Tabel242567891011121314151716181921202223[[#This Row],[Aantal consumpties gekoeld water deze maand]]+Tabel242567891011121314151716181921202223[[#This Row],[Aantal consumpties Kamertemp deze maand]]</f>
        <v>2428.666666666667</v>
      </c>
      <c r="AY35" s="95">
        <f>Tabel242567891011121314151716181921202223[[#This Row],[Subtotaal waterbar in consumpties]]+Tabel242567891011121314151716181921202223[[#This Row],[Subtotaal koffieautomaten]]</f>
        <v>3146.666666666667</v>
      </c>
    </row>
    <row r="36" spans="1:126" x14ac:dyDescent="0.25">
      <c r="A36" s="53" t="s">
        <v>54</v>
      </c>
      <c r="B36" t="s">
        <v>84</v>
      </c>
      <c r="C36" t="s">
        <v>31</v>
      </c>
      <c r="E36" s="53">
        <v>11126</v>
      </c>
      <c r="F36" s="101">
        <v>10450</v>
      </c>
      <c r="G36">
        <f>Tabel242567891011121314151716181921202223[[#This Row],[Stand Coffee einde maand]]-Tabel242567891011121314151716181921202223[[#This Row],[Coffee vorige maand]]</f>
        <v>676</v>
      </c>
      <c r="H36" s="53">
        <v>1880</v>
      </c>
      <c r="I36" s="101">
        <v>1762</v>
      </c>
      <c r="J36">
        <f>Tabel242567891011121314151716181921202223[[#This Row],[Stand Espresso Einde maand]]-Tabel242567891011121314151716181921202223[[#This Row],[Espresso vorige maand]]</f>
        <v>118</v>
      </c>
      <c r="K36" s="53">
        <v>1053</v>
      </c>
      <c r="L36" s="101">
        <v>976</v>
      </c>
      <c r="M36">
        <f>Tabel242567891011121314151716181921202223[[#This Row],[Stand Latte Macchiato einde maand]]-Tabel242567891011121314151716181921202223[[#This Row],[Latte Macchiato vorige maand]]</f>
        <v>77</v>
      </c>
      <c r="N36" s="53">
        <v>333</v>
      </c>
      <c r="O36" s="101">
        <v>307</v>
      </c>
      <c r="P36">
        <f>Tabel242567891011121314151716181921202223[[#This Row],[Stand Coffee Latte einde maand]]-Tabel242567891011121314151716181921202223[[#This Row],[Coffee Latte vorige maand]]</f>
        <v>26</v>
      </c>
      <c r="Q36" s="53">
        <v>16070</v>
      </c>
      <c r="R36" s="101">
        <v>15248</v>
      </c>
      <c r="S36">
        <f>Tabel242567891011121314151716181921202223[[#This Row],[Stand Hot Water einde maand]]-Tabel242567891011121314151716181921202223[[#This Row],[Hot Water vorige maand]]</f>
        <v>822</v>
      </c>
      <c r="T36" s="53">
        <v>3661</v>
      </c>
      <c r="U36" s="101">
        <v>3464</v>
      </c>
      <c r="V36">
        <f>Tabel242567891011121314151716181921202223[[#This Row],[Stand Cappucino einde maand]]-Tabel242567891011121314151716181921202223[[#This Row],[Stand Cappucino vorige maand]]</f>
        <v>197</v>
      </c>
      <c r="W36" s="53">
        <v>547</v>
      </c>
      <c r="X36" s="101">
        <v>505</v>
      </c>
      <c r="Y36">
        <f>Tabel242567891011121314151716181921202223[[#This Row],[Stand Cappucino Plantaardig einde maand]]-Tabel242567891011121314151716181921202223[[#This Row],[Stand Cappucino Plantaardig vorige maand]]</f>
        <v>42</v>
      </c>
      <c r="Z36" s="53">
        <v>667</v>
      </c>
      <c r="AA36" s="101">
        <v>629</v>
      </c>
      <c r="AB36" s="52">
        <f>Tabel242567891011121314151716181921202223[[#This Row],[Stand Latte Macchiato Plantaardig einde maand]]-Tabel242567891011121314151716181921202223[[#This Row],[Stand Latte Macchiato Plantaardig vorige maand]]</f>
        <v>38</v>
      </c>
      <c r="AC36" s="3">
        <f>Tabel242567891011121314151716181921202223[[#This Row],[Verbruik Stand Latte Macchiato Plantaardig deze maand]]+Tabel242567891011121314151716181921202223[[#This Row],[Verbruik  Cappucino Plantaardig deze maand]]+Tabel242567891011121314151716181921202223[[#This Row],[Verbruik Cappucino deze maand]]+Tabel242567891011121314151716181921202223[[#This Row],[Verbruik Hot Water deze maand]]+Tabel242567891011121314151716181921202223[[#This Row],[Verbruik Coffee Latte deze maand]]+Tabel242567891011121314151716181921202223[[#This Row],[Verbruik Latte Macchiato deze maand]]+Tabel242567891011121314151716181921202223[[#This Row],[Verbruik Espresso deze maand]]+Tabel242567891011121314151716181921202223[[#This Row],[Verbruik Coffee deze maand]]</f>
        <v>1996</v>
      </c>
      <c r="AD36" s="75"/>
      <c r="AE36" s="5"/>
      <c r="AF36" s="5"/>
      <c r="AG36" s="100"/>
      <c r="AH36" s="5"/>
      <c r="AI36" s="41"/>
      <c r="AJ36" s="5"/>
      <c r="AK36" s="5"/>
      <c r="AL36" s="75"/>
      <c r="AM36" s="41"/>
      <c r="AN36" s="5"/>
      <c r="AO36" s="5"/>
      <c r="AP36" s="75"/>
      <c r="AQ36" s="41"/>
      <c r="AR36" s="5"/>
      <c r="AS36" s="5"/>
      <c r="AT36" s="75"/>
      <c r="AU36" s="41"/>
      <c r="AV36" s="5"/>
      <c r="AW36" s="5"/>
      <c r="AX36" s="79"/>
      <c r="AY36" s="95">
        <f>Tabel242567891011121314151716181921202223[[#This Row],[Subtotaal waterbar in consumpties]]+Tabel242567891011121314151716181921202223[[#This Row],[Subtotaal koffieautomaten]]</f>
        <v>1996</v>
      </c>
    </row>
    <row r="37" spans="1:126" x14ac:dyDescent="0.25">
      <c r="A37" s="53" t="s">
        <v>56</v>
      </c>
      <c r="B37" t="s">
        <v>85</v>
      </c>
      <c r="C37" t="s">
        <v>36</v>
      </c>
      <c r="E37" s="54"/>
      <c r="F37" s="46"/>
      <c r="G37" s="47"/>
      <c r="H37" s="54"/>
      <c r="I37" s="46"/>
      <c r="J37" s="47"/>
      <c r="K37" s="54"/>
      <c r="L37" s="46"/>
      <c r="M37" s="47"/>
      <c r="N37" s="54"/>
      <c r="O37" s="46"/>
      <c r="P37" s="47"/>
      <c r="Q37" s="54"/>
      <c r="R37" s="46"/>
      <c r="S37" s="47"/>
      <c r="T37" s="54"/>
      <c r="U37" s="46"/>
      <c r="V37" s="47"/>
      <c r="W37" s="54"/>
      <c r="X37" s="46"/>
      <c r="Y37" s="47"/>
      <c r="Z37" s="54"/>
      <c r="AA37" s="46"/>
      <c r="AB37" s="109"/>
      <c r="AC37" s="47"/>
      <c r="AD37" s="53">
        <v>96.9</v>
      </c>
      <c r="AE37">
        <v>67.3</v>
      </c>
      <c r="AF37">
        <f>Tabel242567891011121314151716181921202223[[#This Row],[Stand Kamertemp liter einde maand]]-Tabel242567891011121314151716181921202223[[#This Row],[Stand Kamertemp liter vorige maand]]</f>
        <v>29.600000000000009</v>
      </c>
      <c r="AG37" s="99">
        <f>Tabel242567891011121314151716181921202223[[#This Row],[Verbruik Kamertemp liter deze maand]]/0.15</f>
        <v>197.3333333333334</v>
      </c>
      <c r="AH37">
        <v>599.4</v>
      </c>
      <c r="AI37">
        <v>559.70000000000005</v>
      </c>
      <c r="AJ37">
        <f>Tabel242567891011121314151716181921202223[[#This Row],[Stand Gekoeld liter einde maand]]-Tabel242567891011121314151716181921202223[[#This Row],[Stand Gekoeld liter vorige maand]]</f>
        <v>39.699999999999932</v>
      </c>
      <c r="AK37" s="2">
        <f>Tabel242567891011121314151716181921202223[[#This Row],[Verbruik Gekoeld liter deze maand]]/0.15</f>
        <v>264.66666666666623</v>
      </c>
      <c r="AL37" s="53">
        <v>366.7</v>
      </c>
      <c r="AM37">
        <v>315.60000000000002</v>
      </c>
      <c r="AN37">
        <f>Tabel242567891011121314151716181921202223[[#This Row],[Stand Bruisend liter einde maand]]-Tabel242567891011121314151716181921202223[[#This Row],[Stand Bruisend liter vorige maand]]</f>
        <v>51.099999999999966</v>
      </c>
      <c r="AO37" s="2">
        <f>Tabel242567891011121314151716181921202223[[#This Row],[Verbruik Bruisend liter deze maand]]/0.15</f>
        <v>340.66666666666646</v>
      </c>
      <c r="AP37" s="53">
        <v>248.7</v>
      </c>
      <c r="AQ37">
        <v>230.2</v>
      </c>
      <c r="AR37">
        <f>Tabel242567891011121314151716181921202223[[#This Row],[Stand licht bruisend liter einde maand]]-Tabel242567891011121314151716181921202223[[#This Row],[Stand licht bruisend liter vorige maand]]</f>
        <v>18.5</v>
      </c>
      <c r="AS37" s="2">
        <f>Tabel242567891011121314151716181921202223[[#This Row],[Verbruik licht bruisend liter deze maand]]/0.15</f>
        <v>123.33333333333334</v>
      </c>
      <c r="AT37" s="53">
        <v>1709</v>
      </c>
      <c r="AU37">
        <v>1483.3</v>
      </c>
      <c r="AV37">
        <f>Tabel242567891011121314151716181921202223[[#This Row],[Stand heet water liter einde maand]]-Tabel242567891011121314151716181921202223[[#This Row],[Stand heet water liter vorige maand]]</f>
        <v>225.70000000000005</v>
      </c>
      <c r="AW37" s="2">
        <f>Tabel242567891011121314151716181921202223[[#This Row],[Verbruik heet Water liter deze maand ]]/0.15</f>
        <v>1504.666666666667</v>
      </c>
      <c r="AX37" s="77">
        <f>Tabel242567891011121314151716181921202223[[#This Row],[Aantal consumpties heet water deze maand]]+Tabel242567891011121314151716181921202223[[#This Row],[Aantal consumpties licht bruisend water deze maand]]+Tabel242567891011121314151716181921202223[[#This Row],[aantal consumpties Bruisend water deze maand]]+Tabel242567891011121314151716181921202223[[#This Row],[Aantal consumpties gekoeld water deze maand]]+Tabel242567891011121314151716181921202223[[#This Row],[Aantal consumpties Kamertemp deze maand]]</f>
        <v>2430.6666666666665</v>
      </c>
      <c r="AY37" s="95">
        <f>Tabel242567891011121314151716181921202223[[#This Row],[Subtotaal waterbar in consumpties]]+Tabel242567891011121314151716181921202223[[#This Row],[Subtotaal koffieautomaten]]</f>
        <v>2430.6666666666665</v>
      </c>
    </row>
    <row r="38" spans="1:126" x14ac:dyDescent="0.25">
      <c r="A38" s="53" t="s">
        <v>58</v>
      </c>
      <c r="B38" t="s">
        <v>86</v>
      </c>
      <c r="C38" t="s">
        <v>47</v>
      </c>
      <c r="E38" s="53">
        <v>11120</v>
      </c>
      <c r="F38" s="101">
        <v>10596</v>
      </c>
      <c r="G38">
        <f>Tabel242567891011121314151716181921202223[[#This Row],[Stand Coffee einde maand]]-Tabel242567891011121314151716181921202223[[#This Row],[Coffee vorige maand]]</f>
        <v>524</v>
      </c>
      <c r="H38" s="53">
        <v>3442</v>
      </c>
      <c r="I38" s="101">
        <v>3353</v>
      </c>
      <c r="J38">
        <f>Tabel242567891011121314151716181921202223[[#This Row],[Stand Espresso Einde maand]]-Tabel242567891011121314151716181921202223[[#This Row],[Espresso vorige maand]]</f>
        <v>89</v>
      </c>
      <c r="K38" s="53">
        <v>1791</v>
      </c>
      <c r="L38" s="101">
        <v>1687</v>
      </c>
      <c r="M38">
        <f>Tabel242567891011121314151716181921202223[[#This Row],[Stand Latte Macchiato einde maand]]-Tabel242567891011121314151716181921202223[[#This Row],[Latte Macchiato vorige maand]]</f>
        <v>104</v>
      </c>
      <c r="N38" s="53">
        <v>948</v>
      </c>
      <c r="O38" s="101">
        <v>906</v>
      </c>
      <c r="P38">
        <f>Tabel242567891011121314151716181921202223[[#This Row],[Stand Coffee Latte einde maand]]-Tabel242567891011121314151716181921202223[[#This Row],[Coffee Latte vorige maand]]</f>
        <v>42</v>
      </c>
      <c r="Q38" s="53">
        <v>991</v>
      </c>
      <c r="R38" s="101">
        <v>899</v>
      </c>
      <c r="S38">
        <f>Tabel242567891011121314151716181921202223[[#This Row],[Stand Hot Water einde maand]]-Tabel242567891011121314151716181921202223[[#This Row],[Hot Water vorige maand]]</f>
        <v>92</v>
      </c>
      <c r="T38" s="53">
        <v>5911</v>
      </c>
      <c r="U38" s="101">
        <v>5624</v>
      </c>
      <c r="V38">
        <f>Tabel242567891011121314151716181921202223[[#This Row],[Stand Cappucino einde maand]]-Tabel242567891011121314151716181921202223[[#This Row],[Stand Cappucino vorige maand]]</f>
        <v>287</v>
      </c>
      <c r="W38" s="53">
        <v>861</v>
      </c>
      <c r="X38" s="101">
        <v>839</v>
      </c>
      <c r="Y38">
        <f>Tabel242567891011121314151716181921202223[[#This Row],[Stand Cappucino Plantaardig einde maand]]-Tabel242567891011121314151716181921202223[[#This Row],[Stand Cappucino Plantaardig vorige maand]]</f>
        <v>22</v>
      </c>
      <c r="Z38" s="53">
        <v>712</v>
      </c>
      <c r="AA38" s="101">
        <v>676</v>
      </c>
      <c r="AB38" s="52">
        <f>Tabel242567891011121314151716181921202223[[#This Row],[Stand Latte Macchiato Plantaardig einde maand]]-Tabel242567891011121314151716181921202223[[#This Row],[Stand Latte Macchiato Plantaardig vorige maand]]</f>
        <v>36</v>
      </c>
      <c r="AC38" s="3">
        <f>Tabel242567891011121314151716181921202223[[#This Row],[Verbruik Stand Latte Macchiato Plantaardig deze maand]]+Tabel242567891011121314151716181921202223[[#This Row],[Verbruik  Cappucino Plantaardig deze maand]]+Tabel242567891011121314151716181921202223[[#This Row],[Verbruik Cappucino deze maand]]+Tabel242567891011121314151716181921202223[[#This Row],[Verbruik Hot Water deze maand]]+Tabel242567891011121314151716181921202223[[#This Row],[Verbruik Coffee Latte deze maand]]+Tabel242567891011121314151716181921202223[[#This Row],[Verbruik Latte Macchiato deze maand]]+Tabel242567891011121314151716181921202223[[#This Row],[Verbruik Espresso deze maand]]+Tabel242567891011121314151716181921202223[[#This Row],[Verbruik Coffee deze maand]]</f>
        <v>1196</v>
      </c>
      <c r="AD38" s="53">
        <v>83</v>
      </c>
      <c r="AE38">
        <v>55</v>
      </c>
      <c r="AF38">
        <f>Tabel242567891011121314151716181921202223[[#This Row],[Stand Kamertemp liter einde maand]]-Tabel242567891011121314151716181921202223[[#This Row],[Stand Kamertemp liter vorige maand]]</f>
        <v>28</v>
      </c>
      <c r="AG38" s="99">
        <f>Tabel242567891011121314151716181921202223[[#This Row],[Verbruik Kamertemp liter deze maand]]/0.15</f>
        <v>186.66666666666669</v>
      </c>
      <c r="AH38">
        <v>378.1</v>
      </c>
      <c r="AI38">
        <v>323.2</v>
      </c>
      <c r="AJ38">
        <f>Tabel242567891011121314151716181921202223[[#This Row],[Stand Gekoeld liter einde maand]]-Tabel242567891011121314151716181921202223[[#This Row],[Stand Gekoeld liter vorige maand]]</f>
        <v>54.900000000000034</v>
      </c>
      <c r="AK38" s="2">
        <f>Tabel242567891011121314151716181921202223[[#This Row],[Verbruik Gekoeld liter deze maand]]/0.15</f>
        <v>366.00000000000023</v>
      </c>
      <c r="AL38" s="53">
        <v>315.10000000000002</v>
      </c>
      <c r="AM38">
        <v>278.2</v>
      </c>
      <c r="AN38">
        <f>Tabel242567891011121314151716181921202223[[#This Row],[Stand Bruisend liter einde maand]]-Tabel242567891011121314151716181921202223[[#This Row],[Stand Bruisend liter vorige maand]]</f>
        <v>36.900000000000034</v>
      </c>
      <c r="AO38" s="2">
        <f>Tabel242567891011121314151716181921202223[[#This Row],[Verbruik Bruisend liter deze maand]]/0.15</f>
        <v>246.00000000000023</v>
      </c>
      <c r="AP38" s="53">
        <v>107.8</v>
      </c>
      <c r="AQ38">
        <v>102.6</v>
      </c>
      <c r="AR38">
        <f>Tabel242567891011121314151716181921202223[[#This Row],[Stand licht bruisend liter einde maand]]-Tabel242567891011121314151716181921202223[[#This Row],[Stand licht bruisend liter vorige maand]]</f>
        <v>5.2000000000000028</v>
      </c>
      <c r="AS38" s="2">
        <f>Tabel242567891011121314151716181921202223[[#This Row],[Verbruik licht bruisend liter deze maand]]/0.15</f>
        <v>34.666666666666686</v>
      </c>
      <c r="AT38" s="53">
        <v>1170.0999999999999</v>
      </c>
      <c r="AU38">
        <v>939.3</v>
      </c>
      <c r="AV38">
        <f>Tabel242567891011121314151716181921202223[[#This Row],[Stand heet water liter einde maand]]-Tabel242567891011121314151716181921202223[[#This Row],[Stand heet water liter vorige maand]]</f>
        <v>230.79999999999995</v>
      </c>
      <c r="AW38" s="2">
        <f>Tabel242567891011121314151716181921202223[[#This Row],[Verbruik heet Water liter deze maand ]]/0.15</f>
        <v>1538.6666666666665</v>
      </c>
      <c r="AX38" s="77">
        <f>Tabel242567891011121314151716181921202223[[#This Row],[Aantal consumpties heet water deze maand]]+Tabel242567891011121314151716181921202223[[#This Row],[Aantal consumpties licht bruisend water deze maand]]+Tabel242567891011121314151716181921202223[[#This Row],[aantal consumpties Bruisend water deze maand]]+Tabel242567891011121314151716181921202223[[#This Row],[Aantal consumpties gekoeld water deze maand]]+Tabel242567891011121314151716181921202223[[#This Row],[Aantal consumpties Kamertemp deze maand]]</f>
        <v>2372.0000000000005</v>
      </c>
      <c r="AY38" s="95">
        <f>Tabel242567891011121314151716181921202223[[#This Row],[Subtotaal waterbar in consumpties]]+Tabel242567891011121314151716181921202223[[#This Row],[Subtotaal koffieautomaten]]</f>
        <v>3568.0000000000005</v>
      </c>
    </row>
    <row r="39" spans="1:126" x14ac:dyDescent="0.25">
      <c r="A39" s="53" t="s">
        <v>60</v>
      </c>
      <c r="B39" t="s">
        <v>87</v>
      </c>
      <c r="C39" t="s">
        <v>31</v>
      </c>
      <c r="E39" s="53">
        <v>5816</v>
      </c>
      <c r="F39">
        <v>5582</v>
      </c>
      <c r="G39">
        <f>Tabel242567891011121314151716181921202223[[#This Row],[Stand Coffee einde maand]]-Tabel242567891011121314151716181921202223[[#This Row],[Coffee vorige maand]]</f>
        <v>234</v>
      </c>
      <c r="H39" s="53">
        <v>973</v>
      </c>
      <c r="I39">
        <v>910</v>
      </c>
      <c r="J39">
        <f>Tabel242567891011121314151716181921202223[[#This Row],[Stand Espresso Einde maand]]-Tabel242567891011121314151716181921202223[[#This Row],[Espresso vorige maand]]</f>
        <v>63</v>
      </c>
      <c r="K39" s="53">
        <v>643</v>
      </c>
      <c r="L39">
        <v>627</v>
      </c>
      <c r="M39">
        <f>Tabel242567891011121314151716181921202223[[#This Row],[Stand Latte Macchiato einde maand]]-Tabel242567891011121314151716181921202223[[#This Row],[Latte Macchiato vorige maand]]</f>
        <v>16</v>
      </c>
      <c r="N39" s="53">
        <v>720</v>
      </c>
      <c r="O39">
        <v>680</v>
      </c>
      <c r="P39">
        <f>Tabel242567891011121314151716181921202223[[#This Row],[Stand Coffee Latte einde maand]]-Tabel242567891011121314151716181921202223[[#This Row],[Coffee Latte vorige maand]]</f>
        <v>40</v>
      </c>
      <c r="Q39" s="53">
        <v>15983</v>
      </c>
      <c r="R39">
        <v>15124</v>
      </c>
      <c r="S39">
        <f>Tabel242567891011121314151716181921202223[[#This Row],[Stand Hot Water einde maand]]-Tabel242567891011121314151716181921202223[[#This Row],[Hot Water vorige maand]]</f>
        <v>859</v>
      </c>
      <c r="T39" s="53">
        <v>3824</v>
      </c>
      <c r="U39">
        <v>3649</v>
      </c>
      <c r="V39">
        <f>Tabel242567891011121314151716181921202223[[#This Row],[Stand Cappucino einde maand]]-Tabel242567891011121314151716181921202223[[#This Row],[Stand Cappucino vorige maand]]</f>
        <v>175</v>
      </c>
      <c r="W39" s="53">
        <v>322</v>
      </c>
      <c r="X39">
        <v>322</v>
      </c>
      <c r="Y39">
        <f>Tabel242567891011121314151716181921202223[[#This Row],[Stand Cappucino Plantaardig einde maand]]-Tabel242567891011121314151716181921202223[[#This Row],[Stand Cappucino Plantaardig vorige maand]]</f>
        <v>0</v>
      </c>
      <c r="Z39" s="53">
        <v>209</v>
      </c>
      <c r="AA39">
        <v>209</v>
      </c>
      <c r="AB39" s="52">
        <f>Tabel242567891011121314151716181921202223[[#This Row],[Stand Latte Macchiato Plantaardig einde maand]]-Tabel242567891011121314151716181921202223[[#This Row],[Stand Latte Macchiato Plantaardig vorige maand]]</f>
        <v>0</v>
      </c>
      <c r="AC39" s="3">
        <f>Tabel242567891011121314151716181921202223[[#This Row],[Verbruik Stand Latte Macchiato Plantaardig deze maand]]+Tabel242567891011121314151716181921202223[[#This Row],[Verbruik  Cappucino Plantaardig deze maand]]+Tabel242567891011121314151716181921202223[[#This Row],[Verbruik Cappucino deze maand]]+Tabel242567891011121314151716181921202223[[#This Row],[Verbruik Hot Water deze maand]]+Tabel242567891011121314151716181921202223[[#This Row],[Verbruik Coffee Latte deze maand]]+Tabel242567891011121314151716181921202223[[#This Row],[Verbruik Latte Macchiato deze maand]]+Tabel242567891011121314151716181921202223[[#This Row],[Verbruik Espresso deze maand]]+Tabel242567891011121314151716181921202223[[#This Row],[Verbruik Coffee deze maand]]</f>
        <v>1387</v>
      </c>
      <c r="AD39" s="75"/>
      <c r="AE39" s="5"/>
      <c r="AF39" s="5"/>
      <c r="AG39" s="100"/>
      <c r="AH39" s="5"/>
      <c r="AI39" s="41"/>
      <c r="AJ39" s="5"/>
      <c r="AK39" s="5"/>
      <c r="AL39" s="75"/>
      <c r="AM39" s="41"/>
      <c r="AN39" s="5"/>
      <c r="AO39" s="5"/>
      <c r="AP39" s="75"/>
      <c r="AQ39" s="41"/>
      <c r="AR39" s="5"/>
      <c r="AS39" s="5"/>
      <c r="AT39" s="75"/>
      <c r="AU39" s="41"/>
      <c r="AV39" s="5"/>
      <c r="AW39" s="5"/>
      <c r="AX39" s="79"/>
      <c r="AY39" s="95">
        <f>Tabel242567891011121314151716181921202223[[#This Row],[Subtotaal waterbar in consumpties]]+Tabel242567891011121314151716181921202223[[#This Row],[Subtotaal koffieautomaten]]</f>
        <v>1387</v>
      </c>
    </row>
    <row r="40" spans="1:126" s="81" customFormat="1" x14ac:dyDescent="0.25">
      <c r="A40" s="89" t="s">
        <v>88</v>
      </c>
      <c r="F40" s="103"/>
      <c r="I40" s="103"/>
      <c r="L40" s="103"/>
      <c r="O40" s="103"/>
      <c r="R40" s="103"/>
      <c r="U40" s="103"/>
      <c r="X40" s="103"/>
      <c r="AA40" s="103"/>
      <c r="AC40" s="104"/>
      <c r="AG40" s="87"/>
      <c r="AK40" s="87"/>
      <c r="AO40" s="87"/>
      <c r="AS40" s="87"/>
      <c r="AW40" s="87"/>
      <c r="AX40" s="105"/>
      <c r="AY40" s="119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</row>
    <row r="41" spans="1:126" x14ac:dyDescent="0.25">
      <c r="A41" s="53" t="s">
        <v>39</v>
      </c>
      <c r="B41" t="s">
        <v>89</v>
      </c>
      <c r="C41" t="s">
        <v>47</v>
      </c>
      <c r="E41" s="53">
        <v>6648</v>
      </c>
      <c r="F41">
        <v>5973</v>
      </c>
      <c r="G41" s="40">
        <f>Tabel242567891011121314151716181921202223[[#This Row],[Stand Coffee einde maand]]-Tabel242567891011121314151716181921202223[[#This Row],[Coffee vorige maand]]</f>
        <v>675</v>
      </c>
      <c r="H41" s="53">
        <v>1551</v>
      </c>
      <c r="I41">
        <v>1415</v>
      </c>
      <c r="J41" s="40">
        <f>Tabel242567891011121314151716181921202223[[#This Row],[Stand Espresso Einde maand]]-Tabel242567891011121314151716181921202223[[#This Row],[Espresso vorige maand]]</f>
        <v>136</v>
      </c>
      <c r="K41" s="53">
        <v>820</v>
      </c>
      <c r="L41">
        <v>737</v>
      </c>
      <c r="M41" s="40">
        <f>Tabel242567891011121314151716181921202223[[#This Row],[Stand Latte Macchiato einde maand]]-Tabel242567891011121314151716181921202223[[#This Row],[Latte Macchiato vorige maand]]</f>
        <v>83</v>
      </c>
      <c r="N41" s="53">
        <v>486</v>
      </c>
      <c r="O41">
        <v>449</v>
      </c>
      <c r="P41" s="40">
        <f>Tabel242567891011121314151716181921202223[[#This Row],[Stand Coffee Latte einde maand]]-Tabel242567891011121314151716181921202223[[#This Row],[Coffee Latte vorige maand]]</f>
        <v>37</v>
      </c>
      <c r="Q41" s="53">
        <v>3190</v>
      </c>
      <c r="R41">
        <v>2888</v>
      </c>
      <c r="S41" s="40">
        <f>Tabel242567891011121314151716181921202223[[#This Row],[Stand Hot Water einde maand]]-Tabel242567891011121314151716181921202223[[#This Row],[Hot Water vorige maand]]</f>
        <v>302</v>
      </c>
      <c r="T41" s="53">
        <v>5211</v>
      </c>
      <c r="U41">
        <v>4779</v>
      </c>
      <c r="V41" s="40">
        <f>Tabel242567891011121314151716181921202223[[#This Row],[Stand Cappucino einde maand]]-Tabel242567891011121314151716181921202223[[#This Row],[Stand Cappucino vorige maand]]</f>
        <v>432</v>
      </c>
      <c r="W41" s="53">
        <v>430</v>
      </c>
      <c r="X41" s="102">
        <v>404</v>
      </c>
      <c r="Y41" s="40">
        <f>Tabel242567891011121314151716181921202223[[#This Row],[Stand Cappucino Plantaardig einde maand]]-Tabel242567891011121314151716181921202223[[#This Row],[Stand Cappucino Plantaardig vorige maand]]</f>
        <v>26</v>
      </c>
      <c r="Z41" s="53">
        <v>157</v>
      </c>
      <c r="AA41" s="102">
        <v>140</v>
      </c>
      <c r="AB41" s="110">
        <f>Tabel242567891011121314151716181921202223[[#This Row],[Stand Latte Macchiato Plantaardig einde maand]]-Tabel242567891011121314151716181921202223[[#This Row],[Stand Latte Macchiato Plantaardig vorige maand]]</f>
        <v>17</v>
      </c>
      <c r="AC41" s="111">
        <f>Tabel242567891011121314151716181921202223[[#This Row],[Verbruik Stand Latte Macchiato Plantaardig deze maand]]+Tabel242567891011121314151716181921202223[[#This Row],[Verbruik  Cappucino Plantaardig deze maand]]+Tabel242567891011121314151716181921202223[[#This Row],[Verbruik Cappucino deze maand]]+Tabel242567891011121314151716181921202223[[#This Row],[Verbruik Hot Water deze maand]]+Tabel242567891011121314151716181921202223[[#This Row],[Verbruik Coffee Latte deze maand]]+Tabel242567891011121314151716181921202223[[#This Row],[Verbruik Latte Macchiato deze maand]]+Tabel242567891011121314151716181921202223[[#This Row],[Verbruik Espresso deze maand]]+Tabel242567891011121314151716181921202223[[#This Row],[Verbruik Coffee deze maand]]</f>
        <v>1708</v>
      </c>
      <c r="AD41" s="53">
        <v>110.3</v>
      </c>
      <c r="AE41">
        <v>74.099999999999994</v>
      </c>
      <c r="AF41">
        <f>Tabel242567891011121314151716181921202223[[#This Row],[Stand Kamertemp liter einde maand]]-Tabel242567891011121314151716181921202223[[#This Row],[Stand Kamertemp liter vorige maand]]</f>
        <v>36.200000000000003</v>
      </c>
      <c r="AG41" s="99">
        <f>Tabel242567891011121314151716181921202223[[#This Row],[Verbruik Kamertemp liter deze maand]]/0.15</f>
        <v>241.33333333333337</v>
      </c>
      <c r="AH41">
        <v>668.3</v>
      </c>
      <c r="AI41">
        <v>532</v>
      </c>
      <c r="AJ41">
        <f>Tabel242567891011121314151716181921202223[[#This Row],[Stand Gekoeld liter einde maand]]-Tabel242567891011121314151716181921202223[[#This Row],[Stand Gekoeld liter vorige maand]]</f>
        <v>136.29999999999995</v>
      </c>
      <c r="AK41" s="2">
        <f>Tabel242567891011121314151716181921202223[[#This Row],[Verbruik Gekoeld liter deze maand]]/0.15</f>
        <v>908.6666666666664</v>
      </c>
      <c r="AL41" s="53">
        <v>209.9</v>
      </c>
      <c r="AM41">
        <v>170.6</v>
      </c>
      <c r="AN41">
        <f>Tabel242567891011121314151716181921202223[[#This Row],[Stand Bruisend liter einde maand]]-Tabel242567891011121314151716181921202223[[#This Row],[Stand Bruisend liter vorige maand]]</f>
        <v>39.300000000000011</v>
      </c>
      <c r="AO41" s="2">
        <f>Tabel242567891011121314151716181921202223[[#This Row],[Verbruik Bruisend liter deze maand]]/0.15</f>
        <v>262.00000000000011</v>
      </c>
      <c r="AP41" s="53">
        <v>84.6</v>
      </c>
      <c r="AQ41">
        <v>59.2</v>
      </c>
      <c r="AR41">
        <f>Tabel242567891011121314151716181921202223[[#This Row],[Stand licht bruisend liter einde maand]]-Tabel242567891011121314151716181921202223[[#This Row],[Stand licht bruisend liter vorige maand]]</f>
        <v>25.399999999999991</v>
      </c>
      <c r="AS41" s="2">
        <f>Tabel242567891011121314151716181921202223[[#This Row],[Verbruik licht bruisend liter deze maand]]/0.15</f>
        <v>169.33333333333329</v>
      </c>
      <c r="AT41" s="53">
        <v>298.89999999999998</v>
      </c>
      <c r="AU41">
        <v>228.8</v>
      </c>
      <c r="AV41">
        <f>Tabel242567891011121314151716181921202223[[#This Row],[Stand heet water liter einde maand]]-Tabel242567891011121314151716181921202223[[#This Row],[Stand heet water liter vorige maand]]</f>
        <v>70.099999999999966</v>
      </c>
      <c r="AW41" s="2">
        <f>Tabel242567891011121314151716181921202223[[#This Row],[Verbruik heet Water liter deze maand ]]/0.15</f>
        <v>467.33333333333314</v>
      </c>
      <c r="AX41" s="77">
        <f>Tabel242567891011121314151716181921202223[[#This Row],[Aantal consumpties heet water deze maand]]+Tabel242567891011121314151716181921202223[[#This Row],[Aantal consumpties licht bruisend water deze maand]]+Tabel242567891011121314151716181921202223[[#This Row],[aantal consumpties Bruisend water deze maand]]+Tabel242567891011121314151716181921202223[[#This Row],[Aantal consumpties gekoeld water deze maand]]+Tabel242567891011121314151716181921202223[[#This Row],[Aantal consumpties Kamertemp deze maand]]</f>
        <v>2048.6666666666665</v>
      </c>
      <c r="AY41" s="95">
        <f>Tabel242567891011121314151716181921202223[[#This Row],[Subtotaal waterbar in consumpties]]+Tabel242567891011121314151716181921202223[[#This Row],[Subtotaal koffieautomaten]]</f>
        <v>3756.6666666666665</v>
      </c>
    </row>
    <row r="42" spans="1:126" x14ac:dyDescent="0.25">
      <c r="A42" s="53" t="s">
        <v>41</v>
      </c>
      <c r="B42" t="s">
        <v>90</v>
      </c>
      <c r="C42" t="s">
        <v>31</v>
      </c>
      <c r="E42" s="53">
        <v>12176</v>
      </c>
      <c r="F42" s="101">
        <v>11842</v>
      </c>
      <c r="G42">
        <f>Tabel242567891011121314151716181921202223[[#This Row],[Stand Coffee einde maand]]-Tabel242567891011121314151716181921202223[[#This Row],[Coffee vorige maand]]</f>
        <v>334</v>
      </c>
      <c r="H42" s="53">
        <v>4123</v>
      </c>
      <c r="I42" s="101">
        <v>4020</v>
      </c>
      <c r="J42">
        <f>Tabel242567891011121314151716181921202223[[#This Row],[Stand Espresso Einde maand]]-Tabel242567891011121314151716181921202223[[#This Row],[Espresso vorige maand]]</f>
        <v>103</v>
      </c>
      <c r="K42" s="53">
        <v>1073</v>
      </c>
      <c r="L42" s="101">
        <v>1050</v>
      </c>
      <c r="M42">
        <f>Tabel242567891011121314151716181921202223[[#This Row],[Stand Latte Macchiato einde maand]]-Tabel242567891011121314151716181921202223[[#This Row],[Latte Macchiato vorige maand]]</f>
        <v>23</v>
      </c>
      <c r="N42" s="53">
        <v>1854</v>
      </c>
      <c r="O42" s="101">
        <v>1762</v>
      </c>
      <c r="P42">
        <f>Tabel242567891011121314151716181921202223[[#This Row],[Stand Coffee Latte einde maand]]-Tabel242567891011121314151716181921202223[[#This Row],[Coffee Latte vorige maand]]</f>
        <v>92</v>
      </c>
      <c r="Q42" s="53">
        <v>34737</v>
      </c>
      <c r="R42" s="101">
        <v>33342</v>
      </c>
      <c r="S42">
        <f>Tabel242567891011121314151716181921202223[[#This Row],[Stand Hot Water einde maand]]-Tabel242567891011121314151716181921202223[[#This Row],[Hot Water vorige maand]]</f>
        <v>1395</v>
      </c>
      <c r="T42" s="53">
        <v>5320</v>
      </c>
      <c r="U42" s="101">
        <v>5130</v>
      </c>
      <c r="V42">
        <f>Tabel242567891011121314151716181921202223[[#This Row],[Stand Cappucino einde maand]]-Tabel242567891011121314151716181921202223[[#This Row],[Stand Cappucino vorige maand]]</f>
        <v>190</v>
      </c>
      <c r="W42" s="53">
        <v>423</v>
      </c>
      <c r="X42" s="101">
        <v>411</v>
      </c>
      <c r="Y42">
        <f>Tabel242567891011121314151716181921202223[[#This Row],[Stand Cappucino Plantaardig einde maand]]-Tabel242567891011121314151716181921202223[[#This Row],[Stand Cappucino Plantaardig vorige maand]]</f>
        <v>12</v>
      </c>
      <c r="Z42" s="53">
        <v>275</v>
      </c>
      <c r="AA42" s="101">
        <v>251</v>
      </c>
      <c r="AB42" s="52">
        <f>Tabel242567891011121314151716181921202223[[#This Row],[Stand Latte Macchiato Plantaardig einde maand]]-Tabel242567891011121314151716181921202223[[#This Row],[Stand Latte Macchiato Plantaardig vorige maand]]</f>
        <v>24</v>
      </c>
      <c r="AC42" s="3">
        <f>Tabel242567891011121314151716181921202223[[#This Row],[Verbruik Stand Latte Macchiato Plantaardig deze maand]]+Tabel242567891011121314151716181921202223[[#This Row],[Verbruik  Cappucino Plantaardig deze maand]]+Tabel242567891011121314151716181921202223[[#This Row],[Verbruik Cappucino deze maand]]+Tabel242567891011121314151716181921202223[[#This Row],[Verbruik Hot Water deze maand]]+Tabel242567891011121314151716181921202223[[#This Row],[Verbruik Coffee Latte deze maand]]+Tabel242567891011121314151716181921202223[[#This Row],[Verbruik Latte Macchiato deze maand]]+Tabel242567891011121314151716181921202223[[#This Row],[Verbruik Espresso deze maand]]+Tabel242567891011121314151716181921202223[[#This Row],[Verbruik Coffee deze maand]]</f>
        <v>2173</v>
      </c>
      <c r="AD42" s="75"/>
      <c r="AE42" s="5"/>
      <c r="AF42" s="5"/>
      <c r="AG42" s="100"/>
      <c r="AH42" s="5"/>
      <c r="AI42" s="41"/>
      <c r="AJ42" s="5"/>
      <c r="AK42" s="5"/>
      <c r="AL42" s="75"/>
      <c r="AM42" s="41"/>
      <c r="AN42" s="5"/>
      <c r="AO42" s="5"/>
      <c r="AP42" s="75"/>
      <c r="AQ42" s="41"/>
      <c r="AR42" s="5"/>
      <c r="AS42" s="5"/>
      <c r="AT42" s="75"/>
      <c r="AU42" s="41"/>
      <c r="AV42" s="5"/>
      <c r="AW42" s="5"/>
      <c r="AX42" s="79"/>
      <c r="AY42" s="95">
        <f>Tabel242567891011121314151716181921202223[[#This Row],[Subtotaal waterbar in consumpties]]+Tabel242567891011121314151716181921202223[[#This Row],[Subtotaal koffieautomaten]]</f>
        <v>2173</v>
      </c>
    </row>
    <row r="43" spans="1:126" x14ac:dyDescent="0.25">
      <c r="A43" s="53" t="s">
        <v>43</v>
      </c>
      <c r="B43" t="s">
        <v>91</v>
      </c>
      <c r="C43" t="s">
        <v>47</v>
      </c>
      <c r="E43" s="53">
        <v>13266</v>
      </c>
      <c r="F43">
        <v>12595</v>
      </c>
      <c r="G43">
        <f>Tabel242567891011121314151716181921202223[[#This Row],[Stand Coffee einde maand]]-Tabel242567891011121314151716181921202223[[#This Row],[Coffee vorige maand]]</f>
        <v>671</v>
      </c>
      <c r="H43" s="53">
        <v>2636</v>
      </c>
      <c r="I43">
        <v>2471</v>
      </c>
      <c r="J43">
        <f>Tabel242567891011121314151716181921202223[[#This Row],[Stand Espresso Einde maand]]-Tabel242567891011121314151716181921202223[[#This Row],[Espresso vorige maand]]</f>
        <v>165</v>
      </c>
      <c r="K43" s="53">
        <v>574</v>
      </c>
      <c r="L43">
        <v>545</v>
      </c>
      <c r="M43">
        <f>Tabel242567891011121314151716181921202223[[#This Row],[Stand Latte Macchiato einde maand]]-Tabel242567891011121314151716181921202223[[#This Row],[Latte Macchiato vorige maand]]</f>
        <v>29</v>
      </c>
      <c r="N43" s="53">
        <v>1144</v>
      </c>
      <c r="O43">
        <v>1078</v>
      </c>
      <c r="P43">
        <f>Tabel242567891011121314151716181921202223[[#This Row],[Stand Coffee Latte einde maand]]-Tabel242567891011121314151716181921202223[[#This Row],[Coffee Latte vorige maand]]</f>
        <v>66</v>
      </c>
      <c r="Q43" s="53">
        <v>1433</v>
      </c>
      <c r="R43">
        <v>1377</v>
      </c>
      <c r="S43">
        <f>Tabel242567891011121314151716181921202223[[#This Row],[Stand Hot Water einde maand]]-Tabel242567891011121314151716181921202223[[#This Row],[Hot Water vorige maand]]</f>
        <v>56</v>
      </c>
      <c r="T43" s="53">
        <v>4104</v>
      </c>
      <c r="U43">
        <v>3938</v>
      </c>
      <c r="V43">
        <f>Tabel242567891011121314151716181921202223[[#This Row],[Stand Cappucino einde maand]]-Tabel242567891011121314151716181921202223[[#This Row],[Stand Cappucino vorige maand]]</f>
        <v>166</v>
      </c>
      <c r="W43" s="53">
        <v>3178</v>
      </c>
      <c r="X43">
        <v>3093</v>
      </c>
      <c r="Y43">
        <f>Tabel242567891011121314151716181921202223[[#This Row],[Stand Cappucino Plantaardig einde maand]]-Tabel242567891011121314151716181921202223[[#This Row],[Stand Cappucino Plantaardig vorige maand]]</f>
        <v>85</v>
      </c>
      <c r="Z43" s="53">
        <v>363</v>
      </c>
      <c r="AA43">
        <v>351</v>
      </c>
      <c r="AB43" s="52">
        <f>Tabel242567891011121314151716181921202223[[#This Row],[Stand Latte Macchiato Plantaardig einde maand]]-Tabel242567891011121314151716181921202223[[#This Row],[Stand Latte Macchiato Plantaardig vorige maand]]</f>
        <v>12</v>
      </c>
      <c r="AC43" s="3">
        <f>Tabel242567891011121314151716181921202223[[#This Row],[Verbruik Stand Latte Macchiato Plantaardig deze maand]]+Tabel242567891011121314151716181921202223[[#This Row],[Verbruik  Cappucino Plantaardig deze maand]]+Tabel242567891011121314151716181921202223[[#This Row],[Verbruik Cappucino deze maand]]+Tabel242567891011121314151716181921202223[[#This Row],[Verbruik Hot Water deze maand]]+Tabel242567891011121314151716181921202223[[#This Row],[Verbruik Coffee Latte deze maand]]+Tabel242567891011121314151716181921202223[[#This Row],[Verbruik Latte Macchiato deze maand]]+Tabel242567891011121314151716181921202223[[#This Row],[Verbruik Espresso deze maand]]+Tabel242567891011121314151716181921202223[[#This Row],[Verbruik Coffee deze maand]]</f>
        <v>1250</v>
      </c>
      <c r="AD43" s="53">
        <v>135.19999999999999</v>
      </c>
      <c r="AE43">
        <v>89.9</v>
      </c>
      <c r="AF43">
        <f>Tabel242567891011121314151716181921202223[[#This Row],[Stand Kamertemp liter einde maand]]-Tabel242567891011121314151716181921202223[[#This Row],[Stand Kamertemp liter vorige maand]]</f>
        <v>45.299999999999983</v>
      </c>
      <c r="AG43" s="99">
        <f>Tabel242567891011121314151716181921202223[[#This Row],[Verbruik Kamertemp liter deze maand]]/0.15</f>
        <v>301.99999999999989</v>
      </c>
      <c r="AH43">
        <v>981.5</v>
      </c>
      <c r="AI43">
        <v>811.5</v>
      </c>
      <c r="AJ43">
        <f>Tabel242567891011121314151716181921202223[[#This Row],[Stand Gekoeld liter einde maand]]-Tabel242567891011121314151716181921202223[[#This Row],[Stand Gekoeld liter vorige maand]]</f>
        <v>170</v>
      </c>
      <c r="AK43" s="2">
        <f>Tabel242567891011121314151716181921202223[[#This Row],[Verbruik Gekoeld liter deze maand]]/0.15</f>
        <v>1133.3333333333335</v>
      </c>
      <c r="AL43" s="53">
        <v>713.1</v>
      </c>
      <c r="AM43">
        <v>596.70000000000005</v>
      </c>
      <c r="AN43">
        <f>Tabel242567891011121314151716181921202223[[#This Row],[Stand Bruisend liter einde maand]]-Tabel242567891011121314151716181921202223[[#This Row],[Stand Bruisend liter vorige maand]]</f>
        <v>116.39999999999998</v>
      </c>
      <c r="AO43" s="2">
        <f>Tabel242567891011121314151716181921202223[[#This Row],[Verbruik Bruisend liter deze maand]]/0.15</f>
        <v>775.99999999999989</v>
      </c>
      <c r="AP43" s="53">
        <v>237.2</v>
      </c>
      <c r="AQ43">
        <v>181.6</v>
      </c>
      <c r="AR43">
        <f>Tabel242567891011121314151716181921202223[[#This Row],[Stand licht bruisend liter einde maand]]-Tabel242567891011121314151716181921202223[[#This Row],[Stand licht bruisend liter vorige maand]]</f>
        <v>55.599999999999994</v>
      </c>
      <c r="AS43" s="2">
        <f>Tabel242567891011121314151716181921202223[[#This Row],[Verbruik licht bruisend liter deze maand]]/0.15</f>
        <v>370.66666666666663</v>
      </c>
      <c r="AT43" s="53">
        <v>2672.2</v>
      </c>
      <c r="AU43">
        <v>2093.6999999999998</v>
      </c>
      <c r="AV43">
        <f>Tabel242567891011121314151716181921202223[[#This Row],[Stand heet water liter einde maand]]-Tabel242567891011121314151716181921202223[[#This Row],[Stand heet water liter vorige maand]]</f>
        <v>578.5</v>
      </c>
      <c r="AW43" s="2">
        <f>Tabel242567891011121314151716181921202223[[#This Row],[Verbruik heet Water liter deze maand ]]/0.15</f>
        <v>3856.666666666667</v>
      </c>
      <c r="AX43" s="77">
        <f>Tabel242567891011121314151716181921202223[[#This Row],[Aantal consumpties heet water deze maand]]+Tabel242567891011121314151716181921202223[[#This Row],[Aantal consumpties licht bruisend water deze maand]]+Tabel242567891011121314151716181921202223[[#This Row],[aantal consumpties Bruisend water deze maand]]+Tabel242567891011121314151716181921202223[[#This Row],[Aantal consumpties gekoeld water deze maand]]+Tabel242567891011121314151716181921202223[[#This Row],[Aantal consumpties Kamertemp deze maand]]</f>
        <v>6438.6666666666679</v>
      </c>
      <c r="AY43" s="95">
        <f>Tabel242567891011121314151716181921202223[[#This Row],[Subtotaal waterbar in consumpties]]+Tabel242567891011121314151716181921202223[[#This Row],[Subtotaal koffieautomaten]]</f>
        <v>7688.6666666666679</v>
      </c>
    </row>
    <row r="44" spans="1:126" x14ac:dyDescent="0.25">
      <c r="A44" s="53" t="s">
        <v>45</v>
      </c>
      <c r="B44" t="s">
        <v>92</v>
      </c>
      <c r="C44" t="s">
        <v>36</v>
      </c>
      <c r="E44" s="54"/>
      <c r="F44" s="46"/>
      <c r="G44" s="47"/>
      <c r="H44" s="54"/>
      <c r="I44" s="46"/>
      <c r="J44" s="47"/>
      <c r="K44" s="54"/>
      <c r="L44" s="46"/>
      <c r="M44" s="47"/>
      <c r="N44" s="54"/>
      <c r="O44" s="46"/>
      <c r="P44" s="47"/>
      <c r="Q44" s="54"/>
      <c r="R44" s="46"/>
      <c r="S44" s="47"/>
      <c r="T44" s="54"/>
      <c r="U44" s="46"/>
      <c r="V44" s="47"/>
      <c r="W44" s="54"/>
      <c r="X44" s="46"/>
      <c r="Y44" s="47"/>
      <c r="Z44" s="54"/>
      <c r="AA44" s="46"/>
      <c r="AB44" s="109"/>
      <c r="AC44" s="47"/>
      <c r="AD44" s="53">
        <v>108.3</v>
      </c>
      <c r="AE44">
        <v>55.4</v>
      </c>
      <c r="AF44">
        <f>Tabel242567891011121314151716181921202223[[#This Row],[Stand Kamertemp liter einde maand]]-Tabel242567891011121314151716181921202223[[#This Row],[Stand Kamertemp liter vorige maand]]</f>
        <v>52.9</v>
      </c>
      <c r="AG44" s="99">
        <f>Tabel242567891011121314151716181921202223[[#This Row],[Verbruik Kamertemp liter deze maand]]/0.15</f>
        <v>352.66666666666669</v>
      </c>
      <c r="AH44">
        <v>296.60000000000002</v>
      </c>
      <c r="AI44">
        <v>226.5</v>
      </c>
      <c r="AJ44">
        <f>Tabel242567891011121314151716181921202223[[#This Row],[Stand Gekoeld liter einde maand]]-Tabel242567891011121314151716181921202223[[#This Row],[Stand Gekoeld liter vorige maand]]</f>
        <v>70.100000000000023</v>
      </c>
      <c r="AK44" s="2">
        <f>Tabel242567891011121314151716181921202223[[#This Row],[Verbruik Gekoeld liter deze maand]]/0.15</f>
        <v>467.33333333333348</v>
      </c>
      <c r="AL44" s="53">
        <v>306.89999999999998</v>
      </c>
      <c r="AM44">
        <v>242.4</v>
      </c>
      <c r="AN44">
        <f>Tabel242567891011121314151716181921202223[[#This Row],[Stand Bruisend liter einde maand]]-Tabel242567891011121314151716181921202223[[#This Row],[Stand Bruisend liter vorige maand]]</f>
        <v>64.499999999999972</v>
      </c>
      <c r="AO44" s="2">
        <f>Tabel242567891011121314151716181921202223[[#This Row],[Verbruik Bruisend liter deze maand]]/0.15</f>
        <v>429.99999999999983</v>
      </c>
      <c r="AP44" s="53">
        <v>61.6</v>
      </c>
      <c r="AQ44">
        <v>46.8</v>
      </c>
      <c r="AR44">
        <f>Tabel242567891011121314151716181921202223[[#This Row],[Stand licht bruisend liter einde maand]]-Tabel242567891011121314151716181921202223[[#This Row],[Stand licht bruisend liter vorige maand]]</f>
        <v>14.800000000000004</v>
      </c>
      <c r="AS44" s="2">
        <f>Tabel242567891011121314151716181921202223[[#This Row],[Verbruik licht bruisend liter deze maand]]/0.15</f>
        <v>98.6666666666667</v>
      </c>
      <c r="AT44" s="53">
        <v>1086.5</v>
      </c>
      <c r="AU44">
        <v>795.2</v>
      </c>
      <c r="AV44">
        <f>Tabel242567891011121314151716181921202223[[#This Row],[Stand heet water liter einde maand]]-Tabel242567891011121314151716181921202223[[#This Row],[Stand heet water liter vorige maand]]</f>
        <v>291.29999999999995</v>
      </c>
      <c r="AW44" s="2">
        <f>Tabel242567891011121314151716181921202223[[#This Row],[Verbruik heet Water liter deze maand ]]/0.15</f>
        <v>1941.9999999999998</v>
      </c>
      <c r="AX44" s="77">
        <f>Tabel242567891011121314151716181921202223[[#This Row],[Aantal consumpties heet water deze maand]]+Tabel242567891011121314151716181921202223[[#This Row],[Aantal consumpties licht bruisend water deze maand]]+Tabel242567891011121314151716181921202223[[#This Row],[aantal consumpties Bruisend water deze maand]]+Tabel242567891011121314151716181921202223[[#This Row],[Aantal consumpties gekoeld water deze maand]]+Tabel242567891011121314151716181921202223[[#This Row],[Aantal consumpties Kamertemp deze maand]]</f>
        <v>3290.6666666666665</v>
      </c>
      <c r="AY44" s="95">
        <f>Tabel242567891011121314151716181921202223[[#This Row],[Subtotaal waterbar in consumpties]]+Tabel242567891011121314151716181921202223[[#This Row],[Subtotaal koffieautomaten]]</f>
        <v>3290.6666666666665</v>
      </c>
    </row>
    <row r="45" spans="1:126" x14ac:dyDescent="0.25">
      <c r="A45" s="53" t="s">
        <v>48</v>
      </c>
      <c r="B45" t="s">
        <v>158</v>
      </c>
      <c r="C45" t="s">
        <v>31</v>
      </c>
      <c r="E45" s="53">
        <v>22181</v>
      </c>
      <c r="F45">
        <v>20926</v>
      </c>
      <c r="G45">
        <f>Tabel242567891011121314151716181921202223[[#This Row],[Stand Coffee einde maand]]-Tabel242567891011121314151716181921202223[[#This Row],[Coffee vorige maand]]</f>
        <v>1255</v>
      </c>
      <c r="H45" s="53">
        <v>5733</v>
      </c>
      <c r="I45">
        <v>5435</v>
      </c>
      <c r="J45">
        <f>Tabel242567891011121314151716181921202223[[#This Row],[Stand Espresso Einde maand]]-Tabel242567891011121314151716181921202223[[#This Row],[Espresso vorige maand]]</f>
        <v>298</v>
      </c>
      <c r="K45" s="53">
        <v>2207</v>
      </c>
      <c r="L45">
        <v>2059</v>
      </c>
      <c r="M45">
        <f>Tabel242567891011121314151716181921202223[[#This Row],[Stand Latte Macchiato einde maand]]-Tabel242567891011121314151716181921202223[[#This Row],[Latte Macchiato vorige maand]]</f>
        <v>148</v>
      </c>
      <c r="N45" s="53">
        <v>496</v>
      </c>
      <c r="O45">
        <v>471</v>
      </c>
      <c r="P45">
        <f>Tabel242567891011121314151716181921202223[[#This Row],[Stand Coffee Latte einde maand]]-Tabel242567891011121314151716181921202223[[#This Row],[Coffee Latte vorige maand]]</f>
        <v>25</v>
      </c>
      <c r="Q45" s="53">
        <v>21455</v>
      </c>
      <c r="R45">
        <v>20145</v>
      </c>
      <c r="S45">
        <f>Tabel242567891011121314151716181921202223[[#This Row],[Stand Hot Water einde maand]]-Tabel242567891011121314151716181921202223[[#This Row],[Hot Water vorige maand]]</f>
        <v>1310</v>
      </c>
      <c r="T45" s="53">
        <v>8202</v>
      </c>
      <c r="U45">
        <v>7827</v>
      </c>
      <c r="V45">
        <f>Tabel242567891011121314151716181921202223[[#This Row],[Stand Cappucino einde maand]]-Tabel242567891011121314151716181921202223[[#This Row],[Stand Cappucino vorige maand]]</f>
        <v>375</v>
      </c>
      <c r="W45" s="53">
        <v>1418</v>
      </c>
      <c r="X45">
        <v>1373</v>
      </c>
      <c r="Y45">
        <f>Tabel242567891011121314151716181921202223[[#This Row],[Stand Cappucino Plantaardig einde maand]]-Tabel242567891011121314151716181921202223[[#This Row],[Stand Cappucino Plantaardig vorige maand]]</f>
        <v>45</v>
      </c>
      <c r="Z45" s="53">
        <v>1022</v>
      </c>
      <c r="AA45">
        <v>960</v>
      </c>
      <c r="AB45" s="52">
        <f>Tabel242567891011121314151716181921202223[[#This Row],[Stand Latte Macchiato Plantaardig einde maand]]-Tabel242567891011121314151716181921202223[[#This Row],[Stand Latte Macchiato Plantaardig vorige maand]]</f>
        <v>62</v>
      </c>
      <c r="AC45" s="3">
        <f>Tabel242567891011121314151716181921202223[[#This Row],[Verbruik Stand Latte Macchiato Plantaardig deze maand]]+Tabel242567891011121314151716181921202223[[#This Row],[Verbruik  Cappucino Plantaardig deze maand]]+Tabel242567891011121314151716181921202223[[#This Row],[Verbruik Cappucino deze maand]]+Tabel242567891011121314151716181921202223[[#This Row],[Verbruik Hot Water deze maand]]+Tabel242567891011121314151716181921202223[[#This Row],[Verbruik Coffee Latte deze maand]]+Tabel242567891011121314151716181921202223[[#This Row],[Verbruik Latte Macchiato deze maand]]+Tabel242567891011121314151716181921202223[[#This Row],[Verbruik Espresso deze maand]]+Tabel242567891011121314151716181921202223[[#This Row],[Verbruik Coffee deze maand]]</f>
        <v>3518</v>
      </c>
      <c r="AD45" s="75"/>
      <c r="AE45" s="5"/>
      <c r="AF45" s="5"/>
      <c r="AG45" s="100"/>
      <c r="AH45" s="5"/>
      <c r="AI45" s="41"/>
      <c r="AJ45" s="5"/>
      <c r="AK45" s="5"/>
      <c r="AL45" s="75"/>
      <c r="AM45" s="41"/>
      <c r="AN45" s="5"/>
      <c r="AO45" s="5"/>
      <c r="AP45" s="75"/>
      <c r="AQ45" s="41"/>
      <c r="AR45" s="5"/>
      <c r="AS45" s="5"/>
      <c r="AT45" s="75"/>
      <c r="AU45" s="41"/>
      <c r="AV45" s="5"/>
      <c r="AW45" s="5"/>
      <c r="AX45" s="79"/>
      <c r="AY45" s="95">
        <f>Tabel242567891011121314151716181921202223[[#This Row],[Subtotaal waterbar in consumpties]]+Tabel242567891011121314151716181921202223[[#This Row],[Subtotaal koffieautomaten]]</f>
        <v>3518</v>
      </c>
    </row>
    <row r="46" spans="1:126" x14ac:dyDescent="0.25">
      <c r="A46" s="53" t="s">
        <v>50</v>
      </c>
      <c r="B46" t="s">
        <v>93</v>
      </c>
      <c r="C46" t="s">
        <v>36</v>
      </c>
      <c r="E46" s="54"/>
      <c r="F46" s="46"/>
      <c r="G46" s="47"/>
      <c r="H46" s="54"/>
      <c r="I46" s="46"/>
      <c r="J46" s="47"/>
      <c r="K46" s="54"/>
      <c r="L46" s="46"/>
      <c r="M46" s="47"/>
      <c r="N46" s="54"/>
      <c r="O46" s="46"/>
      <c r="P46" s="47"/>
      <c r="Q46" s="54"/>
      <c r="R46" s="46"/>
      <c r="S46" s="47"/>
      <c r="T46" s="54"/>
      <c r="U46" s="46"/>
      <c r="V46" s="47"/>
      <c r="W46" s="54"/>
      <c r="X46" s="46"/>
      <c r="Y46" s="47"/>
      <c r="Z46" s="54"/>
      <c r="AA46" s="46"/>
      <c r="AB46" s="109"/>
      <c r="AC46" s="47"/>
      <c r="AD46" s="53">
        <v>50.1</v>
      </c>
      <c r="AE46">
        <v>28</v>
      </c>
      <c r="AF46">
        <f>Tabel242567891011121314151716181921202223[[#This Row],[Stand Kamertemp liter einde maand]]-Tabel242567891011121314151716181921202223[[#This Row],[Stand Kamertemp liter vorige maand]]</f>
        <v>22.1</v>
      </c>
      <c r="AG46" s="99">
        <f>Tabel242567891011121314151716181921202223[[#This Row],[Verbruik Kamertemp liter deze maand]]/0.15</f>
        <v>147.33333333333334</v>
      </c>
      <c r="AH46">
        <v>317.5</v>
      </c>
      <c r="AI46">
        <v>272.10000000000002</v>
      </c>
      <c r="AJ46">
        <f>Tabel242567891011121314151716181921202223[[#This Row],[Stand Gekoeld liter einde maand]]-Tabel242567891011121314151716181921202223[[#This Row],[Stand Gekoeld liter vorige maand]]</f>
        <v>45.399999999999977</v>
      </c>
      <c r="AK46" s="2">
        <f>Tabel242567891011121314151716181921202223[[#This Row],[Verbruik Gekoeld liter deze maand]]/0.15</f>
        <v>302.66666666666652</v>
      </c>
      <c r="AL46" s="53">
        <v>170.5</v>
      </c>
      <c r="AM46">
        <v>150.80000000000001</v>
      </c>
      <c r="AN46">
        <f>Tabel242567891011121314151716181921202223[[#This Row],[Stand Bruisend liter einde maand]]-Tabel242567891011121314151716181921202223[[#This Row],[Stand Bruisend liter vorige maand]]</f>
        <v>19.699999999999989</v>
      </c>
      <c r="AO46" s="2">
        <f>Tabel242567891011121314151716181921202223[[#This Row],[Verbruik Bruisend liter deze maand]]/0.15</f>
        <v>131.33333333333326</v>
      </c>
      <c r="AP46" s="53">
        <v>74.3</v>
      </c>
      <c r="AQ46">
        <v>64.099999999999994</v>
      </c>
      <c r="AR46">
        <f>Tabel242567891011121314151716181921202223[[#This Row],[Stand licht bruisend liter einde maand]]-Tabel242567891011121314151716181921202223[[#This Row],[Stand licht bruisend liter vorige maand]]</f>
        <v>10.200000000000003</v>
      </c>
      <c r="AS46" s="2">
        <f>Tabel242567891011121314151716181921202223[[#This Row],[Verbruik licht bruisend liter deze maand]]/0.15</f>
        <v>68.000000000000028</v>
      </c>
      <c r="AT46" s="53">
        <v>900</v>
      </c>
      <c r="AU46">
        <v>745.6</v>
      </c>
      <c r="AV46">
        <f>Tabel242567891011121314151716181921202223[[#This Row],[Stand heet water liter einde maand]]-Tabel242567891011121314151716181921202223[[#This Row],[Stand heet water liter vorige maand]]</f>
        <v>154.39999999999998</v>
      </c>
      <c r="AW46" s="2">
        <f>Tabel242567891011121314151716181921202223[[#This Row],[Verbruik heet Water liter deze maand ]]/0.15</f>
        <v>1029.3333333333333</v>
      </c>
      <c r="AX46" s="77">
        <f>Tabel242567891011121314151716181921202223[[#This Row],[Aantal consumpties heet water deze maand]]+Tabel242567891011121314151716181921202223[[#This Row],[Aantal consumpties licht bruisend water deze maand]]+Tabel242567891011121314151716181921202223[[#This Row],[aantal consumpties Bruisend water deze maand]]+Tabel242567891011121314151716181921202223[[#This Row],[Aantal consumpties gekoeld water deze maand]]+Tabel242567891011121314151716181921202223[[#This Row],[Aantal consumpties Kamertemp deze maand]]</f>
        <v>1678.6666666666663</v>
      </c>
      <c r="AY46" s="95">
        <f>Tabel242567891011121314151716181921202223[[#This Row],[Subtotaal waterbar in consumpties]]+Tabel242567891011121314151716181921202223[[#This Row],[Subtotaal koffieautomaten]]</f>
        <v>1678.6666666666663</v>
      </c>
    </row>
    <row r="47" spans="1:126" x14ac:dyDescent="0.25">
      <c r="A47" s="64">
        <v>10</v>
      </c>
      <c r="B47" t="s">
        <v>94</v>
      </c>
      <c r="C47" t="s">
        <v>31</v>
      </c>
      <c r="E47" s="53">
        <v>8377</v>
      </c>
      <c r="F47">
        <v>8044</v>
      </c>
      <c r="G47">
        <f>Tabel242567891011121314151716181921202223[[#This Row],[Stand Coffee einde maand]]-Tabel242567891011121314151716181921202223[[#This Row],[Coffee vorige maand]]</f>
        <v>333</v>
      </c>
      <c r="H47" s="53">
        <v>6440</v>
      </c>
      <c r="I47">
        <v>6126</v>
      </c>
      <c r="J47">
        <f>Tabel242567891011121314151716181921202223[[#This Row],[Stand Espresso Einde maand]]-Tabel242567891011121314151716181921202223[[#This Row],[Espresso vorige maand]]</f>
        <v>314</v>
      </c>
      <c r="K47" s="53">
        <v>1097</v>
      </c>
      <c r="L47">
        <v>1044</v>
      </c>
      <c r="M47">
        <f>Tabel242567891011121314151716181921202223[[#This Row],[Stand Latte Macchiato einde maand]]-Tabel242567891011121314151716181921202223[[#This Row],[Latte Macchiato vorige maand]]</f>
        <v>53</v>
      </c>
      <c r="N47" s="53">
        <v>760</v>
      </c>
      <c r="O47">
        <v>715</v>
      </c>
      <c r="P47">
        <f>Tabel242567891011121314151716181921202223[[#This Row],[Stand Coffee Latte einde maand]]-Tabel242567891011121314151716181921202223[[#This Row],[Coffee Latte vorige maand]]</f>
        <v>45</v>
      </c>
      <c r="Q47" s="53">
        <v>16654</v>
      </c>
      <c r="R47">
        <v>15901</v>
      </c>
      <c r="S47">
        <f>Tabel242567891011121314151716181921202223[[#This Row],[Stand Hot Water einde maand]]-Tabel242567891011121314151716181921202223[[#This Row],[Hot Water vorige maand]]</f>
        <v>753</v>
      </c>
      <c r="T47" s="53">
        <v>6954</v>
      </c>
      <c r="U47">
        <v>6767</v>
      </c>
      <c r="V47">
        <f>Tabel242567891011121314151716181921202223[[#This Row],[Stand Cappucino einde maand]]-Tabel242567891011121314151716181921202223[[#This Row],[Stand Cappucino vorige maand]]</f>
        <v>187</v>
      </c>
      <c r="W47" s="53">
        <v>973</v>
      </c>
      <c r="X47">
        <v>944</v>
      </c>
      <c r="Y47">
        <f>Tabel242567891011121314151716181921202223[[#This Row],[Stand Cappucino Plantaardig einde maand]]-Tabel242567891011121314151716181921202223[[#This Row],[Stand Cappucino Plantaardig vorige maand]]</f>
        <v>29</v>
      </c>
      <c r="Z47" s="53">
        <v>174</v>
      </c>
      <c r="AA47">
        <v>164</v>
      </c>
      <c r="AB47" s="52">
        <f>Tabel242567891011121314151716181921202223[[#This Row],[Stand Latte Macchiato Plantaardig einde maand]]-Tabel242567891011121314151716181921202223[[#This Row],[Stand Latte Macchiato Plantaardig vorige maand]]</f>
        <v>10</v>
      </c>
      <c r="AC47" s="3">
        <f>Tabel242567891011121314151716181921202223[[#This Row],[Verbruik Stand Latte Macchiato Plantaardig deze maand]]+Tabel242567891011121314151716181921202223[[#This Row],[Verbruik  Cappucino Plantaardig deze maand]]+Tabel242567891011121314151716181921202223[[#This Row],[Verbruik Cappucino deze maand]]+Tabel242567891011121314151716181921202223[[#This Row],[Verbruik Hot Water deze maand]]+Tabel242567891011121314151716181921202223[[#This Row],[Verbruik Coffee Latte deze maand]]+Tabel242567891011121314151716181921202223[[#This Row],[Verbruik Latte Macchiato deze maand]]+Tabel242567891011121314151716181921202223[[#This Row],[Verbruik Espresso deze maand]]+Tabel242567891011121314151716181921202223[[#This Row],[Verbruik Coffee deze maand]]</f>
        <v>1724</v>
      </c>
      <c r="AD47" s="75"/>
      <c r="AE47" s="5"/>
      <c r="AF47" s="5"/>
      <c r="AG47" s="100"/>
      <c r="AH47" s="5"/>
      <c r="AI47" s="41"/>
      <c r="AJ47" s="5"/>
      <c r="AK47" s="5"/>
      <c r="AL47" s="75"/>
      <c r="AM47" s="41"/>
      <c r="AN47" s="5"/>
      <c r="AO47" s="5"/>
      <c r="AP47" s="75"/>
      <c r="AQ47" s="41"/>
      <c r="AR47" s="5"/>
      <c r="AS47" s="5"/>
      <c r="AT47" s="75"/>
      <c r="AU47" s="41"/>
      <c r="AV47" s="5"/>
      <c r="AW47" s="5"/>
      <c r="AX47" s="79"/>
      <c r="AY47" s="95">
        <f>Tabel242567891011121314151716181921202223[[#This Row],[Subtotaal waterbar in consumpties]]+Tabel242567891011121314151716181921202223[[#This Row],[Subtotaal koffieautomaten]]</f>
        <v>1724</v>
      </c>
    </row>
    <row r="48" spans="1:126" x14ac:dyDescent="0.25">
      <c r="A48" s="53" t="s">
        <v>54</v>
      </c>
      <c r="B48" t="s">
        <v>95</v>
      </c>
      <c r="C48" t="s">
        <v>47</v>
      </c>
      <c r="E48" s="53">
        <v>10420</v>
      </c>
      <c r="F48" s="101">
        <v>10028</v>
      </c>
      <c r="G48">
        <f>Tabel242567891011121314151716181921202223[[#This Row],[Stand Coffee einde maand]]-Tabel242567891011121314151716181921202223[[#This Row],[Coffee vorige maand]]</f>
        <v>392</v>
      </c>
      <c r="H48" s="53">
        <v>3157</v>
      </c>
      <c r="I48" s="101">
        <v>2987</v>
      </c>
      <c r="J48">
        <f>Tabel242567891011121314151716181921202223[[#This Row],[Stand Espresso Einde maand]]-Tabel242567891011121314151716181921202223[[#This Row],[Espresso vorige maand]]</f>
        <v>170</v>
      </c>
      <c r="K48" s="53">
        <v>990</v>
      </c>
      <c r="L48" s="101">
        <v>924</v>
      </c>
      <c r="M48">
        <f>Tabel242567891011121314151716181921202223[[#This Row],[Stand Latte Macchiato einde maand]]-Tabel242567891011121314151716181921202223[[#This Row],[Latte Macchiato vorige maand]]</f>
        <v>66</v>
      </c>
      <c r="N48" s="53">
        <v>490</v>
      </c>
      <c r="O48" s="101">
        <v>470</v>
      </c>
      <c r="P48">
        <f>Tabel242567891011121314151716181921202223[[#This Row],[Stand Coffee Latte einde maand]]-Tabel242567891011121314151716181921202223[[#This Row],[Coffee Latte vorige maand]]</f>
        <v>20</v>
      </c>
      <c r="Q48" s="53">
        <v>0</v>
      </c>
      <c r="R48" s="101">
        <v>0</v>
      </c>
      <c r="S48">
        <v>0</v>
      </c>
      <c r="T48" s="53">
        <v>4751</v>
      </c>
      <c r="U48" s="101">
        <v>4545</v>
      </c>
      <c r="V48">
        <f>Tabel242567891011121314151716181921202223[[#This Row],[Stand Cappucino einde maand]]-Tabel242567891011121314151716181921202223[[#This Row],[Stand Cappucino vorige maand]]</f>
        <v>206</v>
      </c>
      <c r="W48" s="53">
        <v>1172</v>
      </c>
      <c r="X48" s="101">
        <v>1124</v>
      </c>
      <c r="Y48">
        <f>Tabel242567891011121314151716181921202223[[#This Row],[Stand Cappucino Plantaardig einde maand]]-Tabel242567891011121314151716181921202223[[#This Row],[Stand Cappucino Plantaardig vorige maand]]</f>
        <v>48</v>
      </c>
      <c r="Z48" s="53">
        <v>650</v>
      </c>
      <c r="AA48" s="101">
        <v>634</v>
      </c>
      <c r="AB48" s="52">
        <f>Tabel242567891011121314151716181921202223[[#This Row],[Stand Latte Macchiato Plantaardig einde maand]]-Tabel242567891011121314151716181921202223[[#This Row],[Stand Latte Macchiato Plantaardig vorige maand]]</f>
        <v>16</v>
      </c>
      <c r="AC48" s="3">
        <f>Tabel242567891011121314151716181921202223[[#This Row],[Verbruik Stand Latte Macchiato Plantaardig deze maand]]+Tabel242567891011121314151716181921202223[[#This Row],[Verbruik  Cappucino Plantaardig deze maand]]+Tabel242567891011121314151716181921202223[[#This Row],[Verbruik Cappucino deze maand]]+Tabel242567891011121314151716181921202223[[#This Row],[Verbruik Hot Water deze maand]]+Tabel242567891011121314151716181921202223[[#This Row],[Verbruik Coffee Latte deze maand]]+Tabel242567891011121314151716181921202223[[#This Row],[Verbruik Latte Macchiato deze maand]]+Tabel242567891011121314151716181921202223[[#This Row],[Verbruik Espresso deze maand]]+Tabel242567891011121314151716181921202223[[#This Row],[Verbruik Coffee deze maand]]</f>
        <v>918</v>
      </c>
      <c r="AD48" s="53">
        <v>86.1</v>
      </c>
      <c r="AE48">
        <v>60.4</v>
      </c>
      <c r="AF48">
        <f>Tabel242567891011121314151716181921202223[[#This Row],[Stand Kamertemp liter einde maand]]-Tabel242567891011121314151716181921202223[[#This Row],[Stand Kamertemp liter vorige maand]]</f>
        <v>25.699999999999996</v>
      </c>
      <c r="AG48" s="99">
        <f>Tabel242567891011121314151716181921202223[[#This Row],[Verbruik Kamertemp liter deze maand]]/0.15</f>
        <v>171.33333333333331</v>
      </c>
      <c r="AH48">
        <v>891.5</v>
      </c>
      <c r="AI48">
        <v>802.3</v>
      </c>
      <c r="AJ48">
        <f>Tabel242567891011121314151716181921202223[[#This Row],[Stand Gekoeld liter einde maand]]-Tabel242567891011121314151716181921202223[[#This Row],[Stand Gekoeld liter vorige maand]]</f>
        <v>89.200000000000045</v>
      </c>
      <c r="AK48" s="2">
        <f>Tabel242567891011121314151716181921202223[[#This Row],[Verbruik Gekoeld liter deze maand]]/0.15</f>
        <v>594.66666666666697</v>
      </c>
      <c r="AL48" s="53">
        <v>391.2</v>
      </c>
      <c r="AM48">
        <v>345.2</v>
      </c>
      <c r="AN48">
        <f>Tabel242567891011121314151716181921202223[[#This Row],[Stand Bruisend liter einde maand]]-Tabel242567891011121314151716181921202223[[#This Row],[Stand Bruisend liter vorige maand]]</f>
        <v>46</v>
      </c>
      <c r="AO48" s="2">
        <f>Tabel242567891011121314151716181921202223[[#This Row],[Verbruik Bruisend liter deze maand]]/0.15</f>
        <v>306.66666666666669</v>
      </c>
      <c r="AP48" s="53">
        <v>159.19999999999999</v>
      </c>
      <c r="AQ48">
        <v>138.80000000000001</v>
      </c>
      <c r="AR48">
        <f>Tabel242567891011121314151716181921202223[[#This Row],[Stand licht bruisend liter einde maand]]-Tabel242567891011121314151716181921202223[[#This Row],[Stand licht bruisend liter vorige maand]]</f>
        <v>20.399999999999977</v>
      </c>
      <c r="AS48" s="2">
        <f>Tabel242567891011121314151716181921202223[[#This Row],[Verbruik licht bruisend liter deze maand]]/0.15</f>
        <v>135.99999999999986</v>
      </c>
      <c r="AT48" s="53">
        <v>1565.6</v>
      </c>
      <c r="AU48">
        <v>1244.5</v>
      </c>
      <c r="AV48">
        <f>Tabel242567891011121314151716181921202223[[#This Row],[Stand heet water liter einde maand]]-Tabel242567891011121314151716181921202223[[#This Row],[Stand heet water liter vorige maand]]</f>
        <v>321.09999999999991</v>
      </c>
      <c r="AW48" s="2">
        <f>Tabel242567891011121314151716181921202223[[#This Row],[Verbruik heet Water liter deze maand ]]/0.15</f>
        <v>2140.6666666666661</v>
      </c>
      <c r="AX48" s="77">
        <f>Tabel242567891011121314151716181921202223[[#This Row],[Aantal consumpties heet water deze maand]]+Tabel242567891011121314151716181921202223[[#This Row],[Aantal consumpties licht bruisend water deze maand]]+Tabel242567891011121314151716181921202223[[#This Row],[aantal consumpties Bruisend water deze maand]]+Tabel242567891011121314151716181921202223[[#This Row],[Aantal consumpties gekoeld water deze maand]]+Tabel242567891011121314151716181921202223[[#This Row],[Aantal consumpties Kamertemp deze maand]]</f>
        <v>3349.333333333333</v>
      </c>
      <c r="AY48" s="95">
        <f>Tabel242567891011121314151716181921202223[[#This Row],[Subtotaal waterbar in consumpties]]+Tabel242567891011121314151716181921202223[[#This Row],[Subtotaal koffieautomaten]]</f>
        <v>4267.333333333333</v>
      </c>
    </row>
    <row r="49" spans="1:126" x14ac:dyDescent="0.25">
      <c r="A49" s="53" t="s">
        <v>56</v>
      </c>
      <c r="B49" t="s">
        <v>96</v>
      </c>
      <c r="C49" t="s">
        <v>36</v>
      </c>
      <c r="E49" s="54"/>
      <c r="F49" s="46"/>
      <c r="G49" s="47"/>
      <c r="H49" s="54"/>
      <c r="I49" s="46"/>
      <c r="J49" s="47"/>
      <c r="K49" s="54"/>
      <c r="L49" s="46"/>
      <c r="M49" s="47"/>
      <c r="N49" s="54"/>
      <c r="O49" s="46"/>
      <c r="P49" s="47"/>
      <c r="Q49" s="54"/>
      <c r="R49" s="46"/>
      <c r="S49" s="47"/>
      <c r="T49" s="54"/>
      <c r="U49" s="46"/>
      <c r="V49" s="47"/>
      <c r="W49" s="54"/>
      <c r="X49" s="46"/>
      <c r="Y49" s="47"/>
      <c r="Z49" s="54"/>
      <c r="AA49" s="46"/>
      <c r="AB49" s="109"/>
      <c r="AC49" s="47"/>
      <c r="AD49" s="53">
        <v>68.099999999999994</v>
      </c>
      <c r="AE49">
        <v>42.6</v>
      </c>
      <c r="AF49">
        <f>Tabel242567891011121314151716181921202223[[#This Row],[Stand Kamertemp liter einde maand]]-Tabel242567891011121314151716181921202223[[#This Row],[Stand Kamertemp liter vorige maand]]</f>
        <v>25.499999999999993</v>
      </c>
      <c r="AG49" s="99">
        <f>Tabel242567891011121314151716181921202223[[#This Row],[Verbruik Kamertemp liter deze maand]]/0.15</f>
        <v>169.99999999999997</v>
      </c>
      <c r="AH49">
        <v>487.8</v>
      </c>
      <c r="AI49">
        <v>399.3</v>
      </c>
      <c r="AJ49">
        <f>Tabel242567891011121314151716181921202223[[#This Row],[Stand Gekoeld liter einde maand]]-Tabel242567891011121314151716181921202223[[#This Row],[Stand Gekoeld liter vorige maand]]</f>
        <v>88.5</v>
      </c>
      <c r="AK49" s="2">
        <f>Tabel242567891011121314151716181921202223[[#This Row],[Verbruik Gekoeld liter deze maand]]/0.15</f>
        <v>590</v>
      </c>
      <c r="AL49" s="53">
        <v>186.9</v>
      </c>
      <c r="AM49">
        <v>146.69999999999999</v>
      </c>
      <c r="AN49">
        <f>Tabel242567891011121314151716181921202223[[#This Row],[Stand Bruisend liter einde maand]]-Tabel242567891011121314151716181921202223[[#This Row],[Stand Bruisend liter vorige maand]]</f>
        <v>40.200000000000017</v>
      </c>
      <c r="AO49" s="2">
        <f>Tabel242567891011121314151716181921202223[[#This Row],[Verbruik Bruisend liter deze maand]]/0.15</f>
        <v>268.00000000000011</v>
      </c>
      <c r="AP49" s="53">
        <v>85.4</v>
      </c>
      <c r="AQ49">
        <v>61.3</v>
      </c>
      <c r="AR49">
        <f>Tabel242567891011121314151716181921202223[[#This Row],[Stand licht bruisend liter einde maand]]-Tabel242567891011121314151716181921202223[[#This Row],[Stand licht bruisend liter vorige maand]]</f>
        <v>24.100000000000009</v>
      </c>
      <c r="AS49" s="2">
        <f>Tabel242567891011121314151716181921202223[[#This Row],[Verbruik licht bruisend liter deze maand]]/0.15</f>
        <v>160.66666666666674</v>
      </c>
      <c r="AT49" s="53">
        <v>1205</v>
      </c>
      <c r="AU49">
        <v>859.5</v>
      </c>
      <c r="AV49">
        <f>Tabel242567891011121314151716181921202223[[#This Row],[Stand heet water liter einde maand]]-Tabel242567891011121314151716181921202223[[#This Row],[Stand heet water liter vorige maand]]</f>
        <v>345.5</v>
      </c>
      <c r="AW49" s="2">
        <f>Tabel242567891011121314151716181921202223[[#This Row],[Verbruik heet Water liter deze maand ]]/0.15</f>
        <v>2303.3333333333335</v>
      </c>
      <c r="AX49" s="77">
        <f>Tabel242567891011121314151716181921202223[[#This Row],[Aantal consumpties heet water deze maand]]+Tabel242567891011121314151716181921202223[[#This Row],[Aantal consumpties licht bruisend water deze maand]]+Tabel242567891011121314151716181921202223[[#This Row],[aantal consumpties Bruisend water deze maand]]+Tabel242567891011121314151716181921202223[[#This Row],[Aantal consumpties gekoeld water deze maand]]+Tabel242567891011121314151716181921202223[[#This Row],[Aantal consumpties Kamertemp deze maand]]</f>
        <v>3492</v>
      </c>
      <c r="AY49" s="95">
        <f>Tabel242567891011121314151716181921202223[[#This Row],[Subtotaal waterbar in consumpties]]+Tabel242567891011121314151716181921202223[[#This Row],[Subtotaal koffieautomaten]]</f>
        <v>3492</v>
      </c>
    </row>
    <row r="50" spans="1:126" x14ac:dyDescent="0.25">
      <c r="A50" s="53" t="s">
        <v>58</v>
      </c>
      <c r="B50" t="s">
        <v>97</v>
      </c>
      <c r="C50" t="s">
        <v>31</v>
      </c>
      <c r="E50" s="53">
        <v>11996</v>
      </c>
      <c r="F50" s="101">
        <v>11455</v>
      </c>
      <c r="G50">
        <f>Tabel242567891011121314151716181921202223[[#This Row],[Stand Coffee einde maand]]-Tabel242567891011121314151716181921202223[[#This Row],[Coffee vorige maand]]</f>
        <v>541</v>
      </c>
      <c r="H50" s="53">
        <v>3341</v>
      </c>
      <c r="I50" s="101">
        <v>3184</v>
      </c>
      <c r="J50">
        <f>Tabel242567891011121314151716181921202223[[#This Row],[Stand Espresso Einde maand]]-Tabel242567891011121314151716181921202223[[#This Row],[Espresso vorige maand]]</f>
        <v>157</v>
      </c>
      <c r="K50" s="53">
        <v>1337</v>
      </c>
      <c r="L50" s="101">
        <v>1284</v>
      </c>
      <c r="M50">
        <f>Tabel242567891011121314151716181921202223[[#This Row],[Stand Latte Macchiato einde maand]]-Tabel242567891011121314151716181921202223[[#This Row],[Latte Macchiato vorige maand]]</f>
        <v>53</v>
      </c>
      <c r="N50" s="53">
        <v>1245</v>
      </c>
      <c r="O50" s="101">
        <v>1211</v>
      </c>
      <c r="P50">
        <f>Tabel242567891011121314151716181921202223[[#This Row],[Stand Coffee Latte einde maand]]-Tabel242567891011121314151716181921202223[[#This Row],[Coffee Latte vorige maand]]</f>
        <v>34</v>
      </c>
      <c r="Q50" s="53">
        <v>11553</v>
      </c>
      <c r="R50" s="101">
        <v>10875</v>
      </c>
      <c r="S50">
        <f>Tabel242567891011121314151716181921202223[[#This Row],[Stand Hot Water einde maand]]-Tabel242567891011121314151716181921202223[[#This Row],[Hot Water vorige maand]]</f>
        <v>678</v>
      </c>
      <c r="T50" s="53">
        <v>7375</v>
      </c>
      <c r="U50" s="101">
        <v>7027</v>
      </c>
      <c r="V50">
        <f>Tabel242567891011121314151716181921202223[[#This Row],[Stand Cappucino einde maand]]-Tabel242567891011121314151716181921202223[[#This Row],[Stand Cappucino vorige maand]]</f>
        <v>348</v>
      </c>
      <c r="W50" s="53">
        <v>1426</v>
      </c>
      <c r="X50" s="101">
        <v>1392</v>
      </c>
      <c r="Y50">
        <f>Tabel242567891011121314151716181921202223[[#This Row],[Stand Cappucino Plantaardig einde maand]]-Tabel242567891011121314151716181921202223[[#This Row],[Stand Cappucino Plantaardig vorige maand]]</f>
        <v>34</v>
      </c>
      <c r="Z50" s="53">
        <v>304</v>
      </c>
      <c r="AA50" s="101">
        <v>295</v>
      </c>
      <c r="AB50" s="52">
        <f>Tabel242567891011121314151716181921202223[[#This Row],[Stand Latte Macchiato Plantaardig einde maand]]-Tabel242567891011121314151716181921202223[[#This Row],[Stand Latte Macchiato Plantaardig vorige maand]]</f>
        <v>9</v>
      </c>
      <c r="AC50" s="3">
        <f>Tabel242567891011121314151716181921202223[[#This Row],[Verbruik Stand Latte Macchiato Plantaardig deze maand]]+Tabel242567891011121314151716181921202223[[#This Row],[Verbruik  Cappucino Plantaardig deze maand]]+Tabel242567891011121314151716181921202223[[#This Row],[Verbruik Cappucino deze maand]]+Tabel242567891011121314151716181921202223[[#This Row],[Verbruik Hot Water deze maand]]+Tabel242567891011121314151716181921202223[[#This Row],[Verbruik Coffee Latte deze maand]]+Tabel242567891011121314151716181921202223[[#This Row],[Verbruik Latte Macchiato deze maand]]+Tabel242567891011121314151716181921202223[[#This Row],[Verbruik Espresso deze maand]]+Tabel242567891011121314151716181921202223[[#This Row],[Verbruik Coffee deze maand]]</f>
        <v>1854</v>
      </c>
      <c r="AD50" s="75"/>
      <c r="AE50" s="5"/>
      <c r="AF50" s="5"/>
      <c r="AG50" s="100"/>
      <c r="AH50" s="5"/>
      <c r="AI50" s="41"/>
      <c r="AJ50" s="5"/>
      <c r="AK50" s="5"/>
      <c r="AL50" s="75"/>
      <c r="AM50" s="41"/>
      <c r="AN50" s="5"/>
      <c r="AO50" s="5"/>
      <c r="AP50" s="75"/>
      <c r="AQ50" s="41"/>
      <c r="AR50" s="5"/>
      <c r="AS50" s="5"/>
      <c r="AT50" s="75"/>
      <c r="AU50" s="41"/>
      <c r="AV50" s="5"/>
      <c r="AW50" s="5"/>
      <c r="AX50" s="79"/>
      <c r="AY50" s="95">
        <f>Tabel242567891011121314151716181921202223[[#This Row],[Subtotaal waterbar in consumpties]]+Tabel242567891011121314151716181921202223[[#This Row],[Subtotaal koffieautomaten]]</f>
        <v>1854</v>
      </c>
    </row>
    <row r="51" spans="1:126" x14ac:dyDescent="0.25">
      <c r="A51" s="53" t="s">
        <v>60</v>
      </c>
      <c r="B51" t="s">
        <v>98</v>
      </c>
      <c r="C51" t="s">
        <v>47</v>
      </c>
      <c r="E51" s="53">
        <v>7568</v>
      </c>
      <c r="F51">
        <v>7117</v>
      </c>
      <c r="G51">
        <f>Tabel242567891011121314151716181921202223[[#This Row],[Stand Coffee einde maand]]-Tabel242567891011121314151716181921202223[[#This Row],[Coffee vorige maand]]</f>
        <v>451</v>
      </c>
      <c r="H51" s="53">
        <v>2244</v>
      </c>
      <c r="I51">
        <v>2043</v>
      </c>
      <c r="J51">
        <f>Tabel242567891011121314151716181921202223[[#This Row],[Stand Espresso Einde maand]]-Tabel242567891011121314151716181921202223[[#This Row],[Espresso vorige maand]]</f>
        <v>201</v>
      </c>
      <c r="K51" s="53">
        <v>743</v>
      </c>
      <c r="L51">
        <v>720</v>
      </c>
      <c r="M51">
        <f>Tabel242567891011121314151716181921202223[[#This Row],[Stand Latte Macchiato einde maand]]-Tabel242567891011121314151716181921202223[[#This Row],[Latte Macchiato vorige maand]]</f>
        <v>23</v>
      </c>
      <c r="N51" s="53">
        <v>966</v>
      </c>
      <c r="O51">
        <v>903</v>
      </c>
      <c r="P51">
        <f>Tabel242567891011121314151716181921202223[[#This Row],[Stand Coffee Latte einde maand]]-Tabel242567891011121314151716181921202223[[#This Row],[Coffee Latte vorige maand]]</f>
        <v>63</v>
      </c>
      <c r="Q51" s="53">
        <v>1</v>
      </c>
      <c r="R51">
        <v>1</v>
      </c>
      <c r="S51">
        <f>Tabel242567891011121314151716181921202223[[#This Row],[Stand Hot Water einde maand]]-Tabel242567891011121314151716181921202223[[#This Row],[Hot Water vorige maand]]</f>
        <v>0</v>
      </c>
      <c r="T51" s="53">
        <v>4656</v>
      </c>
      <c r="U51">
        <v>4350</v>
      </c>
      <c r="V51">
        <f>Tabel242567891011121314151716181921202223[[#This Row],[Stand Cappucino einde maand]]-Tabel242567891011121314151716181921202223[[#This Row],[Stand Cappucino vorige maand]]</f>
        <v>306</v>
      </c>
      <c r="W51" s="53">
        <v>659</v>
      </c>
      <c r="X51">
        <v>611</v>
      </c>
      <c r="Y51">
        <f>Tabel242567891011121314151716181921202223[[#This Row],[Stand Cappucino Plantaardig einde maand]]-Tabel242567891011121314151716181921202223[[#This Row],[Stand Cappucino Plantaardig vorige maand]]</f>
        <v>48</v>
      </c>
      <c r="Z51" s="53">
        <v>159</v>
      </c>
      <c r="AA51">
        <v>145</v>
      </c>
      <c r="AB51" s="52">
        <f>Tabel242567891011121314151716181921202223[[#This Row],[Stand Latte Macchiato Plantaardig einde maand]]-Tabel242567891011121314151716181921202223[[#This Row],[Stand Latte Macchiato Plantaardig vorige maand]]</f>
        <v>14</v>
      </c>
      <c r="AC51" s="3">
        <f>Tabel242567891011121314151716181921202223[[#This Row],[Verbruik Stand Latte Macchiato Plantaardig deze maand]]+Tabel242567891011121314151716181921202223[[#This Row],[Verbruik  Cappucino Plantaardig deze maand]]+Tabel242567891011121314151716181921202223[[#This Row],[Verbruik Cappucino deze maand]]+Tabel242567891011121314151716181921202223[[#This Row],[Verbruik Hot Water deze maand]]+Tabel242567891011121314151716181921202223[[#This Row],[Verbruik Coffee Latte deze maand]]+Tabel242567891011121314151716181921202223[[#This Row],[Verbruik Latte Macchiato deze maand]]+Tabel242567891011121314151716181921202223[[#This Row],[Verbruik Espresso deze maand]]+Tabel242567891011121314151716181921202223[[#This Row],[Verbruik Coffee deze maand]]</f>
        <v>1106</v>
      </c>
      <c r="AD51" s="53">
        <v>22.1</v>
      </c>
      <c r="AE51">
        <v>2.4</v>
      </c>
      <c r="AF51">
        <f>Tabel242567891011121314151716181921202223[[#This Row],[Stand Kamertemp liter einde maand]]-Tabel242567891011121314151716181921202223[[#This Row],[Stand Kamertemp liter vorige maand]]</f>
        <v>19.700000000000003</v>
      </c>
      <c r="AG51" s="99">
        <f>Tabel242567891011121314151716181921202223[[#This Row],[Verbruik Kamertemp liter deze maand]]/0.15</f>
        <v>131.33333333333337</v>
      </c>
      <c r="AH51">
        <v>177.1</v>
      </c>
      <c r="AI51">
        <v>88.8</v>
      </c>
      <c r="AJ51">
        <f>Tabel242567891011121314151716181921202223[[#This Row],[Stand Gekoeld liter einde maand]]-Tabel242567891011121314151716181921202223[[#This Row],[Stand Gekoeld liter vorige maand]]</f>
        <v>88.3</v>
      </c>
      <c r="AK51" s="2">
        <f>Tabel242567891011121314151716181921202223[[#This Row],[Verbruik Gekoeld liter deze maand]]/0.15</f>
        <v>588.66666666666663</v>
      </c>
      <c r="AL51" s="53">
        <v>137.1</v>
      </c>
      <c r="AM51">
        <v>76.5</v>
      </c>
      <c r="AN51">
        <f>Tabel242567891011121314151716181921202223[[#This Row],[Stand Bruisend liter einde maand]]-Tabel242567891011121314151716181921202223[[#This Row],[Stand Bruisend liter vorige maand]]</f>
        <v>60.599999999999994</v>
      </c>
      <c r="AO51" s="2">
        <f>Tabel242567891011121314151716181921202223[[#This Row],[Verbruik Bruisend liter deze maand]]/0.15</f>
        <v>404</v>
      </c>
      <c r="AP51" s="53">
        <v>19.7</v>
      </c>
      <c r="AQ51">
        <v>9.1</v>
      </c>
      <c r="AR51">
        <f>Tabel242567891011121314151716181921202223[[#This Row],[Stand licht bruisend liter einde maand]]-Tabel242567891011121314151716181921202223[[#This Row],[Stand licht bruisend liter vorige maand]]</f>
        <v>10.6</v>
      </c>
      <c r="AS51" s="2">
        <f>Tabel242567891011121314151716181921202223[[#This Row],[Verbruik licht bruisend liter deze maand]]/0.15</f>
        <v>70.666666666666671</v>
      </c>
      <c r="AT51" s="53">
        <v>472.5</v>
      </c>
      <c r="AU51">
        <v>231.8</v>
      </c>
      <c r="AV51">
        <f>Tabel242567891011121314151716181921202223[[#This Row],[Stand heet water liter einde maand]]-Tabel242567891011121314151716181921202223[[#This Row],[Stand heet water liter vorige maand]]</f>
        <v>240.7</v>
      </c>
      <c r="AW51" s="2">
        <f>Tabel242567891011121314151716181921202223[[#This Row],[Verbruik heet Water liter deze maand ]]/0.15</f>
        <v>1604.6666666666667</v>
      </c>
      <c r="AX51" s="77">
        <f>Tabel242567891011121314151716181921202223[[#This Row],[Aantal consumpties heet water deze maand]]+Tabel242567891011121314151716181921202223[[#This Row],[Aantal consumpties licht bruisend water deze maand]]+Tabel242567891011121314151716181921202223[[#This Row],[aantal consumpties Bruisend water deze maand]]+Tabel242567891011121314151716181921202223[[#This Row],[Aantal consumpties gekoeld water deze maand]]+Tabel242567891011121314151716181921202223[[#This Row],[Aantal consumpties Kamertemp deze maand]]</f>
        <v>2799.3333333333335</v>
      </c>
      <c r="AY51" s="95">
        <f>Tabel242567891011121314151716181921202223[[#This Row],[Subtotaal waterbar in consumpties]]+Tabel242567891011121314151716181921202223[[#This Row],[Subtotaal koffieautomaten]]</f>
        <v>3905.3333333333335</v>
      </c>
    </row>
    <row r="52" spans="1:126" s="81" customFormat="1" x14ac:dyDescent="0.25">
      <c r="A52" s="89" t="s">
        <v>99</v>
      </c>
      <c r="F52" s="103"/>
      <c r="I52" s="103"/>
      <c r="L52" s="103"/>
      <c r="O52" s="103"/>
      <c r="R52" s="103"/>
      <c r="U52" s="103"/>
      <c r="X52" s="103"/>
      <c r="AA52" s="103"/>
      <c r="AC52" s="104"/>
      <c r="AG52" s="87"/>
      <c r="AK52" s="87"/>
      <c r="AO52" s="87"/>
      <c r="AS52" s="87"/>
      <c r="AW52" s="87"/>
      <c r="AX52" s="105"/>
      <c r="AY52" s="119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</row>
    <row r="53" spans="1:126" x14ac:dyDescent="0.25">
      <c r="A53" s="53" t="s">
        <v>43</v>
      </c>
      <c r="B53" t="s">
        <v>100</v>
      </c>
      <c r="C53" t="s">
        <v>31</v>
      </c>
      <c r="E53" s="53">
        <v>11008</v>
      </c>
      <c r="F53">
        <v>10520</v>
      </c>
      <c r="G53">
        <f>Tabel242567891011121314151716181921202223[[#This Row],[Stand Coffee einde maand]]-Tabel242567891011121314151716181921202223[[#This Row],[Coffee vorige maand]]</f>
        <v>488</v>
      </c>
      <c r="H53" s="97">
        <f>824+3185</f>
        <v>4009</v>
      </c>
      <c r="I53">
        <f>824+2928</f>
        <v>3752</v>
      </c>
      <c r="J53">
        <f>Tabel242567891011121314151716181921202223[[#This Row],[Stand Espresso Einde maand]]-Tabel242567891011121314151716181921202223[[#This Row],[Espresso vorige maand]]</f>
        <v>257</v>
      </c>
      <c r="K53" s="53">
        <v>1138</v>
      </c>
      <c r="L53">
        <v>1087</v>
      </c>
      <c r="M53">
        <f>Tabel242567891011121314151716181921202223[[#This Row],[Stand Latte Macchiato einde maand]]-Tabel242567891011121314151716181921202223[[#This Row],[Latte Macchiato vorige maand]]</f>
        <v>51</v>
      </c>
      <c r="N53" s="53">
        <v>466</v>
      </c>
      <c r="O53">
        <v>442</v>
      </c>
      <c r="P53">
        <f>Tabel242567891011121314151716181921202223[[#This Row],[Stand Coffee Latte einde maand]]-Tabel242567891011121314151716181921202223[[#This Row],[Coffee Latte vorige maand]]</f>
        <v>24</v>
      </c>
      <c r="Q53" s="53">
        <v>27349</v>
      </c>
      <c r="R53">
        <v>25943</v>
      </c>
      <c r="S53">
        <f>Tabel242567891011121314151716181921202223[[#This Row],[Stand Hot Water einde maand]]-Tabel242567891011121314151716181921202223[[#This Row],[Hot Water vorige maand]]</f>
        <v>1406</v>
      </c>
      <c r="T53" s="53">
        <v>3450</v>
      </c>
      <c r="U53">
        <v>3323</v>
      </c>
      <c r="V53">
        <f>Tabel242567891011121314151716181921202223[[#This Row],[Stand Cappucino einde maand]]-Tabel242567891011121314151716181921202223[[#This Row],[Stand Cappucino vorige maand]]</f>
        <v>127</v>
      </c>
      <c r="W53" s="53">
        <v>1010</v>
      </c>
      <c r="X53">
        <v>990</v>
      </c>
      <c r="Y53">
        <f>Tabel242567891011121314151716181921202223[[#This Row],[Stand Cappucino Plantaardig einde maand]]-Tabel242567891011121314151716181921202223[[#This Row],[Stand Cappucino Plantaardig vorige maand]]</f>
        <v>20</v>
      </c>
      <c r="Z53" s="53">
        <v>194</v>
      </c>
      <c r="AA53">
        <v>182</v>
      </c>
      <c r="AB53" s="52">
        <f>Tabel242567891011121314151716181921202223[[#This Row],[Stand Latte Macchiato Plantaardig einde maand]]-Tabel242567891011121314151716181921202223[[#This Row],[Stand Latte Macchiato Plantaardig vorige maand]]</f>
        <v>12</v>
      </c>
      <c r="AC53" s="3">
        <f>Tabel242567891011121314151716181921202223[[#This Row],[Verbruik Stand Latte Macchiato Plantaardig deze maand]]+Tabel242567891011121314151716181921202223[[#This Row],[Verbruik  Cappucino Plantaardig deze maand]]+Tabel242567891011121314151716181921202223[[#This Row],[Verbruik Cappucino deze maand]]+Tabel242567891011121314151716181921202223[[#This Row],[Verbruik Hot Water deze maand]]+Tabel242567891011121314151716181921202223[[#This Row],[Verbruik Coffee Latte deze maand]]+Tabel242567891011121314151716181921202223[[#This Row],[Verbruik Latte Macchiato deze maand]]+Tabel242567891011121314151716181921202223[[#This Row],[Verbruik Espresso deze maand]]+Tabel242567891011121314151716181921202223[[#This Row],[Verbruik Coffee deze maand]]</f>
        <v>2385</v>
      </c>
      <c r="AD53" s="75"/>
      <c r="AE53" s="5"/>
      <c r="AF53" s="5"/>
      <c r="AG53" s="100"/>
      <c r="AH53" s="5"/>
      <c r="AI53" s="41"/>
      <c r="AJ53" s="5"/>
      <c r="AK53" s="5"/>
      <c r="AL53" s="75"/>
      <c r="AM53" s="41"/>
      <c r="AN53" s="5"/>
      <c r="AO53" s="5"/>
      <c r="AP53" s="75"/>
      <c r="AQ53" s="41"/>
      <c r="AR53" s="5"/>
      <c r="AS53" s="5"/>
      <c r="AT53" s="75"/>
      <c r="AU53" s="41"/>
      <c r="AV53" s="5"/>
      <c r="AW53" s="5"/>
      <c r="AX53" s="79"/>
      <c r="AY53" s="95">
        <f>Tabel242567891011121314151716181921202223[[#This Row],[Subtotaal waterbar in consumpties]]+Tabel242567891011121314151716181921202223[[#This Row],[Subtotaal koffieautomaten]]</f>
        <v>2385</v>
      </c>
    </row>
    <row r="54" spans="1:126" x14ac:dyDescent="0.25">
      <c r="A54" s="53" t="s">
        <v>45</v>
      </c>
      <c r="B54" t="s">
        <v>101</v>
      </c>
      <c r="C54" t="s">
        <v>47</v>
      </c>
      <c r="E54" s="53">
        <v>8444</v>
      </c>
      <c r="F54" s="101">
        <v>8119</v>
      </c>
      <c r="G54">
        <f>Tabel242567891011121314151716181921202223[[#This Row],[Stand Coffee einde maand]]-Tabel242567891011121314151716181921202223[[#This Row],[Coffee vorige maand]]</f>
        <v>325</v>
      </c>
      <c r="H54" s="53">
        <v>4172</v>
      </c>
      <c r="I54" s="101">
        <v>3993</v>
      </c>
      <c r="J54">
        <f>Tabel242567891011121314151716181921202223[[#This Row],[Stand Espresso Einde maand]]-Tabel242567891011121314151716181921202223[[#This Row],[Espresso vorige maand]]</f>
        <v>179</v>
      </c>
      <c r="K54" s="53">
        <v>644</v>
      </c>
      <c r="L54" s="101">
        <v>627</v>
      </c>
      <c r="M54">
        <f>Tabel242567891011121314151716181921202223[[#This Row],[Stand Latte Macchiato einde maand]]-Tabel242567891011121314151716181921202223[[#This Row],[Latte Macchiato vorige maand]]</f>
        <v>17</v>
      </c>
      <c r="N54" s="53">
        <v>484</v>
      </c>
      <c r="O54" s="101">
        <v>466</v>
      </c>
      <c r="P54">
        <f>Tabel242567891011121314151716181921202223[[#This Row],[Stand Coffee Latte einde maand]]-Tabel242567891011121314151716181921202223[[#This Row],[Coffee Latte vorige maand]]</f>
        <v>18</v>
      </c>
      <c r="Q54" s="53">
        <v>1</v>
      </c>
      <c r="R54" s="101">
        <v>1</v>
      </c>
      <c r="S54">
        <f>Tabel242567891011121314151716181921202223[[#This Row],[Stand Hot Water einde maand]]-Tabel242567891011121314151716181921202223[[#This Row],[Hot Water vorige maand]]</f>
        <v>0</v>
      </c>
      <c r="T54" s="53">
        <v>4139</v>
      </c>
      <c r="U54" s="101">
        <v>3983</v>
      </c>
      <c r="V54">
        <f>Tabel242567891011121314151716181921202223[[#This Row],[Stand Cappucino einde maand]]-Tabel242567891011121314151716181921202223[[#This Row],[Stand Cappucino vorige maand]]</f>
        <v>156</v>
      </c>
      <c r="W54" s="53">
        <v>838</v>
      </c>
      <c r="X54" s="101">
        <v>813</v>
      </c>
      <c r="Y54">
        <f>Tabel242567891011121314151716181921202223[[#This Row],[Stand Cappucino Plantaardig einde maand]]-Tabel242567891011121314151716181921202223[[#This Row],[Stand Cappucino Plantaardig vorige maand]]</f>
        <v>25</v>
      </c>
      <c r="Z54" s="53">
        <v>245</v>
      </c>
      <c r="AA54" s="101">
        <v>242</v>
      </c>
      <c r="AB54" s="52">
        <f>Tabel242567891011121314151716181921202223[[#This Row],[Stand Latte Macchiato Plantaardig einde maand]]-Tabel242567891011121314151716181921202223[[#This Row],[Stand Latte Macchiato Plantaardig vorige maand]]</f>
        <v>3</v>
      </c>
      <c r="AC54" s="3">
        <f>Tabel242567891011121314151716181921202223[[#This Row],[Verbruik Stand Latte Macchiato Plantaardig deze maand]]+Tabel242567891011121314151716181921202223[[#This Row],[Verbruik  Cappucino Plantaardig deze maand]]+Tabel242567891011121314151716181921202223[[#This Row],[Verbruik Cappucino deze maand]]+Tabel242567891011121314151716181921202223[[#This Row],[Verbruik Hot Water deze maand]]+Tabel242567891011121314151716181921202223[[#This Row],[Verbruik Coffee Latte deze maand]]+Tabel242567891011121314151716181921202223[[#This Row],[Verbruik Latte Macchiato deze maand]]+Tabel242567891011121314151716181921202223[[#This Row],[Verbruik Espresso deze maand]]+Tabel242567891011121314151716181921202223[[#This Row],[Verbruik Coffee deze maand]]</f>
        <v>723</v>
      </c>
      <c r="AD54" s="114">
        <v>1</v>
      </c>
      <c r="AE54" s="115">
        <v>0</v>
      </c>
      <c r="AF54" s="115">
        <f>Tabel242567891011121314151716181921202223[[#This Row],[Stand Kamertemp liter einde maand]]-Tabel242567891011121314151716181921202223[[#This Row],[Stand Kamertemp liter vorige maand]]</f>
        <v>1</v>
      </c>
      <c r="AG54" s="116">
        <f>Tabel242567891011121314151716181921202223[[#This Row],[Verbruik Kamertemp liter deze maand]]/0.15</f>
        <v>6.666666666666667</v>
      </c>
      <c r="AH54" s="115">
        <v>3.7</v>
      </c>
      <c r="AI54" s="115">
        <v>0</v>
      </c>
      <c r="AJ54" s="115">
        <f>Tabel242567891011121314151716181921202223[[#This Row],[Stand Gekoeld liter einde maand]]-Tabel242567891011121314151716181921202223[[#This Row],[Stand Gekoeld liter vorige maand]]</f>
        <v>3.7</v>
      </c>
      <c r="AK54" s="117">
        <f>Tabel242567891011121314151716181921202223[[#This Row],[Verbruik Gekoeld liter deze maand]]/0.15</f>
        <v>24.666666666666668</v>
      </c>
      <c r="AL54" s="114">
        <v>2.1</v>
      </c>
      <c r="AM54" s="115">
        <v>0</v>
      </c>
      <c r="AN54" s="115">
        <f>Tabel242567891011121314151716181921202223[[#This Row],[Stand Bruisend liter einde maand]]-Tabel242567891011121314151716181921202223[[#This Row],[Stand Bruisend liter vorige maand]]</f>
        <v>2.1</v>
      </c>
      <c r="AO54" s="117">
        <f>Tabel242567891011121314151716181921202223[[#This Row],[Verbruik Bruisend liter deze maand]]/0.15</f>
        <v>14.000000000000002</v>
      </c>
      <c r="AP54" s="114">
        <v>0.3</v>
      </c>
      <c r="AQ54" s="115">
        <v>0</v>
      </c>
      <c r="AR54" s="115">
        <f>Tabel242567891011121314151716181921202223[[#This Row],[Stand licht bruisend liter einde maand]]-Tabel242567891011121314151716181921202223[[#This Row],[Stand licht bruisend liter vorige maand]]</f>
        <v>0.3</v>
      </c>
      <c r="AS54" s="117">
        <f>Tabel242567891011121314151716181921202223[[#This Row],[Verbruik licht bruisend liter deze maand]]/0.15</f>
        <v>2</v>
      </c>
      <c r="AT54" s="114">
        <v>14</v>
      </c>
      <c r="AU54" s="115">
        <v>0</v>
      </c>
      <c r="AV54" s="115">
        <f>Tabel242567891011121314151716181921202223[[#This Row],[Stand heet water liter einde maand]]-Tabel242567891011121314151716181921202223[[#This Row],[Stand heet water liter vorige maand]]</f>
        <v>14</v>
      </c>
      <c r="AW54" s="117">
        <f>Tabel242567891011121314151716181921202223[[#This Row],[Verbruik heet Water liter deze maand ]]/0.15</f>
        <v>93.333333333333343</v>
      </c>
      <c r="AX54" s="118">
        <f>Tabel242567891011121314151716181921202223[[#This Row],[Aantal consumpties heet water deze maand]]+Tabel242567891011121314151716181921202223[[#This Row],[Aantal consumpties licht bruisend water deze maand]]+Tabel242567891011121314151716181921202223[[#This Row],[aantal consumpties Bruisend water deze maand]]+Tabel242567891011121314151716181921202223[[#This Row],[Aantal consumpties gekoeld water deze maand]]+Tabel242567891011121314151716181921202223[[#This Row],[Aantal consumpties Kamertemp deze maand]]</f>
        <v>140.66666666666666</v>
      </c>
      <c r="AY54" s="95">
        <f>Tabel242567891011121314151716181921202223[[#This Row],[Subtotaal waterbar in consumpties]]+Tabel242567891011121314151716181921202223[[#This Row],[Subtotaal koffieautomaten]]</f>
        <v>863.66666666666663</v>
      </c>
    </row>
    <row r="55" spans="1:126" x14ac:dyDescent="0.25">
      <c r="A55" s="53" t="s">
        <v>48</v>
      </c>
      <c r="B55" t="s">
        <v>102</v>
      </c>
      <c r="C55" t="s">
        <v>31</v>
      </c>
      <c r="E55" s="53">
        <v>7320</v>
      </c>
      <c r="F55">
        <v>7034</v>
      </c>
      <c r="G55">
        <f>Tabel242567891011121314151716181921202223[[#This Row],[Stand Coffee einde maand]]-Tabel242567891011121314151716181921202223[[#This Row],[Coffee vorige maand]]</f>
        <v>286</v>
      </c>
      <c r="H55" s="53">
        <v>2217</v>
      </c>
      <c r="I55">
        <v>2145</v>
      </c>
      <c r="J55">
        <f>Tabel242567891011121314151716181921202223[[#This Row],[Stand Espresso Einde maand]]-Tabel242567891011121314151716181921202223[[#This Row],[Espresso vorige maand]]</f>
        <v>72</v>
      </c>
      <c r="K55" s="53">
        <v>564</v>
      </c>
      <c r="L55">
        <v>520</v>
      </c>
      <c r="M55">
        <f>Tabel242567891011121314151716181921202223[[#This Row],[Stand Latte Macchiato einde maand]]-Tabel242567891011121314151716181921202223[[#This Row],[Latte Macchiato vorige maand]]</f>
        <v>44</v>
      </c>
      <c r="N55" s="53">
        <v>393</v>
      </c>
      <c r="O55">
        <v>375</v>
      </c>
      <c r="P55">
        <f>Tabel242567891011121314151716181921202223[[#This Row],[Stand Coffee Latte einde maand]]-Tabel242567891011121314151716181921202223[[#This Row],[Coffee Latte vorige maand]]</f>
        <v>18</v>
      </c>
      <c r="Q55" s="53">
        <v>18836</v>
      </c>
      <c r="R55">
        <v>17800</v>
      </c>
      <c r="S55">
        <f>Tabel242567891011121314151716181921202223[[#This Row],[Stand Hot Water einde maand]]-Tabel242567891011121314151716181921202223[[#This Row],[Hot Water vorige maand]]</f>
        <v>1036</v>
      </c>
      <c r="T55" s="53">
        <v>3193</v>
      </c>
      <c r="U55">
        <v>3019</v>
      </c>
      <c r="V55">
        <f>Tabel242567891011121314151716181921202223[[#This Row],[Stand Cappucino einde maand]]-Tabel242567891011121314151716181921202223[[#This Row],[Stand Cappucino vorige maand]]</f>
        <v>174</v>
      </c>
      <c r="W55" s="53">
        <v>1718</v>
      </c>
      <c r="X55">
        <v>1666</v>
      </c>
      <c r="Y55">
        <f>Tabel242567891011121314151716181921202223[[#This Row],[Stand Cappucino Plantaardig einde maand]]-Tabel242567891011121314151716181921202223[[#This Row],[Stand Cappucino Plantaardig vorige maand]]</f>
        <v>52</v>
      </c>
      <c r="Z55" s="53">
        <v>184</v>
      </c>
      <c r="AA55">
        <v>176</v>
      </c>
      <c r="AB55" s="52">
        <f>Tabel242567891011121314151716181921202223[[#This Row],[Stand Latte Macchiato Plantaardig einde maand]]-Tabel242567891011121314151716181921202223[[#This Row],[Stand Latte Macchiato Plantaardig vorige maand]]</f>
        <v>8</v>
      </c>
      <c r="AC55" s="3">
        <f>Tabel242567891011121314151716181921202223[[#This Row],[Verbruik Stand Latte Macchiato Plantaardig deze maand]]+Tabel242567891011121314151716181921202223[[#This Row],[Verbruik  Cappucino Plantaardig deze maand]]+Tabel242567891011121314151716181921202223[[#This Row],[Verbruik Cappucino deze maand]]+Tabel242567891011121314151716181921202223[[#This Row],[Verbruik Hot Water deze maand]]+Tabel242567891011121314151716181921202223[[#This Row],[Verbruik Coffee Latte deze maand]]+Tabel242567891011121314151716181921202223[[#This Row],[Verbruik Latte Macchiato deze maand]]+Tabel242567891011121314151716181921202223[[#This Row],[Verbruik Espresso deze maand]]+Tabel242567891011121314151716181921202223[[#This Row],[Verbruik Coffee deze maand]]</f>
        <v>1690</v>
      </c>
      <c r="AD55" s="75"/>
      <c r="AE55" s="5"/>
      <c r="AF55" s="5"/>
      <c r="AG55" s="100"/>
      <c r="AH55" s="5"/>
      <c r="AI55" s="41"/>
      <c r="AJ55" s="5"/>
      <c r="AK55" s="5"/>
      <c r="AL55" s="75"/>
      <c r="AM55" s="41"/>
      <c r="AN55" s="5"/>
      <c r="AO55" s="5"/>
      <c r="AP55" s="75"/>
      <c r="AQ55" s="41"/>
      <c r="AR55" s="5"/>
      <c r="AS55" s="5"/>
      <c r="AT55" s="75"/>
      <c r="AU55" s="41"/>
      <c r="AV55" s="5"/>
      <c r="AW55" s="5"/>
      <c r="AX55" s="79"/>
      <c r="AY55" s="95">
        <f>Tabel242567891011121314151716181921202223[[#This Row],[Subtotaal waterbar in consumpties]]+Tabel242567891011121314151716181921202223[[#This Row],[Subtotaal koffieautomaten]]</f>
        <v>1690</v>
      </c>
    </row>
    <row r="56" spans="1:126" x14ac:dyDescent="0.25">
      <c r="A56" s="53" t="s">
        <v>50</v>
      </c>
      <c r="B56" t="s">
        <v>103</v>
      </c>
      <c r="C56" t="s">
        <v>47</v>
      </c>
      <c r="E56" s="53">
        <v>8348</v>
      </c>
      <c r="F56" s="101">
        <v>8121</v>
      </c>
      <c r="G56">
        <f>Tabel242567891011121314151716181921202223[[#This Row],[Stand Coffee einde maand]]-Tabel242567891011121314151716181921202223[[#This Row],[Coffee vorige maand]]</f>
        <v>227</v>
      </c>
      <c r="H56" s="53">
        <v>3555</v>
      </c>
      <c r="I56" s="101">
        <v>3457</v>
      </c>
      <c r="J56">
        <f>Tabel242567891011121314151716181921202223[[#This Row],[Stand Espresso Einde maand]]-Tabel242567891011121314151716181921202223[[#This Row],[Espresso vorige maand]]</f>
        <v>98</v>
      </c>
      <c r="K56" s="53">
        <v>284</v>
      </c>
      <c r="L56" s="101">
        <v>275</v>
      </c>
      <c r="M56">
        <f>Tabel242567891011121314151716181921202223[[#This Row],[Stand Latte Macchiato einde maand]]-Tabel242567891011121314151716181921202223[[#This Row],[Latte Macchiato vorige maand]]</f>
        <v>9</v>
      </c>
      <c r="N56" s="53">
        <v>125</v>
      </c>
      <c r="O56" s="101">
        <v>123</v>
      </c>
      <c r="P56">
        <f>Tabel242567891011121314151716181921202223[[#This Row],[Stand Coffee Latte einde maand]]-Tabel242567891011121314151716181921202223[[#This Row],[Coffee Latte vorige maand]]</f>
        <v>2</v>
      </c>
      <c r="Q56" s="53">
        <v>1</v>
      </c>
      <c r="R56" s="101">
        <v>1</v>
      </c>
      <c r="S56">
        <f>Tabel242567891011121314151716181921202223[[#This Row],[Stand Hot Water einde maand]]-Tabel242567891011121314151716181921202223[[#This Row],[Hot Water vorige maand]]</f>
        <v>0</v>
      </c>
      <c r="T56" s="53">
        <v>6435</v>
      </c>
      <c r="U56" s="101">
        <v>6297</v>
      </c>
      <c r="V56">
        <f>Tabel242567891011121314151716181921202223[[#This Row],[Stand Cappucino einde maand]]-Tabel242567891011121314151716181921202223[[#This Row],[Stand Cappucino vorige maand]]</f>
        <v>138</v>
      </c>
      <c r="W56" s="53">
        <v>565</v>
      </c>
      <c r="X56" s="101">
        <v>557</v>
      </c>
      <c r="Y56">
        <f>Tabel242567891011121314151716181921202223[[#This Row],[Stand Cappucino Plantaardig einde maand]]-Tabel242567891011121314151716181921202223[[#This Row],[Stand Cappucino Plantaardig vorige maand]]</f>
        <v>8</v>
      </c>
      <c r="Z56" s="53">
        <v>125</v>
      </c>
      <c r="AA56" s="101">
        <v>123</v>
      </c>
      <c r="AB56" s="52">
        <f>Tabel242567891011121314151716181921202223[[#This Row],[Stand Latte Macchiato Plantaardig einde maand]]-Tabel242567891011121314151716181921202223[[#This Row],[Stand Latte Macchiato Plantaardig vorige maand]]</f>
        <v>2</v>
      </c>
      <c r="AC56" s="3">
        <f>Tabel242567891011121314151716181921202223[[#This Row],[Verbruik Stand Latte Macchiato Plantaardig deze maand]]+Tabel242567891011121314151716181921202223[[#This Row],[Verbruik  Cappucino Plantaardig deze maand]]+Tabel242567891011121314151716181921202223[[#This Row],[Verbruik Cappucino deze maand]]+Tabel242567891011121314151716181921202223[[#This Row],[Verbruik Hot Water deze maand]]+Tabel242567891011121314151716181921202223[[#This Row],[Verbruik Coffee Latte deze maand]]+Tabel242567891011121314151716181921202223[[#This Row],[Verbruik Latte Macchiato deze maand]]+Tabel242567891011121314151716181921202223[[#This Row],[Verbruik Espresso deze maand]]+Tabel242567891011121314151716181921202223[[#This Row],[Verbruik Coffee deze maand]]</f>
        <v>484</v>
      </c>
      <c r="AD56" s="53">
        <v>25.9</v>
      </c>
      <c r="AE56">
        <v>3.4</v>
      </c>
      <c r="AF56">
        <f>Tabel242567891011121314151716181921202223[[#This Row],[Stand Kamertemp liter einde maand]]-Tabel242567891011121314151716181921202223[[#This Row],[Stand Kamertemp liter vorige maand]]</f>
        <v>22.5</v>
      </c>
      <c r="AG56" s="99">
        <f>Tabel242567891011121314151716181921202223[[#This Row],[Verbruik Kamertemp liter deze maand]]/0.15</f>
        <v>150</v>
      </c>
      <c r="AH56">
        <v>167.3</v>
      </c>
      <c r="AI56">
        <v>75.5</v>
      </c>
      <c r="AJ56">
        <f>Tabel242567891011121314151716181921202223[[#This Row],[Stand Gekoeld liter einde maand]]-Tabel242567891011121314151716181921202223[[#This Row],[Stand Gekoeld liter vorige maand]]</f>
        <v>91.800000000000011</v>
      </c>
      <c r="AK56" s="2">
        <f>Tabel242567891011121314151716181921202223[[#This Row],[Verbruik Gekoeld liter deze maand]]/0.15</f>
        <v>612.00000000000011</v>
      </c>
      <c r="AL56" s="53">
        <v>181.1</v>
      </c>
      <c r="AM56">
        <v>102.8</v>
      </c>
      <c r="AN56">
        <f>Tabel242567891011121314151716181921202223[[#This Row],[Stand Bruisend liter einde maand]]-Tabel242567891011121314151716181921202223[[#This Row],[Stand Bruisend liter vorige maand]]</f>
        <v>78.3</v>
      </c>
      <c r="AO56" s="2">
        <f>Tabel242567891011121314151716181921202223[[#This Row],[Verbruik Bruisend liter deze maand]]/0.15</f>
        <v>522</v>
      </c>
      <c r="AP56" s="53">
        <v>69.8</v>
      </c>
      <c r="AQ56">
        <v>37.1</v>
      </c>
      <c r="AR56">
        <f>Tabel242567891011121314151716181921202223[[#This Row],[Stand licht bruisend liter einde maand]]-Tabel242567891011121314151716181921202223[[#This Row],[Stand licht bruisend liter vorige maand]]</f>
        <v>32.699999999999996</v>
      </c>
      <c r="AS56" s="2">
        <f>Tabel242567891011121314151716181921202223[[#This Row],[Verbruik licht bruisend liter deze maand]]/0.15</f>
        <v>217.99999999999997</v>
      </c>
      <c r="AT56" s="53">
        <v>707.8</v>
      </c>
      <c r="AU56">
        <v>353.5</v>
      </c>
      <c r="AV56">
        <f>Tabel242567891011121314151716181921202223[[#This Row],[Stand heet water liter einde maand]]-Tabel242567891011121314151716181921202223[[#This Row],[Stand heet water liter vorige maand]]</f>
        <v>354.29999999999995</v>
      </c>
      <c r="AW56" s="2">
        <f>Tabel242567891011121314151716181921202223[[#This Row],[Verbruik heet Water liter deze maand ]]/0.15</f>
        <v>2362</v>
      </c>
      <c r="AX56" s="77">
        <f>Tabel242567891011121314151716181921202223[[#This Row],[Aantal consumpties heet water deze maand]]+Tabel242567891011121314151716181921202223[[#This Row],[Aantal consumpties licht bruisend water deze maand]]+Tabel242567891011121314151716181921202223[[#This Row],[aantal consumpties Bruisend water deze maand]]+Tabel242567891011121314151716181921202223[[#This Row],[Aantal consumpties gekoeld water deze maand]]+Tabel242567891011121314151716181921202223[[#This Row],[Aantal consumpties Kamertemp deze maand]]</f>
        <v>3864</v>
      </c>
      <c r="AY56" s="95">
        <f>Tabel242567891011121314151716181921202223[[#This Row],[Subtotaal waterbar in consumpties]]+Tabel242567891011121314151716181921202223[[#This Row],[Subtotaal koffieautomaten]]</f>
        <v>4348</v>
      </c>
    </row>
    <row r="57" spans="1:126" x14ac:dyDescent="0.25">
      <c r="A57" s="53" t="s">
        <v>52</v>
      </c>
      <c r="B57" t="s">
        <v>104</v>
      </c>
      <c r="C57" t="s">
        <v>47</v>
      </c>
      <c r="E57" s="53">
        <v>3290</v>
      </c>
      <c r="F57">
        <v>3043</v>
      </c>
      <c r="G57">
        <f>Tabel242567891011121314151716181921202223[[#This Row],[Stand Coffee einde maand]]-Tabel242567891011121314151716181921202223[[#This Row],[Coffee vorige maand]]</f>
        <v>247</v>
      </c>
      <c r="H57" s="53">
        <v>634</v>
      </c>
      <c r="I57">
        <v>608</v>
      </c>
      <c r="J57">
        <f>Tabel242567891011121314151716181921202223[[#This Row],[Stand Espresso Einde maand]]-Tabel242567891011121314151716181921202223[[#This Row],[Espresso vorige maand]]</f>
        <v>26</v>
      </c>
      <c r="K57" s="53">
        <v>309</v>
      </c>
      <c r="L57">
        <v>280</v>
      </c>
      <c r="M57">
        <f>Tabel242567891011121314151716181921202223[[#This Row],[Stand Latte Macchiato einde maand]]-Tabel242567891011121314151716181921202223[[#This Row],[Latte Macchiato vorige maand]]</f>
        <v>29</v>
      </c>
      <c r="N57" s="53">
        <v>602</v>
      </c>
      <c r="O57">
        <v>542</v>
      </c>
      <c r="P57">
        <f>Tabel242567891011121314151716181921202223[[#This Row],[Stand Coffee Latte einde maand]]-Tabel242567891011121314151716181921202223[[#This Row],[Coffee Latte vorige maand]]</f>
        <v>60</v>
      </c>
      <c r="Q57" s="53">
        <v>674</v>
      </c>
      <c r="R57">
        <v>647</v>
      </c>
      <c r="S57">
        <f>Tabel242567891011121314151716181921202223[[#This Row],[Stand Hot Water einde maand]]-Tabel242567891011121314151716181921202223[[#This Row],[Hot Water vorige maand]]</f>
        <v>27</v>
      </c>
      <c r="T57" s="53">
        <v>3238</v>
      </c>
      <c r="U57">
        <v>2989</v>
      </c>
      <c r="V57">
        <f>Tabel242567891011121314151716181921202223[[#This Row],[Stand Cappucino einde maand]]-Tabel242567891011121314151716181921202223[[#This Row],[Stand Cappucino vorige maand]]</f>
        <v>249</v>
      </c>
      <c r="W57" s="53">
        <v>609</v>
      </c>
      <c r="X57">
        <v>551</v>
      </c>
      <c r="Y57">
        <f>Tabel242567891011121314151716181921202223[[#This Row],[Stand Cappucino Plantaardig einde maand]]-Tabel242567891011121314151716181921202223[[#This Row],[Stand Cappucino Plantaardig vorige maand]]</f>
        <v>58</v>
      </c>
      <c r="Z57" s="53">
        <v>71</v>
      </c>
      <c r="AA57">
        <v>68</v>
      </c>
      <c r="AB57" s="52">
        <f>Tabel242567891011121314151716181921202223[[#This Row],[Stand Latte Macchiato Plantaardig einde maand]]-Tabel242567891011121314151716181921202223[[#This Row],[Stand Latte Macchiato Plantaardig vorige maand]]</f>
        <v>3</v>
      </c>
      <c r="AC57" s="3">
        <f>Tabel242567891011121314151716181921202223[[#This Row],[Verbruik Stand Latte Macchiato Plantaardig deze maand]]+Tabel242567891011121314151716181921202223[[#This Row],[Verbruik  Cappucino Plantaardig deze maand]]+Tabel242567891011121314151716181921202223[[#This Row],[Verbruik Cappucino deze maand]]+Tabel242567891011121314151716181921202223[[#This Row],[Verbruik Hot Water deze maand]]+Tabel242567891011121314151716181921202223[[#This Row],[Verbruik Coffee Latte deze maand]]+Tabel242567891011121314151716181921202223[[#This Row],[Verbruik Latte Macchiato deze maand]]+Tabel242567891011121314151716181921202223[[#This Row],[Verbruik Espresso deze maand]]+Tabel242567891011121314151716181921202223[[#This Row],[Verbruik Coffee deze maand]]</f>
        <v>699</v>
      </c>
      <c r="AD57" s="53">
        <v>3.9</v>
      </c>
      <c r="AE57">
        <v>1</v>
      </c>
      <c r="AF57">
        <f>Tabel242567891011121314151716181921202223[[#This Row],[Stand Kamertemp liter einde maand]]-Tabel242567891011121314151716181921202223[[#This Row],[Stand Kamertemp liter vorige maand]]</f>
        <v>2.9</v>
      </c>
      <c r="AG57" s="99">
        <f>Tabel242567891011121314151716181921202223[[#This Row],[Verbruik Kamertemp liter deze maand]]/0.15</f>
        <v>19.333333333333332</v>
      </c>
      <c r="AH57">
        <v>200.4</v>
      </c>
      <c r="AI57">
        <v>122.1</v>
      </c>
      <c r="AJ57">
        <f>Tabel242567891011121314151716181921202223[[#This Row],[Stand Gekoeld liter einde maand]]-Tabel242567891011121314151716181921202223[[#This Row],[Stand Gekoeld liter vorige maand]]</f>
        <v>78.300000000000011</v>
      </c>
      <c r="AK57" s="2">
        <f>Tabel242567891011121314151716181921202223[[#This Row],[Verbruik Gekoeld liter deze maand]]/0.15</f>
        <v>522.00000000000011</v>
      </c>
      <c r="AL57" s="53">
        <v>59</v>
      </c>
      <c r="AM57">
        <v>33.200000000000003</v>
      </c>
      <c r="AN57">
        <f>Tabel242567891011121314151716181921202223[[#This Row],[Stand Bruisend liter einde maand]]-Tabel242567891011121314151716181921202223[[#This Row],[Stand Bruisend liter vorige maand]]</f>
        <v>25.799999999999997</v>
      </c>
      <c r="AO57" s="2">
        <f>Tabel242567891011121314151716181921202223[[#This Row],[Verbruik Bruisend liter deze maand]]/0.15</f>
        <v>172</v>
      </c>
      <c r="AP57" s="53">
        <v>94.1</v>
      </c>
      <c r="AQ57">
        <v>66.5</v>
      </c>
      <c r="AR57">
        <f>Tabel242567891011121314151716181921202223[[#This Row],[Stand licht bruisend liter einde maand]]-Tabel242567891011121314151716181921202223[[#This Row],[Stand licht bruisend liter vorige maand]]</f>
        <v>27.599999999999994</v>
      </c>
      <c r="AS57" s="2">
        <f>Tabel242567891011121314151716181921202223[[#This Row],[Verbruik licht bruisend liter deze maand]]/0.15</f>
        <v>183.99999999999997</v>
      </c>
      <c r="AT57" s="53">
        <v>713.8</v>
      </c>
      <c r="AU57">
        <v>413.3</v>
      </c>
      <c r="AV57">
        <f>Tabel242567891011121314151716181921202223[[#This Row],[Stand heet water liter einde maand]]-Tabel242567891011121314151716181921202223[[#This Row],[Stand heet water liter vorige maand]]</f>
        <v>300.49999999999994</v>
      </c>
      <c r="AW57" s="2">
        <f>Tabel242567891011121314151716181921202223[[#This Row],[Verbruik heet Water liter deze maand ]]/0.15</f>
        <v>2003.333333333333</v>
      </c>
      <c r="AX57" s="77">
        <f>Tabel242567891011121314151716181921202223[[#This Row],[Aantal consumpties heet water deze maand]]+Tabel242567891011121314151716181921202223[[#This Row],[Aantal consumpties licht bruisend water deze maand]]+Tabel242567891011121314151716181921202223[[#This Row],[aantal consumpties Bruisend water deze maand]]+Tabel242567891011121314151716181921202223[[#This Row],[Aantal consumpties gekoeld water deze maand]]+Tabel242567891011121314151716181921202223[[#This Row],[Aantal consumpties Kamertemp deze maand]]</f>
        <v>2900.6666666666665</v>
      </c>
      <c r="AY57" s="95">
        <f>Tabel242567891011121314151716181921202223[[#This Row],[Subtotaal waterbar in consumpties]]+Tabel242567891011121314151716181921202223[[#This Row],[Subtotaal koffieautomaten]]</f>
        <v>3599.6666666666665</v>
      </c>
    </row>
    <row r="58" spans="1:126" x14ac:dyDescent="0.25">
      <c r="A58" s="53" t="s">
        <v>54</v>
      </c>
      <c r="B58" t="s">
        <v>105</v>
      </c>
      <c r="C58" t="s">
        <v>31</v>
      </c>
      <c r="E58" s="53">
        <v>7097</v>
      </c>
      <c r="F58" s="101">
        <v>6835</v>
      </c>
      <c r="G58">
        <f>Tabel242567891011121314151716181921202223[[#This Row],[Stand Coffee einde maand]]-Tabel242567891011121314151716181921202223[[#This Row],[Coffee vorige maand]]</f>
        <v>262</v>
      </c>
      <c r="H58" s="53">
        <v>3034</v>
      </c>
      <c r="I58" s="101">
        <v>2915</v>
      </c>
      <c r="J58">
        <f>Tabel242567891011121314151716181921202223[[#This Row],[Stand Espresso Einde maand]]-Tabel242567891011121314151716181921202223[[#This Row],[Espresso vorige maand]]</f>
        <v>119</v>
      </c>
      <c r="K58" s="53">
        <v>3072</v>
      </c>
      <c r="L58" s="101">
        <v>2985</v>
      </c>
      <c r="M58">
        <f>Tabel242567891011121314151716181921202223[[#This Row],[Stand Latte Macchiato einde maand]]-Tabel242567891011121314151716181921202223[[#This Row],[Latte Macchiato vorige maand]]</f>
        <v>87</v>
      </c>
      <c r="N58" s="53">
        <v>833</v>
      </c>
      <c r="O58" s="101">
        <v>797</v>
      </c>
      <c r="P58">
        <f>Tabel242567891011121314151716181921202223[[#This Row],[Stand Coffee Latte einde maand]]-Tabel242567891011121314151716181921202223[[#This Row],[Coffee Latte vorige maand]]</f>
        <v>36</v>
      </c>
      <c r="Q58" s="53">
        <v>30710</v>
      </c>
      <c r="R58" s="101">
        <v>29307</v>
      </c>
      <c r="S58">
        <f>Tabel242567891011121314151716181921202223[[#This Row],[Stand Hot Water einde maand]]-Tabel242567891011121314151716181921202223[[#This Row],[Hot Water vorige maand]]</f>
        <v>1403</v>
      </c>
      <c r="T58" s="53">
        <v>5556</v>
      </c>
      <c r="U58" s="101">
        <v>5317</v>
      </c>
      <c r="V58">
        <f>Tabel242567891011121314151716181921202223[[#This Row],[Stand Cappucino einde maand]]-Tabel242567891011121314151716181921202223[[#This Row],[Stand Cappucino vorige maand]]</f>
        <v>239</v>
      </c>
      <c r="W58" s="53">
        <v>1007</v>
      </c>
      <c r="X58" s="101">
        <v>981</v>
      </c>
      <c r="Y58">
        <f>Tabel242567891011121314151716181921202223[[#This Row],[Stand Cappucino Plantaardig einde maand]]-Tabel242567891011121314151716181921202223[[#This Row],[Stand Cappucino Plantaardig vorige maand]]</f>
        <v>26</v>
      </c>
      <c r="Z58" s="53">
        <v>234</v>
      </c>
      <c r="AA58" s="101">
        <v>223</v>
      </c>
      <c r="AB58" s="52">
        <f>Tabel242567891011121314151716181921202223[[#This Row],[Stand Latte Macchiato Plantaardig einde maand]]-Tabel242567891011121314151716181921202223[[#This Row],[Stand Latte Macchiato Plantaardig vorige maand]]</f>
        <v>11</v>
      </c>
      <c r="AC58" s="3">
        <f>Tabel242567891011121314151716181921202223[[#This Row],[Verbruik Stand Latte Macchiato Plantaardig deze maand]]+Tabel242567891011121314151716181921202223[[#This Row],[Verbruik  Cappucino Plantaardig deze maand]]+Tabel242567891011121314151716181921202223[[#This Row],[Verbruik Cappucino deze maand]]+Tabel242567891011121314151716181921202223[[#This Row],[Verbruik Hot Water deze maand]]+Tabel242567891011121314151716181921202223[[#This Row],[Verbruik Coffee Latte deze maand]]+Tabel242567891011121314151716181921202223[[#This Row],[Verbruik Latte Macchiato deze maand]]+Tabel242567891011121314151716181921202223[[#This Row],[Verbruik Espresso deze maand]]+Tabel242567891011121314151716181921202223[[#This Row],[Verbruik Coffee deze maand]]</f>
        <v>2183</v>
      </c>
      <c r="AD58" s="75"/>
      <c r="AE58" s="5"/>
      <c r="AF58" s="5"/>
      <c r="AG58" s="100"/>
      <c r="AH58" s="5"/>
      <c r="AI58" s="41"/>
      <c r="AJ58" s="5"/>
      <c r="AK58" s="5"/>
      <c r="AL58" s="75"/>
      <c r="AM58" s="41"/>
      <c r="AN58" s="5"/>
      <c r="AO58" s="5"/>
      <c r="AP58" s="75"/>
      <c r="AQ58" s="41"/>
      <c r="AR58" s="5"/>
      <c r="AS58" s="5"/>
      <c r="AT58" s="75"/>
      <c r="AU58" s="41"/>
      <c r="AV58" s="5"/>
      <c r="AW58" s="5"/>
      <c r="AX58" s="79"/>
      <c r="AY58" s="95">
        <f>Tabel242567891011121314151716181921202223[[#This Row],[Subtotaal waterbar in consumpties]]+Tabel242567891011121314151716181921202223[[#This Row],[Subtotaal koffieautomaten]]</f>
        <v>2183</v>
      </c>
    </row>
    <row r="59" spans="1:126" x14ac:dyDescent="0.25">
      <c r="A59" s="53" t="s">
        <v>56</v>
      </c>
      <c r="B59" t="s">
        <v>106</v>
      </c>
      <c r="C59" t="s">
        <v>47</v>
      </c>
      <c r="E59" s="53">
        <v>10500</v>
      </c>
      <c r="F59">
        <v>10174</v>
      </c>
      <c r="G59">
        <f>Tabel242567891011121314151716181921202223[[#This Row],[Stand Coffee einde maand]]-Tabel242567891011121314151716181921202223[[#This Row],[Coffee vorige maand]]</f>
        <v>326</v>
      </c>
      <c r="H59" s="53">
        <v>2891</v>
      </c>
      <c r="I59">
        <v>2707</v>
      </c>
      <c r="J59">
        <f>Tabel242567891011121314151716181921202223[[#This Row],[Stand Espresso Einde maand]]-Tabel242567891011121314151716181921202223[[#This Row],[Espresso vorige maand]]</f>
        <v>184</v>
      </c>
      <c r="K59" s="53">
        <v>2964</v>
      </c>
      <c r="L59">
        <v>2883</v>
      </c>
      <c r="M59">
        <f>Tabel242567891011121314151716181921202223[[#This Row],[Stand Latte Macchiato einde maand]]-Tabel242567891011121314151716181921202223[[#This Row],[Latte Macchiato vorige maand]]</f>
        <v>81</v>
      </c>
      <c r="N59" s="53">
        <v>301</v>
      </c>
      <c r="O59">
        <v>283</v>
      </c>
      <c r="P59">
        <f>Tabel242567891011121314151716181921202223[[#This Row],[Stand Coffee Latte einde maand]]-Tabel242567891011121314151716181921202223[[#This Row],[Coffee Latte vorige maand]]</f>
        <v>18</v>
      </c>
      <c r="Q59" s="53">
        <v>1</v>
      </c>
      <c r="R59">
        <v>1</v>
      </c>
      <c r="S59">
        <f>Tabel242567891011121314151716181921202223[[#This Row],[Stand Hot Water einde maand]]-Tabel242567891011121314151716181921202223[[#This Row],[Hot Water vorige maand]]</f>
        <v>0</v>
      </c>
      <c r="T59" s="53">
        <v>5643</v>
      </c>
      <c r="U59">
        <v>5417</v>
      </c>
      <c r="V59">
        <f>Tabel242567891011121314151716181921202223[[#This Row],[Stand Cappucino einde maand]]-Tabel242567891011121314151716181921202223[[#This Row],[Stand Cappucino vorige maand]]</f>
        <v>226</v>
      </c>
      <c r="W59" s="53">
        <v>1193</v>
      </c>
      <c r="X59">
        <v>1165</v>
      </c>
      <c r="Y59">
        <f>Tabel242567891011121314151716181921202223[[#This Row],[Stand Cappucino Plantaardig einde maand]]-Tabel242567891011121314151716181921202223[[#This Row],[Stand Cappucino Plantaardig vorige maand]]</f>
        <v>28</v>
      </c>
      <c r="Z59" s="53">
        <v>167</v>
      </c>
      <c r="AA59">
        <v>165</v>
      </c>
      <c r="AB59" s="52">
        <f>Tabel242567891011121314151716181921202223[[#This Row],[Stand Latte Macchiato Plantaardig einde maand]]-Tabel242567891011121314151716181921202223[[#This Row],[Stand Latte Macchiato Plantaardig vorige maand]]</f>
        <v>2</v>
      </c>
      <c r="AC59" s="3">
        <f>Tabel242567891011121314151716181921202223[[#This Row],[Verbruik Stand Latte Macchiato Plantaardig deze maand]]+Tabel242567891011121314151716181921202223[[#This Row],[Verbruik  Cappucino Plantaardig deze maand]]+Tabel242567891011121314151716181921202223[[#This Row],[Verbruik Cappucino deze maand]]+Tabel242567891011121314151716181921202223[[#This Row],[Verbruik Hot Water deze maand]]+Tabel242567891011121314151716181921202223[[#This Row],[Verbruik Coffee Latte deze maand]]+Tabel242567891011121314151716181921202223[[#This Row],[Verbruik Latte Macchiato deze maand]]+Tabel242567891011121314151716181921202223[[#This Row],[Verbruik Espresso deze maand]]+Tabel242567891011121314151716181921202223[[#This Row],[Verbruik Coffee deze maand]]</f>
        <v>865</v>
      </c>
      <c r="AD59" s="53">
        <v>324.10000000000002</v>
      </c>
      <c r="AE59">
        <v>306.60000000000002</v>
      </c>
      <c r="AF59">
        <f>Tabel242567891011121314151716181921202223[[#This Row],[Stand Kamertemp liter einde maand]]-Tabel242567891011121314151716181921202223[[#This Row],[Stand Kamertemp liter vorige maand]]</f>
        <v>17.5</v>
      </c>
      <c r="AG59" s="99">
        <f>Tabel242567891011121314151716181921202223[[#This Row],[Verbruik Kamertemp liter deze maand]]/0.15</f>
        <v>116.66666666666667</v>
      </c>
      <c r="AH59">
        <v>2664.5</v>
      </c>
      <c r="AI59">
        <v>2559.9</v>
      </c>
      <c r="AJ59">
        <f>Tabel242567891011121314151716181921202223[[#This Row],[Stand Gekoeld liter einde maand]]-Tabel242567891011121314151716181921202223[[#This Row],[Stand Gekoeld liter vorige maand]]</f>
        <v>104.59999999999991</v>
      </c>
      <c r="AK59" s="2">
        <f>Tabel242567891011121314151716181921202223[[#This Row],[Verbruik Gekoeld liter deze maand]]/0.15</f>
        <v>697.3333333333328</v>
      </c>
      <c r="AL59" s="53">
        <v>1895.4</v>
      </c>
      <c r="AM59">
        <v>1819.6</v>
      </c>
      <c r="AN59">
        <f>Tabel242567891011121314151716181921202223[[#This Row],[Stand Bruisend liter einde maand]]-Tabel242567891011121314151716181921202223[[#This Row],[Stand Bruisend liter vorige maand]]</f>
        <v>75.800000000000182</v>
      </c>
      <c r="AO59" s="2">
        <f>Tabel242567891011121314151716181921202223[[#This Row],[Verbruik Bruisend liter deze maand]]/0.15</f>
        <v>505.33333333333456</v>
      </c>
      <c r="AP59" s="53">
        <v>1084.0999999999999</v>
      </c>
      <c r="AQ59">
        <v>1040.0999999999999</v>
      </c>
      <c r="AR59">
        <f>Tabel242567891011121314151716181921202223[[#This Row],[Stand licht bruisend liter einde maand]]-Tabel242567891011121314151716181921202223[[#This Row],[Stand licht bruisend liter vorige maand]]</f>
        <v>44</v>
      </c>
      <c r="AS59" s="2">
        <f>Tabel242567891011121314151716181921202223[[#This Row],[Verbruik licht bruisend liter deze maand]]/0.15</f>
        <v>293.33333333333337</v>
      </c>
      <c r="AT59" s="53">
        <v>7578.9</v>
      </c>
      <c r="AU59">
        <v>7334.6</v>
      </c>
      <c r="AV59">
        <f>Tabel242567891011121314151716181921202223[[#This Row],[Stand heet water liter einde maand]]-Tabel242567891011121314151716181921202223[[#This Row],[Stand heet water liter vorige maand]]</f>
        <v>244.29999999999927</v>
      </c>
      <c r="AW59" s="2">
        <f>Tabel242567891011121314151716181921202223[[#This Row],[Verbruik heet Water liter deze maand ]]/0.15</f>
        <v>1628.666666666662</v>
      </c>
      <c r="AX59" s="77">
        <f>Tabel242567891011121314151716181921202223[[#This Row],[Aantal consumpties heet water deze maand]]+Tabel242567891011121314151716181921202223[[#This Row],[Aantal consumpties licht bruisend water deze maand]]+Tabel242567891011121314151716181921202223[[#This Row],[aantal consumpties Bruisend water deze maand]]+Tabel242567891011121314151716181921202223[[#This Row],[Aantal consumpties gekoeld water deze maand]]+Tabel242567891011121314151716181921202223[[#This Row],[Aantal consumpties Kamertemp deze maand]]</f>
        <v>3241.3333333333289</v>
      </c>
      <c r="AY59" s="95">
        <f>Tabel242567891011121314151716181921202223[[#This Row],[Subtotaal waterbar in consumpties]]+Tabel242567891011121314151716181921202223[[#This Row],[Subtotaal koffieautomaten]]</f>
        <v>4106.3333333333285</v>
      </c>
    </row>
    <row r="60" spans="1:126" x14ac:dyDescent="0.25">
      <c r="A60" s="53" t="s">
        <v>58</v>
      </c>
      <c r="B60" t="s">
        <v>107</v>
      </c>
      <c r="C60" t="s">
        <v>31</v>
      </c>
      <c r="E60" s="53">
        <v>10679</v>
      </c>
      <c r="F60" s="101">
        <v>10214</v>
      </c>
      <c r="G60">
        <f>Tabel242567891011121314151716181921202223[[#This Row],[Stand Coffee einde maand]]-Tabel242567891011121314151716181921202223[[#This Row],[Coffee vorige maand]]</f>
        <v>465</v>
      </c>
      <c r="H60" s="53">
        <v>2067</v>
      </c>
      <c r="I60" s="101">
        <v>2002</v>
      </c>
      <c r="J60">
        <f>Tabel242567891011121314151716181921202223[[#This Row],[Stand Espresso Einde maand]]-Tabel242567891011121314151716181921202223[[#This Row],[Espresso vorige maand]]</f>
        <v>65</v>
      </c>
      <c r="K60" s="53">
        <v>1747</v>
      </c>
      <c r="L60" s="101">
        <v>1703</v>
      </c>
      <c r="M60">
        <f>Tabel242567891011121314151716181921202223[[#This Row],[Stand Latte Macchiato einde maand]]-Tabel242567891011121314151716181921202223[[#This Row],[Latte Macchiato vorige maand]]</f>
        <v>44</v>
      </c>
      <c r="N60" s="53">
        <v>297</v>
      </c>
      <c r="O60" s="101">
        <v>285</v>
      </c>
      <c r="P60">
        <f>Tabel242567891011121314151716181921202223[[#This Row],[Stand Coffee Latte einde maand]]-Tabel242567891011121314151716181921202223[[#This Row],[Coffee Latte vorige maand]]</f>
        <v>12</v>
      </c>
      <c r="Q60" s="53">
        <v>21162</v>
      </c>
      <c r="R60" s="101">
        <v>20310</v>
      </c>
      <c r="S60">
        <f>Tabel242567891011121314151716181921202223[[#This Row],[Stand Hot Water einde maand]]-Tabel242567891011121314151716181921202223[[#This Row],[Hot Water vorige maand]]</f>
        <v>852</v>
      </c>
      <c r="T60" s="53">
        <v>3046</v>
      </c>
      <c r="U60" s="101">
        <v>2907</v>
      </c>
      <c r="V60">
        <f>Tabel242567891011121314151716181921202223[[#This Row],[Stand Cappucino einde maand]]-Tabel242567891011121314151716181921202223[[#This Row],[Stand Cappucino vorige maand]]</f>
        <v>139</v>
      </c>
      <c r="W60" s="53">
        <v>1904</v>
      </c>
      <c r="X60" s="101">
        <v>1822</v>
      </c>
      <c r="Y60">
        <f>Tabel242567891011121314151716181921202223[[#This Row],[Stand Cappucino Plantaardig einde maand]]-Tabel242567891011121314151716181921202223[[#This Row],[Stand Cappucino Plantaardig vorige maand]]</f>
        <v>82</v>
      </c>
      <c r="Z60" s="53">
        <v>423</v>
      </c>
      <c r="AA60" s="101">
        <v>416</v>
      </c>
      <c r="AB60" s="52">
        <f>Tabel242567891011121314151716181921202223[[#This Row],[Stand Latte Macchiato Plantaardig einde maand]]-Tabel242567891011121314151716181921202223[[#This Row],[Stand Latte Macchiato Plantaardig vorige maand]]</f>
        <v>7</v>
      </c>
      <c r="AC60" s="3">
        <f>Tabel242567891011121314151716181921202223[[#This Row],[Verbruik Stand Latte Macchiato Plantaardig deze maand]]+Tabel242567891011121314151716181921202223[[#This Row],[Verbruik  Cappucino Plantaardig deze maand]]+Tabel242567891011121314151716181921202223[[#This Row],[Verbruik Cappucino deze maand]]+Tabel242567891011121314151716181921202223[[#This Row],[Verbruik Hot Water deze maand]]+Tabel242567891011121314151716181921202223[[#This Row],[Verbruik Coffee Latte deze maand]]+Tabel242567891011121314151716181921202223[[#This Row],[Verbruik Latte Macchiato deze maand]]+Tabel242567891011121314151716181921202223[[#This Row],[Verbruik Espresso deze maand]]+Tabel242567891011121314151716181921202223[[#This Row],[Verbruik Coffee deze maand]]</f>
        <v>1666</v>
      </c>
      <c r="AD60" s="75"/>
      <c r="AE60" s="5"/>
      <c r="AF60" s="5"/>
      <c r="AG60" s="100"/>
      <c r="AH60" s="5"/>
      <c r="AI60" s="41"/>
      <c r="AJ60" s="5"/>
      <c r="AK60" s="5"/>
      <c r="AL60" s="75"/>
      <c r="AM60" s="41"/>
      <c r="AN60" s="5"/>
      <c r="AO60" s="5"/>
      <c r="AP60" s="75"/>
      <c r="AQ60" s="41"/>
      <c r="AR60" s="5"/>
      <c r="AS60" s="5"/>
      <c r="AT60" s="75"/>
      <c r="AU60" s="41"/>
      <c r="AV60" s="5"/>
      <c r="AW60" s="5"/>
      <c r="AX60" s="79"/>
      <c r="AY60" s="95">
        <f>Tabel242567891011121314151716181921202223[[#This Row],[Subtotaal waterbar in consumpties]]+Tabel242567891011121314151716181921202223[[#This Row],[Subtotaal koffieautomaten]]</f>
        <v>1666</v>
      </c>
    </row>
    <row r="61" spans="1:126" x14ac:dyDescent="0.25">
      <c r="A61" s="53" t="s">
        <v>60</v>
      </c>
      <c r="B61" t="s">
        <v>108</v>
      </c>
      <c r="C61" t="s">
        <v>36</v>
      </c>
      <c r="E61" s="54"/>
      <c r="F61" s="46"/>
      <c r="G61" s="47"/>
      <c r="H61" s="54"/>
      <c r="I61" s="46"/>
      <c r="J61" s="47"/>
      <c r="K61" s="54"/>
      <c r="L61" s="46"/>
      <c r="M61" s="47"/>
      <c r="N61" s="54"/>
      <c r="O61" s="46"/>
      <c r="P61" s="47"/>
      <c r="Q61" s="54"/>
      <c r="R61" s="46"/>
      <c r="S61" s="47"/>
      <c r="T61" s="54"/>
      <c r="U61" s="46"/>
      <c r="V61" s="47"/>
      <c r="W61" s="54"/>
      <c r="X61" s="46"/>
      <c r="Y61" s="47"/>
      <c r="Z61" s="54"/>
      <c r="AA61" s="46"/>
      <c r="AB61" s="109"/>
      <c r="AC61" s="47"/>
      <c r="AD61" s="53">
        <v>257.10000000000002</v>
      </c>
      <c r="AE61">
        <v>231.1</v>
      </c>
      <c r="AF61">
        <f>Tabel242567891011121314151716181921202223[[#This Row],[Stand Kamertemp liter einde maand]]-Tabel242567891011121314151716181921202223[[#This Row],[Stand Kamertemp liter vorige maand]]</f>
        <v>26.000000000000028</v>
      </c>
      <c r="AG61" s="99">
        <f>Tabel242567891011121314151716181921202223[[#This Row],[Verbruik Kamertemp liter deze maand]]/0.15</f>
        <v>173.33333333333354</v>
      </c>
      <c r="AH61">
        <v>1376.8</v>
      </c>
      <c r="AI61">
        <v>1334.8</v>
      </c>
      <c r="AJ61">
        <f>Tabel242567891011121314151716181921202223[[#This Row],[Stand Gekoeld liter einde maand]]-Tabel242567891011121314151716181921202223[[#This Row],[Stand Gekoeld liter vorige maand]]</f>
        <v>42</v>
      </c>
      <c r="AK61" s="2">
        <f>Tabel242567891011121314151716181921202223[[#This Row],[Verbruik Gekoeld liter deze maand]]/0.15</f>
        <v>280</v>
      </c>
      <c r="AL61" s="53">
        <v>791.6</v>
      </c>
      <c r="AM61">
        <v>768.6</v>
      </c>
      <c r="AN61">
        <f>Tabel242567891011121314151716181921202223[[#This Row],[Stand Bruisend liter einde maand]]-Tabel242567891011121314151716181921202223[[#This Row],[Stand Bruisend liter vorige maand]]</f>
        <v>23</v>
      </c>
      <c r="AO61" s="2">
        <f>Tabel242567891011121314151716181921202223[[#This Row],[Verbruik Bruisend liter deze maand]]/0.15</f>
        <v>153.33333333333334</v>
      </c>
      <c r="AP61" s="53">
        <v>1059.5999999999999</v>
      </c>
      <c r="AQ61">
        <v>1034.2</v>
      </c>
      <c r="AR61">
        <f>Tabel242567891011121314151716181921202223[[#This Row],[Stand licht bruisend liter einde maand]]-Tabel242567891011121314151716181921202223[[#This Row],[Stand licht bruisend liter vorige maand]]</f>
        <v>25.399999999999864</v>
      </c>
      <c r="AS61" s="2">
        <f>Tabel242567891011121314151716181921202223[[#This Row],[Verbruik licht bruisend liter deze maand]]/0.15</f>
        <v>169.33333333333243</v>
      </c>
      <c r="AT61" s="53">
        <v>3693</v>
      </c>
      <c r="AU61">
        <v>3498.3</v>
      </c>
      <c r="AV61">
        <f>Tabel242567891011121314151716181921202223[[#This Row],[Stand heet water liter einde maand]]-Tabel242567891011121314151716181921202223[[#This Row],[Stand heet water liter vorige maand]]</f>
        <v>194.69999999999982</v>
      </c>
      <c r="AW61" s="2">
        <f>Tabel242567891011121314151716181921202223[[#This Row],[Verbruik heet Water liter deze maand ]]/0.15</f>
        <v>1297.9999999999989</v>
      </c>
      <c r="AX61" s="77">
        <f>Tabel242567891011121314151716181921202223[[#This Row],[Aantal consumpties heet water deze maand]]+Tabel242567891011121314151716181921202223[[#This Row],[Aantal consumpties licht bruisend water deze maand]]+Tabel242567891011121314151716181921202223[[#This Row],[aantal consumpties Bruisend water deze maand]]+Tabel242567891011121314151716181921202223[[#This Row],[Aantal consumpties gekoeld water deze maand]]+Tabel242567891011121314151716181921202223[[#This Row],[Aantal consumpties Kamertemp deze maand]]</f>
        <v>2073.9999999999982</v>
      </c>
      <c r="AY61" s="95">
        <f>Tabel242567891011121314151716181921202223[[#This Row],[Subtotaal waterbar in consumpties]]+Tabel242567891011121314151716181921202223[[#This Row],[Subtotaal koffieautomaten]]</f>
        <v>2073.9999999999982</v>
      </c>
    </row>
    <row r="62" spans="1:126" s="81" customFormat="1" x14ac:dyDescent="0.25">
      <c r="A62" s="150" t="s">
        <v>109</v>
      </c>
      <c r="B62" s="151"/>
      <c r="C62" s="151"/>
      <c r="D62" s="151"/>
      <c r="E62" s="151"/>
      <c r="F62" s="152"/>
      <c r="G62" s="151"/>
      <c r="H62" s="151"/>
      <c r="I62" s="152"/>
      <c r="J62" s="151"/>
      <c r="K62" s="151"/>
      <c r="L62" s="152"/>
      <c r="M62" s="151"/>
      <c r="N62" s="151"/>
      <c r="O62" s="152"/>
      <c r="P62" s="151"/>
      <c r="Q62" s="151"/>
      <c r="R62" s="152"/>
      <c r="S62" s="151"/>
      <c r="T62" s="151"/>
      <c r="U62" s="152"/>
      <c r="V62" s="151"/>
      <c r="W62" s="151"/>
      <c r="X62" s="152"/>
      <c r="Y62" s="151"/>
      <c r="Z62" s="151"/>
      <c r="AA62" s="152"/>
      <c r="AB62" s="151"/>
      <c r="AC62" s="153"/>
      <c r="AD62" s="154"/>
      <c r="AE62" s="154"/>
      <c r="AF62" s="151"/>
      <c r="AG62" s="155"/>
      <c r="AH62" s="154"/>
      <c r="AI62" s="154"/>
      <c r="AJ62" s="151"/>
      <c r="AK62" s="155"/>
      <c r="AL62" s="154"/>
      <c r="AM62" s="154"/>
      <c r="AN62" s="151"/>
      <c r="AO62" s="155"/>
      <c r="AP62" s="154"/>
      <c r="AQ62" s="154"/>
      <c r="AR62" s="151"/>
      <c r="AS62" s="155"/>
      <c r="AT62" s="154"/>
      <c r="AU62" s="154"/>
      <c r="AV62" s="151"/>
      <c r="AW62" s="155"/>
      <c r="AX62" s="156"/>
      <c r="AY62" s="157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</row>
    <row r="63" spans="1:126" x14ac:dyDescent="0.25">
      <c r="A63" s="64">
        <v>1</v>
      </c>
      <c r="B63" t="s">
        <v>110</v>
      </c>
      <c r="C63" t="s">
        <v>31</v>
      </c>
      <c r="E63" s="53">
        <v>10191</v>
      </c>
      <c r="F63">
        <v>9930</v>
      </c>
      <c r="G63">
        <f>Tabel242567891011121314151716181921202223[[#This Row],[Stand Coffee einde maand]]-Tabel242567891011121314151716181921202223[[#This Row],[Coffee vorige maand]]</f>
        <v>261</v>
      </c>
      <c r="H63" s="53">
        <v>1447</v>
      </c>
      <c r="I63">
        <v>1405</v>
      </c>
      <c r="J63">
        <f>Tabel242567891011121314151716181921202223[[#This Row],[Stand Espresso Einde maand]]-Tabel242567891011121314151716181921202223[[#This Row],[Espresso vorige maand]]</f>
        <v>42</v>
      </c>
      <c r="K63" s="53">
        <v>987</v>
      </c>
      <c r="L63">
        <v>949</v>
      </c>
      <c r="M63">
        <f>Tabel242567891011121314151716181921202223[[#This Row],[Stand Latte Macchiato einde maand]]-Tabel242567891011121314151716181921202223[[#This Row],[Latte Macchiato vorige maand]]</f>
        <v>38</v>
      </c>
      <c r="N63" s="53">
        <v>502</v>
      </c>
      <c r="O63">
        <v>501</v>
      </c>
      <c r="P63">
        <f>Tabel242567891011121314151716181921202223[[#This Row],[Stand Coffee Latte einde maand]]-Tabel242567891011121314151716181921202223[[#This Row],[Coffee Latte vorige maand]]</f>
        <v>1</v>
      </c>
      <c r="Q63" s="53">
        <v>8117</v>
      </c>
      <c r="R63">
        <v>7674</v>
      </c>
      <c r="S63">
        <f>Tabel242567891011121314151716181921202223[[#This Row],[Stand Hot Water einde maand]]-Tabel242567891011121314151716181921202223[[#This Row],[Hot Water vorige maand]]</f>
        <v>443</v>
      </c>
      <c r="T63" s="53">
        <v>3267</v>
      </c>
      <c r="U63">
        <v>3187</v>
      </c>
      <c r="V63">
        <f>Tabel242567891011121314151716181921202223[[#This Row],[Stand Cappucino einde maand]]-Tabel242567891011121314151716181921202223[[#This Row],[Stand Cappucino vorige maand]]</f>
        <v>80</v>
      </c>
      <c r="W63" s="53">
        <v>51</v>
      </c>
      <c r="X63">
        <v>51</v>
      </c>
      <c r="Y63">
        <f>Tabel242567891011121314151716181921202223[[#This Row],[Stand Cappucino Plantaardig einde maand]]-Tabel242567891011121314151716181921202223[[#This Row],[Stand Cappucino Plantaardig vorige maand]]</f>
        <v>0</v>
      </c>
      <c r="Z63" s="53">
        <v>239</v>
      </c>
      <c r="AA63">
        <v>232</v>
      </c>
      <c r="AB63" s="52">
        <f>Tabel242567891011121314151716181921202223[[#This Row],[Stand Latte Macchiato Plantaardig einde maand]]-Tabel242567891011121314151716181921202223[[#This Row],[Stand Latte Macchiato Plantaardig vorige maand]]</f>
        <v>7</v>
      </c>
      <c r="AC63" s="3">
        <f>Tabel242567891011121314151716181921202223[[#This Row],[Verbruik Stand Latte Macchiato Plantaardig deze maand]]+Tabel242567891011121314151716181921202223[[#This Row],[Verbruik  Cappucino Plantaardig deze maand]]+Tabel242567891011121314151716181921202223[[#This Row],[Verbruik Cappucino deze maand]]+Tabel242567891011121314151716181921202223[[#This Row],[Verbruik Hot Water deze maand]]+Tabel242567891011121314151716181921202223[[#This Row],[Verbruik Coffee Latte deze maand]]+Tabel242567891011121314151716181921202223[[#This Row],[Verbruik Latte Macchiato deze maand]]+Tabel242567891011121314151716181921202223[[#This Row],[Verbruik Espresso deze maand]]+Tabel242567891011121314151716181921202223[[#This Row],[Verbruik Coffee deze maand]]</f>
        <v>872</v>
      </c>
      <c r="AD63" s="75"/>
      <c r="AE63" s="5"/>
      <c r="AF63" s="5"/>
      <c r="AG63" s="100"/>
      <c r="AH63" s="41"/>
      <c r="AI63" s="41"/>
      <c r="AJ63" s="5"/>
      <c r="AK63" s="5"/>
      <c r="AL63" s="69"/>
      <c r="AM63" s="41"/>
      <c r="AN63" s="5"/>
      <c r="AO63" s="5"/>
      <c r="AP63" s="69"/>
      <c r="AQ63" s="41"/>
      <c r="AR63" s="5"/>
      <c r="AS63" s="5"/>
      <c r="AT63" s="69"/>
      <c r="AU63" s="41"/>
      <c r="AV63" s="5"/>
      <c r="AW63" s="7"/>
      <c r="AX63" s="78"/>
      <c r="AY63" s="95">
        <f>Tabel242567891011121314151716181921202223[[#This Row],[Subtotaal waterbar in consumpties]]+Tabel242567891011121314151716181921202223[[#This Row],[Subtotaal koffieautomaten]]</f>
        <v>872</v>
      </c>
    </row>
    <row r="64" spans="1:126" x14ac:dyDescent="0.25">
      <c r="A64" s="64">
        <v>1</v>
      </c>
      <c r="B64" t="s">
        <v>111</v>
      </c>
      <c r="C64" t="s">
        <v>31</v>
      </c>
      <c r="E64" s="53">
        <v>11637</v>
      </c>
      <c r="F64" s="101">
        <v>11485</v>
      </c>
      <c r="G64">
        <f>Tabel242567891011121314151716181921202223[[#This Row],[Stand Coffee einde maand]]-Tabel242567891011121314151716181921202223[[#This Row],[Coffee vorige maand]]</f>
        <v>152</v>
      </c>
      <c r="H64" s="53">
        <v>523</v>
      </c>
      <c r="I64" s="101">
        <v>504</v>
      </c>
      <c r="J64">
        <f>Tabel242567891011121314151716181921202223[[#This Row],[Stand Espresso Einde maand]]-Tabel242567891011121314151716181921202223[[#This Row],[Espresso vorige maand]]</f>
        <v>19</v>
      </c>
      <c r="K64" s="53">
        <v>2112</v>
      </c>
      <c r="L64" s="101">
        <v>2057</v>
      </c>
      <c r="M64">
        <f>Tabel242567891011121314151716181921202223[[#This Row],[Stand Latte Macchiato einde maand]]-Tabel242567891011121314151716181921202223[[#This Row],[Latte Macchiato vorige maand]]</f>
        <v>55</v>
      </c>
      <c r="N64" s="53">
        <v>1306</v>
      </c>
      <c r="O64" s="101">
        <v>1305</v>
      </c>
      <c r="P64">
        <f>Tabel242567891011121314151716181921202223[[#This Row],[Stand Coffee Latte einde maand]]-Tabel242567891011121314151716181921202223[[#This Row],[Coffee Latte vorige maand]]</f>
        <v>1</v>
      </c>
      <c r="Q64" s="53">
        <v>9160</v>
      </c>
      <c r="R64" s="101">
        <v>8934</v>
      </c>
      <c r="S64">
        <f>Tabel242567891011121314151716181921202223[[#This Row],[Stand Hot Water einde maand]]-Tabel242567891011121314151716181921202223[[#This Row],[Hot Water vorige maand]]</f>
        <v>226</v>
      </c>
      <c r="T64" s="53">
        <v>2893</v>
      </c>
      <c r="U64" s="101">
        <v>2835</v>
      </c>
      <c r="V64">
        <f>Tabel242567891011121314151716181921202223[[#This Row],[Stand Cappucino einde maand]]-Tabel242567891011121314151716181921202223[[#This Row],[Stand Cappucino vorige maand]]</f>
        <v>58</v>
      </c>
      <c r="W64" s="53">
        <v>285</v>
      </c>
      <c r="X64" s="101">
        <v>285</v>
      </c>
      <c r="Y64">
        <f>Tabel242567891011121314151716181921202223[[#This Row],[Stand Cappucino Plantaardig einde maand]]-Tabel242567891011121314151716181921202223[[#This Row],[Stand Cappucino Plantaardig vorige maand]]</f>
        <v>0</v>
      </c>
      <c r="Z64" s="53">
        <v>335</v>
      </c>
      <c r="AA64" s="101">
        <v>334</v>
      </c>
      <c r="AB64" s="52">
        <f>Tabel242567891011121314151716181921202223[[#This Row],[Stand Latte Macchiato Plantaardig einde maand]]-Tabel242567891011121314151716181921202223[[#This Row],[Stand Latte Macchiato Plantaardig vorige maand]]</f>
        <v>1</v>
      </c>
      <c r="AC64" s="3">
        <f>Tabel242567891011121314151716181921202223[[#This Row],[Verbruik Stand Latte Macchiato Plantaardig deze maand]]+Tabel242567891011121314151716181921202223[[#This Row],[Verbruik  Cappucino Plantaardig deze maand]]+Tabel242567891011121314151716181921202223[[#This Row],[Verbruik Cappucino deze maand]]+Tabel242567891011121314151716181921202223[[#This Row],[Verbruik Hot Water deze maand]]+Tabel242567891011121314151716181921202223[[#This Row],[Verbruik Coffee Latte deze maand]]+Tabel242567891011121314151716181921202223[[#This Row],[Verbruik Latte Macchiato deze maand]]+Tabel242567891011121314151716181921202223[[#This Row],[Verbruik Espresso deze maand]]+Tabel242567891011121314151716181921202223[[#This Row],[Verbruik Coffee deze maand]]</f>
        <v>512</v>
      </c>
      <c r="AD64" s="75"/>
      <c r="AE64" s="5"/>
      <c r="AF64" s="5"/>
      <c r="AG64" s="100"/>
      <c r="AH64" s="41"/>
      <c r="AI64" s="41"/>
      <c r="AJ64" s="5"/>
      <c r="AK64" s="5"/>
      <c r="AL64" s="69"/>
      <c r="AM64" s="41"/>
      <c r="AN64" s="5"/>
      <c r="AO64" s="5"/>
      <c r="AP64" s="69"/>
      <c r="AQ64" s="41"/>
      <c r="AR64" s="5"/>
      <c r="AS64" s="5"/>
      <c r="AT64" s="69"/>
      <c r="AU64" s="41"/>
      <c r="AV64" s="5"/>
      <c r="AW64" s="7"/>
      <c r="AX64" s="78"/>
      <c r="AY64" s="95">
        <f>Tabel242567891011121314151716181921202223[[#This Row],[Subtotaal waterbar in consumpties]]+Tabel242567891011121314151716181921202223[[#This Row],[Subtotaal koffieautomaten]]</f>
        <v>512</v>
      </c>
    </row>
    <row r="65" spans="1:126" s="81" customFormat="1" x14ac:dyDescent="0.25">
      <c r="A65" s="89" t="s">
        <v>112</v>
      </c>
      <c r="E65" s="89">
        <f>SUM(E5:E64)</f>
        <v>612466</v>
      </c>
      <c r="F65" s="104">
        <f>SUM(F5:F64)</f>
        <v>584848</v>
      </c>
      <c r="G65" s="104">
        <f>SUM(G4:G64)</f>
        <v>27618</v>
      </c>
      <c r="H65" s="89">
        <f>SUM(H5:H64)</f>
        <v>156585</v>
      </c>
      <c r="I65" s="104">
        <f>SUM(I5:I64)</f>
        <v>148660</v>
      </c>
      <c r="J65" s="104">
        <f>SUM(J4:J64)</f>
        <v>7925</v>
      </c>
      <c r="K65" s="89">
        <f>SUM(K5:K64)</f>
        <v>73732</v>
      </c>
      <c r="L65" s="104">
        <f>SUM(L5:L64)</f>
        <v>70754</v>
      </c>
      <c r="M65" s="104">
        <f>SUM(M4:M64)</f>
        <v>2978</v>
      </c>
      <c r="N65" s="89">
        <f>SUM(N5:N64)</f>
        <v>42624</v>
      </c>
      <c r="O65" s="104">
        <f>SUM(O5:O64)</f>
        <v>40662</v>
      </c>
      <c r="P65" s="104">
        <f>SUM(P4:P64)</f>
        <v>1962</v>
      </c>
      <c r="Q65" s="89">
        <f>SUM(Q5:Q64)</f>
        <v>734258</v>
      </c>
      <c r="R65" s="104">
        <f>SUM(R5:R64)</f>
        <v>695175</v>
      </c>
      <c r="S65" s="104">
        <f>SUM(S4:S64)</f>
        <v>39083</v>
      </c>
      <c r="T65" s="89">
        <f>SUM(T5:T64)</f>
        <v>337524</v>
      </c>
      <c r="U65" s="104">
        <f>SUM(U5:U64)</f>
        <v>322983</v>
      </c>
      <c r="V65" s="104">
        <f>SUM(V4:V64)</f>
        <v>14541</v>
      </c>
      <c r="W65" s="89">
        <f>SUM(W5:W64)</f>
        <v>62132</v>
      </c>
      <c r="X65" s="104">
        <f>SUM(X5:X64)</f>
        <v>59897</v>
      </c>
      <c r="Y65" s="104">
        <f>SUM(Y4:Y64)</f>
        <v>2235</v>
      </c>
      <c r="Z65" s="89">
        <f>SUM(Z5:Z64)</f>
        <v>22642</v>
      </c>
      <c r="AA65" s="104">
        <f>SUM(AA5:AA64)</f>
        <v>21720</v>
      </c>
      <c r="AB65" s="112">
        <f t="shared" ref="AB65:AQ65" si="0">SUM(AB4:AB64)</f>
        <v>922</v>
      </c>
      <c r="AC65" s="104">
        <f t="shared" si="0"/>
        <v>97264</v>
      </c>
      <c r="AD65" s="89">
        <f t="shared" si="0"/>
        <v>4033.7999999999997</v>
      </c>
      <c r="AE65" s="104">
        <f t="shared" si="0"/>
        <v>3177.3</v>
      </c>
      <c r="AF65" s="105">
        <f t="shared" si="0"/>
        <v>856.5</v>
      </c>
      <c r="AG65" s="105">
        <f t="shared" si="0"/>
        <v>5710</v>
      </c>
      <c r="AH65" s="105">
        <f>SUM(AH4:AH64)</f>
        <v>24263.499999999996</v>
      </c>
      <c r="AI65" s="105">
        <f t="shared" si="0"/>
        <v>21560.100000000002</v>
      </c>
      <c r="AJ65" s="105">
        <f t="shared" si="0"/>
        <v>2703.4</v>
      </c>
      <c r="AK65" s="105">
        <f t="shared" si="0"/>
        <v>18022.666666666664</v>
      </c>
      <c r="AL65" s="113">
        <f t="shared" si="0"/>
        <v>17803.400000000001</v>
      </c>
      <c r="AM65" s="105">
        <f t="shared" si="0"/>
        <v>16142.900000000003</v>
      </c>
      <c r="AN65" s="105">
        <f t="shared" si="0"/>
        <v>1660.4999999999995</v>
      </c>
      <c r="AO65" s="105">
        <f t="shared" si="0"/>
        <v>11069.999999999998</v>
      </c>
      <c r="AP65" s="113">
        <f t="shared" si="0"/>
        <v>7826.8000000000011</v>
      </c>
      <c r="AQ65" s="105">
        <f t="shared" si="0"/>
        <v>6990.5000000000027</v>
      </c>
      <c r="AR65" s="104">
        <f>SUM(AR5:AR64)</f>
        <v>836.3</v>
      </c>
      <c r="AS65" s="105">
        <f>SUM(AS4:AS64)</f>
        <v>5575.3333333333339</v>
      </c>
      <c r="AT65" s="113">
        <f>SUM(AT4:AT64)</f>
        <v>59712.4</v>
      </c>
      <c r="AU65" s="105">
        <f>SUM(AU4:AU64)</f>
        <v>51481.9</v>
      </c>
      <c r="AV65" s="104">
        <f>SUM(AV5:AV64)</f>
        <v>8230.5</v>
      </c>
      <c r="AW65" s="105">
        <f>SUM(AW4:AW64)</f>
        <v>54870</v>
      </c>
      <c r="AX65" s="88">
        <f>SUM(AX4:AX64)</f>
        <v>95248</v>
      </c>
      <c r="AY65" s="94">
        <f>Tabel242567891011121314151716181921202223[[#This Row],[Subtotaal waterbar in consumpties]]+Tabel242567891011121314151716181921202223[[#This Row],[Subtotaal koffieautomaten]]</f>
        <v>192512</v>
      </c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</row>
    <row r="66" spans="1:126" x14ac:dyDescent="0.25">
      <c r="A66" s="56"/>
      <c r="B66" s="57"/>
      <c r="C66" s="57"/>
      <c r="D66" s="57"/>
      <c r="E66" s="56"/>
      <c r="F66" s="57"/>
      <c r="G66" s="57"/>
      <c r="H66" s="56"/>
      <c r="I66" s="57"/>
      <c r="J66" s="57"/>
      <c r="K66" s="56"/>
      <c r="L66" s="57"/>
      <c r="M66" s="57"/>
      <c r="N66" s="56"/>
      <c r="O66" s="57"/>
      <c r="P66" s="57"/>
      <c r="Q66" s="56"/>
      <c r="R66" s="57"/>
      <c r="S66" s="57"/>
      <c r="T66" s="56"/>
      <c r="U66" s="57"/>
      <c r="V66" s="57"/>
      <c r="W66" s="56"/>
      <c r="X66" s="57"/>
      <c r="Y66" s="57"/>
      <c r="Z66" s="56"/>
      <c r="AA66" s="57"/>
      <c r="AB66" s="58"/>
      <c r="AC66" s="57"/>
      <c r="AD66" s="56"/>
      <c r="AE66" s="57"/>
      <c r="AF66" s="57"/>
      <c r="AG66" s="57"/>
      <c r="AH66" s="56"/>
      <c r="AI66" s="57"/>
      <c r="AJ66" s="57"/>
      <c r="AK66" s="57"/>
      <c r="AL66" s="56"/>
      <c r="AM66" s="57"/>
      <c r="AN66" s="57"/>
      <c r="AO66" s="57"/>
      <c r="AP66" s="56"/>
      <c r="AQ66" s="57"/>
      <c r="AR66" s="57"/>
      <c r="AS66" s="57"/>
      <c r="AT66" s="56"/>
      <c r="AU66" s="57"/>
      <c r="AV66" s="57"/>
      <c r="AW66" s="57"/>
      <c r="AX66" s="92"/>
      <c r="AY66" s="96"/>
    </row>
    <row r="67" spans="1:126" x14ac:dyDescent="0.25">
      <c r="A67"/>
      <c r="E67"/>
      <c r="H67"/>
      <c r="K67"/>
      <c r="N67"/>
      <c r="Q67"/>
      <c r="T67"/>
      <c r="W67"/>
      <c r="Z67"/>
      <c r="AC67"/>
      <c r="AD67"/>
      <c r="AH67"/>
      <c r="AL67"/>
      <c r="AP67"/>
      <c r="AT67"/>
      <c r="AX67"/>
      <c r="AY67"/>
    </row>
    <row r="68" spans="1:126" x14ac:dyDescent="0.25">
      <c r="A68"/>
      <c r="E68"/>
      <c r="H68"/>
      <c r="K68"/>
      <c r="N68"/>
      <c r="Q68"/>
      <c r="T68"/>
      <c r="W68"/>
      <c r="Z68"/>
      <c r="AC68"/>
      <c r="AD68"/>
      <c r="AH68"/>
      <c r="AL68"/>
      <c r="AP68"/>
      <c r="AT68"/>
      <c r="AX68"/>
      <c r="AY68" s="2"/>
      <c r="AZ68" s="2"/>
      <c r="BA68" s="145"/>
    </row>
    <row r="69" spans="1:126" x14ac:dyDescent="0.25">
      <c r="A69" s="49"/>
      <c r="B69" t="s">
        <v>166</v>
      </c>
      <c r="E69"/>
      <c r="H69"/>
      <c r="K69"/>
      <c r="N69"/>
      <c r="Q69"/>
      <c r="T69"/>
      <c r="W69"/>
      <c r="Z69"/>
      <c r="AC69"/>
      <c r="AD69"/>
      <c r="AH69"/>
      <c r="AL69"/>
      <c r="AP69"/>
      <c r="AT69"/>
      <c r="AX69"/>
      <c r="AY69" s="4"/>
      <c r="AZ69" s="4"/>
      <c r="BA69" s="48"/>
    </row>
    <row r="70" spans="1:126" x14ac:dyDescent="0.25">
      <c r="A70" s="50"/>
      <c r="B70" t="s">
        <v>167</v>
      </c>
      <c r="E70"/>
      <c r="H70"/>
      <c r="K70"/>
      <c r="N70"/>
      <c r="Q70"/>
      <c r="T70"/>
      <c r="W70"/>
      <c r="Z70"/>
      <c r="AC70"/>
      <c r="AD70"/>
      <c r="AH70"/>
      <c r="AL70"/>
      <c r="AP70"/>
      <c r="AT70"/>
      <c r="AX70"/>
      <c r="AY70" s="3"/>
      <c r="AZ70" s="4"/>
      <c r="BA70" s="48"/>
    </row>
    <row r="71" spans="1:126" x14ac:dyDescent="0.25">
      <c r="A71"/>
      <c r="E71"/>
      <c r="H71"/>
      <c r="K71"/>
      <c r="N71"/>
      <c r="Q71"/>
      <c r="T71"/>
      <c r="W71"/>
      <c r="Z71"/>
      <c r="AC71"/>
      <c r="AD71"/>
      <c r="AH71"/>
      <c r="AL71"/>
      <c r="AP71"/>
      <c r="AT71"/>
      <c r="AX71"/>
      <c r="AY71"/>
      <c r="AZ71" s="2"/>
      <c r="BA71" s="48"/>
    </row>
    <row r="72" spans="1:126" x14ac:dyDescent="0.25">
      <c r="A72"/>
      <c r="E72"/>
      <c r="H72"/>
      <c r="K72"/>
      <c r="N72"/>
      <c r="Q72"/>
      <c r="T72"/>
      <c r="W72"/>
      <c r="Z72"/>
      <c r="AC72"/>
      <c r="AD72"/>
      <c r="AH72"/>
      <c r="AL72"/>
      <c r="AP72"/>
      <c r="AT72"/>
      <c r="AX72"/>
      <c r="AY72"/>
    </row>
    <row r="73" spans="1:126" x14ac:dyDescent="0.25">
      <c r="A73"/>
      <c r="E73"/>
      <c r="H73"/>
      <c r="K73"/>
      <c r="N73"/>
      <c r="Q73"/>
      <c r="T73"/>
      <c r="W73"/>
      <c r="Z73"/>
      <c r="AC73"/>
      <c r="AD73"/>
      <c r="AH73"/>
      <c r="AL73"/>
      <c r="AP73"/>
      <c r="AT73"/>
      <c r="AX73"/>
      <c r="AY73"/>
    </row>
    <row r="74" spans="1:126" x14ac:dyDescent="0.25">
      <c r="A74"/>
      <c r="E74"/>
      <c r="H74"/>
      <c r="K74"/>
      <c r="N74"/>
      <c r="Q74"/>
      <c r="T74"/>
      <c r="W74"/>
      <c r="Z74"/>
      <c r="AC74"/>
      <c r="AD74"/>
      <c r="AH74"/>
      <c r="AL74"/>
      <c r="AP74"/>
      <c r="AT74"/>
      <c r="AX74"/>
      <c r="AY74"/>
    </row>
    <row r="75" spans="1:126" x14ac:dyDescent="0.25">
      <c r="A75"/>
      <c r="E75"/>
      <c r="H75"/>
      <c r="K75"/>
      <c r="N75"/>
      <c r="Q75"/>
      <c r="T75"/>
      <c r="W75"/>
      <c r="Z75"/>
      <c r="AC75"/>
      <c r="AD75"/>
      <c r="AH75"/>
      <c r="AL75"/>
      <c r="AP75"/>
      <c r="AT75"/>
      <c r="AX75"/>
      <c r="AY75"/>
    </row>
    <row r="76" spans="1:126" x14ac:dyDescent="0.25">
      <c r="A76"/>
      <c r="E76"/>
      <c r="H76"/>
      <c r="K76"/>
      <c r="N76"/>
      <c r="Q76"/>
      <c r="T76"/>
      <c r="W76"/>
      <c r="Z76"/>
      <c r="AC76"/>
      <c r="AD76"/>
      <c r="AH76"/>
      <c r="AL76"/>
      <c r="AP76"/>
      <c r="AT76"/>
      <c r="AX76"/>
      <c r="AY76"/>
    </row>
    <row r="77" spans="1:126" x14ac:dyDescent="0.25">
      <c r="A77"/>
      <c r="E77"/>
      <c r="H77"/>
      <c r="K77"/>
      <c r="N77"/>
      <c r="Q77"/>
      <c r="T77"/>
      <c r="W77"/>
      <c r="Z77"/>
      <c r="AC77"/>
      <c r="AD77"/>
      <c r="AH77"/>
      <c r="AL77"/>
      <c r="AP77"/>
      <c r="AT77"/>
      <c r="AX77"/>
      <c r="AY77"/>
    </row>
    <row r="78" spans="1:126" x14ac:dyDescent="0.25">
      <c r="A78"/>
      <c r="E78"/>
      <c r="H78"/>
      <c r="K78"/>
      <c r="N78"/>
      <c r="Q78"/>
      <c r="T78"/>
      <c r="W78"/>
      <c r="Z78"/>
      <c r="AC78"/>
      <c r="AD78"/>
      <c r="AH78"/>
      <c r="AL78"/>
      <c r="AP78"/>
      <c r="AT78"/>
      <c r="AX78"/>
      <c r="AY78"/>
    </row>
    <row r="79" spans="1:126" x14ac:dyDescent="0.25">
      <c r="A79"/>
      <c r="E79"/>
      <c r="H79"/>
      <c r="K79"/>
      <c r="N79"/>
      <c r="Q79"/>
      <c r="T79"/>
      <c r="W79"/>
      <c r="Z79"/>
      <c r="AC79"/>
      <c r="AD79"/>
      <c r="AH79"/>
      <c r="AL79"/>
      <c r="AP79"/>
      <c r="AT79"/>
      <c r="AX79"/>
      <c r="AY79"/>
    </row>
    <row r="80" spans="1:126" x14ac:dyDescent="0.25">
      <c r="A80"/>
      <c r="E80"/>
      <c r="H80"/>
      <c r="K80"/>
      <c r="N80"/>
      <c r="Q80"/>
      <c r="T80"/>
      <c r="W80"/>
      <c r="Z80"/>
      <c r="AC80"/>
      <c r="AD80"/>
      <c r="AH80"/>
      <c r="AL80"/>
      <c r="AP80"/>
      <c r="AT80"/>
      <c r="AX80"/>
      <c r="AY80"/>
    </row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</sheetData>
  <mergeCells count="3">
    <mergeCell ref="A1:D1"/>
    <mergeCell ref="E1:AC1"/>
    <mergeCell ref="AD1:AY1"/>
  </mergeCells>
  <pageMargins left="0.7" right="0.7" top="0.75" bottom="0.75" header="0.3" footer="0.3"/>
  <legacyDrawing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9681A-CD07-4446-B715-C2BB3B052922}">
  <dimension ref="A1:DZ147"/>
  <sheetViews>
    <sheetView topLeftCell="K1" zoomScale="130" zoomScaleNormal="130" workbookViewId="0">
      <pane ySplit="2" topLeftCell="A54" activePane="bottomLeft" state="frozen"/>
      <selection pane="bottomLeft" activeCell="A3" sqref="A3:XFD3"/>
    </sheetView>
  </sheetViews>
  <sheetFormatPr defaultRowHeight="15" x14ac:dyDescent="0.25"/>
  <cols>
    <col min="1" max="1" width="32.140625" style="65" bestFit="1" customWidth="1"/>
    <col min="2" max="2" width="21.42578125" bestFit="1" customWidth="1"/>
    <col min="3" max="3" width="25.42578125" bestFit="1" customWidth="1"/>
    <col min="4" max="4" width="18.5703125" style="52" customWidth="1"/>
    <col min="5" max="5" width="10.140625" customWidth="1"/>
    <col min="6" max="6" width="10.42578125" customWidth="1"/>
    <col min="7" max="7" width="10.5703125" customWidth="1"/>
    <col min="8" max="8" width="11.85546875" customWidth="1"/>
    <col min="9" max="9" width="11.7109375" customWidth="1"/>
    <col min="10" max="10" width="12.42578125" customWidth="1"/>
    <col min="11" max="11" width="17.140625" style="53" customWidth="1"/>
    <col min="12" max="12" width="13.5703125" customWidth="1"/>
    <col min="13" max="13" width="13.42578125" bestFit="1" customWidth="1"/>
    <col min="14" max="14" width="14" style="53" customWidth="1"/>
    <col min="15" max="16" width="14" customWidth="1"/>
    <col min="17" max="17" width="14.140625" style="53" customWidth="1"/>
    <col min="18" max="19" width="12.28515625" customWidth="1"/>
    <col min="20" max="20" width="12.42578125" style="53" customWidth="1"/>
    <col min="21" max="22" width="12.42578125" customWidth="1"/>
    <col min="23" max="23" width="17" style="53" customWidth="1"/>
    <col min="24" max="25" width="17" customWidth="1"/>
    <col min="26" max="26" width="20.7109375" style="53" customWidth="1"/>
    <col min="27" max="28" width="20.7109375" customWidth="1"/>
    <col min="29" max="29" width="14.7109375" style="74" customWidth="1"/>
    <col min="30" max="30" width="17.5703125" style="53" customWidth="1"/>
    <col min="31" max="32" width="17.5703125" customWidth="1"/>
    <col min="33" max="33" width="20.28515625" customWidth="1"/>
    <col min="34" max="34" width="14.42578125" style="53" customWidth="1"/>
    <col min="35" max="36" width="14.42578125" customWidth="1"/>
    <col min="37" max="37" width="21.28515625" customWidth="1"/>
    <col min="38" max="38" width="15.140625" style="53" customWidth="1"/>
    <col min="39" max="40" width="15.140625" customWidth="1"/>
    <col min="41" max="41" width="21.28515625" customWidth="1"/>
    <col min="42" max="42" width="19.42578125" style="53" customWidth="1"/>
    <col min="43" max="44" width="19.42578125" customWidth="1"/>
    <col min="45" max="45" width="21.28515625" customWidth="1"/>
    <col min="46" max="46" width="17" style="53" customWidth="1"/>
    <col min="47" max="48" width="17" customWidth="1"/>
    <col min="49" max="49" width="21.28515625" customWidth="1"/>
    <col min="50" max="50" width="20" style="74" customWidth="1"/>
    <col min="51" max="51" width="23.5703125" style="68" bestFit="1" customWidth="1"/>
    <col min="52" max="52" width="10" bestFit="1" customWidth="1"/>
    <col min="53" max="53" width="14.28515625" bestFit="1" customWidth="1"/>
  </cols>
  <sheetData>
    <row r="1" spans="1:130" x14ac:dyDescent="0.25">
      <c r="A1" s="173" t="s">
        <v>0</v>
      </c>
      <c r="B1" s="174"/>
      <c r="C1" s="174"/>
      <c r="D1" s="177"/>
      <c r="E1" s="174" t="s">
        <v>1</v>
      </c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3" t="s">
        <v>2</v>
      </c>
      <c r="AE1" s="174"/>
      <c r="AF1" s="174"/>
      <c r="AG1" s="174"/>
      <c r="AH1" s="174"/>
      <c r="AI1" s="174"/>
      <c r="AJ1" s="174"/>
      <c r="AK1" s="174"/>
      <c r="AL1" s="174"/>
      <c r="AM1" s="174"/>
      <c r="AN1" s="174"/>
      <c r="AO1" s="174"/>
      <c r="AP1" s="174"/>
      <c r="AQ1" s="174"/>
      <c r="AR1" s="174"/>
      <c r="AS1" s="174"/>
      <c r="AT1" s="174"/>
      <c r="AU1" s="174"/>
      <c r="AV1" s="174"/>
      <c r="AW1" s="174"/>
      <c r="AX1" s="174"/>
      <c r="AY1" s="174"/>
    </row>
    <row r="2" spans="1:130" ht="120" customHeight="1" x14ac:dyDescent="0.25">
      <c r="A2" s="65" t="s">
        <v>3</v>
      </c>
      <c r="B2" t="s">
        <v>4</v>
      </c>
      <c r="C2" t="s">
        <v>5</v>
      </c>
      <c r="D2" s="52" t="s">
        <v>6</v>
      </c>
      <c r="E2" s="1" t="s">
        <v>113</v>
      </c>
      <c r="F2" s="1" t="s">
        <v>114</v>
      </c>
      <c r="G2" s="60" t="s">
        <v>115</v>
      </c>
      <c r="H2" s="1" t="s">
        <v>116</v>
      </c>
      <c r="I2" s="1" t="s">
        <v>117</v>
      </c>
      <c r="J2" s="1" t="s">
        <v>118</v>
      </c>
      <c r="K2" s="59" t="s">
        <v>119</v>
      </c>
      <c r="L2" s="1" t="s">
        <v>120</v>
      </c>
      <c r="M2" s="1" t="s">
        <v>121</v>
      </c>
      <c r="N2" s="59" t="s">
        <v>122</v>
      </c>
      <c r="O2" s="1" t="s">
        <v>123</v>
      </c>
      <c r="P2" s="1" t="s">
        <v>124</v>
      </c>
      <c r="Q2" s="59" t="s">
        <v>125</v>
      </c>
      <c r="R2" s="1" t="s">
        <v>126</v>
      </c>
      <c r="S2" s="1" t="s">
        <v>127</v>
      </c>
      <c r="T2" s="59" t="s">
        <v>128</v>
      </c>
      <c r="U2" s="1" t="s">
        <v>129</v>
      </c>
      <c r="V2" s="1" t="s">
        <v>130</v>
      </c>
      <c r="W2" s="59" t="s">
        <v>131</v>
      </c>
      <c r="X2" s="1" t="s">
        <v>132</v>
      </c>
      <c r="Y2" s="1" t="s">
        <v>133</v>
      </c>
      <c r="Z2" s="59" t="s">
        <v>134</v>
      </c>
      <c r="AA2" s="1" t="s">
        <v>135</v>
      </c>
      <c r="AB2" s="1" t="s">
        <v>136</v>
      </c>
      <c r="AC2" s="70" t="s">
        <v>15</v>
      </c>
      <c r="AD2" s="59" t="s">
        <v>137</v>
      </c>
      <c r="AE2" s="1" t="s">
        <v>138</v>
      </c>
      <c r="AF2" s="1" t="s">
        <v>139</v>
      </c>
      <c r="AG2" s="1" t="s">
        <v>140</v>
      </c>
      <c r="AH2" s="59" t="s">
        <v>141</v>
      </c>
      <c r="AI2" s="1" t="s">
        <v>142</v>
      </c>
      <c r="AJ2" s="1" t="s">
        <v>143</v>
      </c>
      <c r="AK2" s="1" t="s">
        <v>144</v>
      </c>
      <c r="AL2" s="59" t="s">
        <v>145</v>
      </c>
      <c r="AM2" s="1" t="s">
        <v>146</v>
      </c>
      <c r="AN2" s="1" t="s">
        <v>147</v>
      </c>
      <c r="AO2" s="1" t="s">
        <v>148</v>
      </c>
      <c r="AP2" s="59" t="s">
        <v>149</v>
      </c>
      <c r="AQ2" s="1" t="s">
        <v>150</v>
      </c>
      <c r="AR2" s="1" t="s">
        <v>151</v>
      </c>
      <c r="AS2" s="1" t="s">
        <v>152</v>
      </c>
      <c r="AT2" s="59" t="s">
        <v>153</v>
      </c>
      <c r="AU2" s="1" t="s">
        <v>154</v>
      </c>
      <c r="AV2" s="1" t="s">
        <v>155</v>
      </c>
      <c r="AW2" s="1" t="s">
        <v>156</v>
      </c>
      <c r="AX2" s="70" t="s">
        <v>157</v>
      </c>
      <c r="AY2" s="93" t="s">
        <v>27</v>
      </c>
    </row>
    <row r="3" spans="1:130" s="146" customFormat="1" x14ac:dyDescent="0.25">
      <c r="A3" s="158" t="s">
        <v>168</v>
      </c>
      <c r="B3" s="147"/>
      <c r="C3" s="147"/>
      <c r="D3" s="159"/>
      <c r="E3" s="149"/>
      <c r="F3" s="147"/>
      <c r="G3" s="147"/>
      <c r="H3" s="149"/>
      <c r="I3" s="147"/>
      <c r="J3" s="147"/>
      <c r="K3" s="160"/>
      <c r="L3" s="147"/>
      <c r="M3" s="147"/>
      <c r="N3" s="160"/>
      <c r="O3" s="147"/>
      <c r="P3" s="147"/>
      <c r="Q3" s="160"/>
      <c r="R3" s="147"/>
      <c r="S3" s="147"/>
      <c r="T3" s="160"/>
      <c r="U3" s="147"/>
      <c r="V3" s="147"/>
      <c r="W3" s="160"/>
      <c r="X3" s="147"/>
      <c r="Y3" s="147"/>
      <c r="Z3" s="160"/>
      <c r="AA3" s="147"/>
      <c r="AB3" s="147"/>
      <c r="AC3" s="161"/>
      <c r="AD3" s="162"/>
      <c r="AE3" s="147"/>
      <c r="AF3" s="147"/>
      <c r="AG3" s="148"/>
      <c r="AH3" s="160"/>
      <c r="AI3" s="147"/>
      <c r="AJ3" s="147"/>
      <c r="AK3" s="148"/>
      <c r="AL3" s="160"/>
      <c r="AM3" s="147"/>
      <c r="AN3" s="147"/>
      <c r="AO3" s="148"/>
      <c r="AP3" s="160"/>
      <c r="AQ3" s="147"/>
      <c r="AR3" s="147"/>
      <c r="AS3" s="148"/>
      <c r="AT3" s="160"/>
      <c r="AU3" s="147"/>
      <c r="AV3" s="147"/>
      <c r="AW3" s="148"/>
      <c r="AX3" s="163"/>
      <c r="AY3" s="164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</row>
    <row r="4" spans="1:130" s="81" customFormat="1" x14ac:dyDescent="0.25">
      <c r="A4" s="80" t="s">
        <v>28</v>
      </c>
      <c r="D4" s="82"/>
      <c r="E4" s="83"/>
      <c r="H4" s="84"/>
      <c r="K4" s="84"/>
      <c r="N4" s="84"/>
      <c r="Q4" s="84"/>
      <c r="T4" s="84"/>
      <c r="W4" s="84"/>
      <c r="Z4" s="84"/>
      <c r="AC4" s="85"/>
      <c r="AD4" s="86"/>
      <c r="AG4" s="87"/>
      <c r="AH4" s="84"/>
      <c r="AK4" s="87"/>
      <c r="AL4" s="84"/>
      <c r="AO4" s="87"/>
      <c r="AP4" s="84"/>
      <c r="AS4" s="87"/>
      <c r="AT4" s="84"/>
      <c r="AW4" s="87"/>
      <c r="AX4" s="88"/>
      <c r="AY4" s="9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</row>
    <row r="5" spans="1:130" x14ac:dyDescent="0.25">
      <c r="A5" s="65" t="s">
        <v>29</v>
      </c>
      <c r="B5" t="s">
        <v>30</v>
      </c>
      <c r="C5" t="s">
        <v>31</v>
      </c>
      <c r="E5">
        <v>6980</v>
      </c>
      <c r="F5">
        <f>januari2025!E5</f>
        <v>6397</v>
      </c>
      <c r="G5">
        <f>Tabel24256789101112131415171618192120222326[[#This Row],[Stand Coffee einde maand]]-Tabel24256789101112131415171618192120222326[[#This Row],[Coffee vorige maand]]</f>
        <v>583</v>
      </c>
      <c r="H5" s="53">
        <v>3396</v>
      </c>
      <c r="I5">
        <f>januari2025!H5</f>
        <v>3181</v>
      </c>
      <c r="J5">
        <f>Tabel24256789101112131415171618192120222326[[#This Row],[Stand Espresso Einde maand]]-Tabel24256789101112131415171618192120222326[[#This Row],[Espresso vorige maand]]</f>
        <v>215</v>
      </c>
      <c r="K5" s="53">
        <v>2144</v>
      </c>
      <c r="L5">
        <f>januari2025!K5</f>
        <v>2089</v>
      </c>
      <c r="M5">
        <f>Tabel24256789101112131415171618192120222326[[#This Row],[Stand Latte Macchiato einde maand]]-Tabel24256789101112131415171618192120222326[[#This Row],[Latte Macchiato vorige maand]]</f>
        <v>55</v>
      </c>
      <c r="N5" s="53">
        <v>1065</v>
      </c>
      <c r="O5">
        <f>januari2025!N5</f>
        <v>1040</v>
      </c>
      <c r="P5">
        <f>Tabel24256789101112131415171618192120222326[[#This Row],[Stand Coffee Latte einde maand]]-Tabel24256789101112131415171618192120222326[[#This Row],[Coffee Latte vorige maand]]</f>
        <v>25</v>
      </c>
      <c r="Q5" s="53">
        <v>6755</v>
      </c>
      <c r="R5">
        <f>januari2025!Q5</f>
        <v>6568</v>
      </c>
      <c r="S5">
        <f>Tabel24256789101112131415171618192120222326[[#This Row],[Stand Hot Water einde maand]]-Tabel24256789101112131415171618192120222326[[#This Row],[Hot Water vorige maand]]</f>
        <v>187</v>
      </c>
      <c r="T5" s="53">
        <v>8345</v>
      </c>
      <c r="U5">
        <f>januari2025!T5</f>
        <v>8116</v>
      </c>
      <c r="V5">
        <f>Tabel24256789101112131415171618192120222326[[#This Row],[Stand Cappucino einde maand]]-Tabel24256789101112131415171618192120222326[[#This Row],[Stand Cappucino vorige maand]]</f>
        <v>229</v>
      </c>
      <c r="W5" s="53">
        <v>178</v>
      </c>
      <c r="X5">
        <f>januari2025!W5</f>
        <v>174</v>
      </c>
      <c r="Y5">
        <f>Tabel24256789101112131415171618192120222326[[#This Row],[Stand Cappucino Plantaardig einde maand]]-Tabel24256789101112131415171618192120222326[[#This Row],[Stand Cappucino Plantaardig vorige maand]]</f>
        <v>4</v>
      </c>
      <c r="Z5" s="53">
        <v>358</v>
      </c>
      <c r="AA5">
        <f>januari2025!Z5</f>
        <v>342</v>
      </c>
      <c r="AB5">
        <f>Tabel24256789101112131415171618192120222326[[#This Row],[Stand Latte Macchiato Plantaardig einde maand]]-Tabel24256789101112131415171618192120222326[[#This Row],[Stand Latte Macchiato Plantaardig vorige maand]]</f>
        <v>16</v>
      </c>
      <c r="AC5" s="71">
        <f>Tabel24256789101112131415171618192120222326[[#This Row],[Verbruik Stand Latte Macchiato Plantaardig deze maand]]+Tabel24256789101112131415171618192120222326[[#This Row],[Verbruik  Cappucino Plantaardig deze maand]]+Tabel24256789101112131415171618192120222326[[#This Row],[Verbruik Cappucino deze maand]]+Tabel24256789101112131415171618192120222326[[#This Row],[Verbruik Hot Water deze maand]]+Tabel24256789101112131415171618192120222326[[#This Row],[Verbruik Coffee Latte deze maand]]+Tabel24256789101112131415171618192120222326[[#This Row],[Verbruik Latte Macchiato deze maand]]+Tabel24256789101112131415171618192120222326[[#This Row],[Verbruik Espresso deze maand]]+Tabel24256789101112131415171618192120222326[[#This Row],[Verbruik Coffee deze maand]]</f>
        <v>1314</v>
      </c>
      <c r="AD5" s="69"/>
      <c r="AE5" s="41"/>
      <c r="AF5" s="5"/>
      <c r="AG5" s="5"/>
      <c r="AH5" s="69"/>
      <c r="AI5" s="41"/>
      <c r="AJ5" s="5"/>
      <c r="AK5" s="5"/>
      <c r="AL5" s="69"/>
      <c r="AM5" s="41"/>
      <c r="AN5" s="5"/>
      <c r="AO5" s="5"/>
      <c r="AP5" s="69"/>
      <c r="AQ5" s="41"/>
      <c r="AR5" s="5"/>
      <c r="AS5" s="5"/>
      <c r="AT5" s="69"/>
      <c r="AU5" s="41"/>
      <c r="AV5" s="5"/>
      <c r="AW5" s="7"/>
      <c r="AX5" s="78"/>
      <c r="AY5" s="95">
        <f>Tabel24256789101112131415171618192120222326[[#This Row],[Subtotaal waterbar in consumpties]]+Tabel24256789101112131415171618192120222326[[#This Row],[Subtotaal koffieautomaten]]</f>
        <v>1314</v>
      </c>
    </row>
    <row r="6" spans="1:130" x14ac:dyDescent="0.25">
      <c r="A6" s="65" t="s">
        <v>32</v>
      </c>
      <c r="B6" t="s">
        <v>33</v>
      </c>
      <c r="C6" t="s">
        <v>31</v>
      </c>
      <c r="E6">
        <v>11195</v>
      </c>
      <c r="F6">
        <f>januari2025!E6</f>
        <v>10568</v>
      </c>
      <c r="G6">
        <f>Tabel24256789101112131415171618192120222326[[#This Row],[Stand Coffee einde maand]]-Tabel24256789101112131415171618192120222326[[#This Row],[Coffee vorige maand]]</f>
        <v>627</v>
      </c>
      <c r="H6" s="53">
        <v>3271</v>
      </c>
      <c r="I6">
        <f>januari2025!H6</f>
        <v>3126</v>
      </c>
      <c r="J6">
        <f>Tabel24256789101112131415171618192120222326[[#This Row],[Stand Espresso Einde maand]]-Tabel24256789101112131415171618192120222326[[#This Row],[Espresso vorige maand]]</f>
        <v>145</v>
      </c>
      <c r="K6" s="53">
        <v>2188</v>
      </c>
      <c r="L6">
        <f>januari2025!K6</f>
        <v>2031</v>
      </c>
      <c r="M6">
        <f>Tabel24256789101112131415171618192120222326[[#This Row],[Stand Latte Macchiato einde maand]]-Tabel24256789101112131415171618192120222326[[#This Row],[Latte Macchiato vorige maand]]</f>
        <v>157</v>
      </c>
      <c r="N6" s="53">
        <v>1950</v>
      </c>
      <c r="O6">
        <f>januari2025!N6</f>
        <v>1900</v>
      </c>
      <c r="P6">
        <f>Tabel24256789101112131415171618192120222326[[#This Row],[Stand Coffee Latte einde maand]]-Tabel24256789101112131415171618192120222326[[#This Row],[Coffee Latte vorige maand]]</f>
        <v>50</v>
      </c>
      <c r="Q6" s="53">
        <v>25193</v>
      </c>
      <c r="R6">
        <f>januari2025!Q6</f>
        <v>23781</v>
      </c>
      <c r="S6">
        <f>Tabel24256789101112131415171618192120222326[[#This Row],[Stand Hot Water einde maand]]-Tabel24256789101112131415171618192120222326[[#This Row],[Hot Water vorige maand]]</f>
        <v>1412</v>
      </c>
      <c r="T6" s="53">
        <v>11112</v>
      </c>
      <c r="U6">
        <f>januari2025!T6</f>
        <v>10682</v>
      </c>
      <c r="V6">
        <f>Tabel24256789101112131415171618192120222326[[#This Row],[Stand Cappucino einde maand]]-Tabel24256789101112131415171618192120222326[[#This Row],[Stand Cappucino vorige maand]]</f>
        <v>430</v>
      </c>
      <c r="W6" s="53">
        <v>1446</v>
      </c>
      <c r="X6">
        <f>januari2025!W6</f>
        <v>1394</v>
      </c>
      <c r="Y6">
        <f>Tabel24256789101112131415171618192120222326[[#This Row],[Stand Cappucino Plantaardig einde maand]]-Tabel24256789101112131415171618192120222326[[#This Row],[Stand Cappucino Plantaardig vorige maand]]</f>
        <v>52</v>
      </c>
      <c r="Z6" s="53">
        <v>675</v>
      </c>
      <c r="AA6">
        <f>januari2025!Z6</f>
        <v>646</v>
      </c>
      <c r="AB6">
        <f>Tabel24256789101112131415171618192120222326[[#This Row],[Stand Latte Macchiato Plantaardig einde maand]]-Tabel24256789101112131415171618192120222326[[#This Row],[Stand Latte Macchiato Plantaardig vorige maand]]</f>
        <v>29</v>
      </c>
      <c r="AC6" s="71">
        <f>Tabel24256789101112131415171618192120222326[[#This Row],[Verbruik Stand Latte Macchiato Plantaardig deze maand]]+Tabel24256789101112131415171618192120222326[[#This Row],[Verbruik  Cappucino Plantaardig deze maand]]+Tabel24256789101112131415171618192120222326[[#This Row],[Verbruik Cappucino deze maand]]+Tabel24256789101112131415171618192120222326[[#This Row],[Verbruik Hot Water deze maand]]+Tabel24256789101112131415171618192120222326[[#This Row],[Verbruik Coffee Latte deze maand]]+Tabel24256789101112131415171618192120222326[[#This Row],[Verbruik Latte Macchiato deze maand]]+Tabel24256789101112131415171618192120222326[[#This Row],[Verbruik Espresso deze maand]]+Tabel24256789101112131415171618192120222326[[#This Row],[Verbruik Coffee deze maand]]</f>
        <v>2902</v>
      </c>
      <c r="AD6" s="69"/>
      <c r="AE6" s="41"/>
      <c r="AF6" s="5"/>
      <c r="AG6" s="5"/>
      <c r="AH6" s="69"/>
      <c r="AI6" s="41"/>
      <c r="AJ6" s="5"/>
      <c r="AK6" s="5"/>
      <c r="AL6" s="69"/>
      <c r="AM6" s="41"/>
      <c r="AN6" s="5"/>
      <c r="AO6" s="5"/>
      <c r="AP6" s="69"/>
      <c r="AQ6" s="41"/>
      <c r="AR6" s="5"/>
      <c r="AS6" s="5"/>
      <c r="AT6" s="69"/>
      <c r="AU6" s="41"/>
      <c r="AV6" s="5"/>
      <c r="AW6" s="7"/>
      <c r="AX6" s="78"/>
      <c r="AY6" s="95">
        <f>Tabel24256789101112131415171618192120222326[[#This Row],[Subtotaal waterbar in consumpties]]+Tabel24256789101112131415171618192120222326[[#This Row],[Subtotaal koffieautomaten]]</f>
        <v>2902</v>
      </c>
    </row>
    <row r="7" spans="1:130" x14ac:dyDescent="0.25">
      <c r="A7" s="65" t="s">
        <v>34</v>
      </c>
      <c r="B7" t="s">
        <v>35</v>
      </c>
      <c r="C7" t="s">
        <v>47</v>
      </c>
      <c r="E7">
        <v>10590</v>
      </c>
      <c r="F7">
        <f>januari2025!E7</f>
        <v>10120</v>
      </c>
      <c r="G7">
        <f>Tabel24256789101112131415171618192120222326[[#This Row],[Stand Coffee einde maand]]-Tabel24256789101112131415171618192120222326[[#This Row],[Coffee vorige maand]]</f>
        <v>470</v>
      </c>
      <c r="H7" s="53">
        <v>2721</v>
      </c>
      <c r="I7">
        <f>januari2025!H7</f>
        <v>2470</v>
      </c>
      <c r="J7">
        <f>Tabel24256789101112131415171618192120222326[[#This Row],[Stand Espresso Einde maand]]-Tabel24256789101112131415171618192120222326[[#This Row],[Espresso vorige maand]]</f>
        <v>251</v>
      </c>
      <c r="K7" s="53">
        <v>2788</v>
      </c>
      <c r="L7">
        <f>januari2025!K7</f>
        <v>2701</v>
      </c>
      <c r="M7">
        <f>Tabel24256789101112131415171618192120222326[[#This Row],[Stand Latte Macchiato einde maand]]-Tabel24256789101112131415171618192120222326[[#This Row],[Latte Macchiato vorige maand]]</f>
        <v>87</v>
      </c>
      <c r="N7" s="53">
        <v>1263</v>
      </c>
      <c r="O7">
        <f>januari2025!N7</f>
        <v>1234</v>
      </c>
      <c r="P7">
        <f>Tabel24256789101112131415171618192120222326[[#This Row],[Stand Coffee Latte einde maand]]-Tabel24256789101112131415171618192120222326[[#This Row],[Coffee Latte vorige maand]]</f>
        <v>29</v>
      </c>
      <c r="Q7" s="53">
        <v>10284</v>
      </c>
      <c r="R7">
        <f>januari2025!Q7</f>
        <v>9821</v>
      </c>
      <c r="S7">
        <f>Tabel24256789101112131415171618192120222326[[#This Row],[Stand Hot Water einde maand]]-Tabel24256789101112131415171618192120222326[[#This Row],[Hot Water vorige maand]]</f>
        <v>463</v>
      </c>
      <c r="T7" s="53">
        <v>10265</v>
      </c>
      <c r="U7">
        <f>januari2025!T7</f>
        <v>9902</v>
      </c>
      <c r="V7">
        <f>Tabel24256789101112131415171618192120222326[[#This Row],[Stand Cappucino einde maand]]-Tabel24256789101112131415171618192120222326[[#This Row],[Stand Cappucino vorige maand]]</f>
        <v>363</v>
      </c>
      <c r="W7" s="53">
        <v>924</v>
      </c>
      <c r="X7">
        <f>januari2025!W7</f>
        <v>892</v>
      </c>
      <c r="Y7">
        <f>Tabel24256789101112131415171618192120222326[[#This Row],[Stand Cappucino Plantaardig einde maand]]-Tabel24256789101112131415171618192120222326[[#This Row],[Stand Cappucino Plantaardig vorige maand]]</f>
        <v>32</v>
      </c>
      <c r="Z7" s="53">
        <v>391</v>
      </c>
      <c r="AA7">
        <f>januari2025!Z7</f>
        <v>376</v>
      </c>
      <c r="AB7">
        <f>Tabel24256789101112131415171618192120222326[[#This Row],[Stand Latte Macchiato Plantaardig einde maand]]-Tabel24256789101112131415171618192120222326[[#This Row],[Stand Latte Macchiato Plantaardig vorige maand]]</f>
        <v>15</v>
      </c>
      <c r="AC7" s="71">
        <f>Tabel24256789101112131415171618192120222326[[#This Row],[Verbruik Stand Latte Macchiato Plantaardig deze maand]]+Tabel24256789101112131415171618192120222326[[#This Row],[Verbruik  Cappucino Plantaardig deze maand]]+Tabel24256789101112131415171618192120222326[[#This Row],[Verbruik Cappucino deze maand]]+Tabel24256789101112131415171618192120222326[[#This Row],[Verbruik Hot Water deze maand]]+Tabel24256789101112131415171618192120222326[[#This Row],[Verbruik Coffee Latte deze maand]]+Tabel24256789101112131415171618192120222326[[#This Row],[Verbruik Latte Macchiato deze maand]]+Tabel24256789101112131415171618192120222326[[#This Row],[Verbruik Espresso deze maand]]+Tabel24256789101112131415171618192120222326[[#This Row],[Verbruik Coffee deze maand]]</f>
        <v>1710</v>
      </c>
      <c r="AD7" s="53">
        <v>139.19999999999999</v>
      </c>
      <c r="AE7">
        <f>januari2025!AD7</f>
        <v>86.4</v>
      </c>
      <c r="AF7">
        <f>Tabel24256789101112131415171618192120222326[[#This Row],[Stand Kamertemp liter einde maand]]-Tabel24256789101112131415171618192120222326[[#This Row],[Stand Kamertemp liter vorige maand]]</f>
        <v>52.799999999999983</v>
      </c>
      <c r="AG7" s="2">
        <f>Tabel24256789101112131415171618192120222326[[#This Row],[Verbruik Kamertemp liter deze maand]]/0.15</f>
        <v>351.99999999999989</v>
      </c>
      <c r="AH7" s="53">
        <v>306.8</v>
      </c>
      <c r="AI7">
        <f>januari2025!AH7</f>
        <v>182.1</v>
      </c>
      <c r="AJ7">
        <f>Tabel24256789101112131415171618192120222326[[#This Row],[Stand Gekoeld liter einde maand]]-Tabel24256789101112131415171618192120222326[[#This Row],[Stand Gekoeld liter vorige maand]]</f>
        <v>124.70000000000002</v>
      </c>
      <c r="AK7" s="2">
        <f>Tabel24256789101112131415171618192120222326[[#This Row],[Verbruik Gekoeld liter deze maand]]/0.15</f>
        <v>831.33333333333348</v>
      </c>
      <c r="AL7" s="53">
        <v>180.8</v>
      </c>
      <c r="AM7">
        <f>januari2025!AL7</f>
        <v>111.1</v>
      </c>
      <c r="AN7">
        <f>Tabel24256789101112131415171618192120222326[[#This Row],[Stand Bruisend liter einde maand]]-Tabel24256789101112131415171618192120222326[[#This Row],[Stand Bruisend liter vorige maand]]</f>
        <v>69.700000000000017</v>
      </c>
      <c r="AO7" s="2">
        <f>Tabel24256789101112131415171618192120222326[[#This Row],[Verbruik Bruisend liter deze maand]]/0.15</f>
        <v>464.6666666666668</v>
      </c>
      <c r="AP7" s="53">
        <v>98.7</v>
      </c>
      <c r="AQ7">
        <f>januari2025!AP7</f>
        <v>58.4</v>
      </c>
      <c r="AR7">
        <f>Tabel24256789101112131415171618192120222326[[#This Row],[Stand licht bruisend liter einde maand]]-Tabel24256789101112131415171618192120222326[[#This Row],[Stand licht bruisend liter vorige maand]]</f>
        <v>40.300000000000004</v>
      </c>
      <c r="AS7" s="2">
        <f>Tabel24256789101112131415171618192120222326[[#This Row],[Verbruik licht bruisend liter deze maand]]/0.15</f>
        <v>268.66666666666669</v>
      </c>
      <c r="AT7" s="53">
        <v>634.6</v>
      </c>
      <c r="AU7">
        <f>januari2025!AT7</f>
        <v>381.8</v>
      </c>
      <c r="AV7">
        <f>Tabel24256789101112131415171618192120222326[[#This Row],[Stand heet water liter einde maand]]-Tabel24256789101112131415171618192120222326[[#This Row],[Stand heet water liter vorige maand]]</f>
        <v>252.8</v>
      </c>
      <c r="AW7" s="2">
        <f>Tabel24256789101112131415171618192120222326[[#This Row],[Verbruik heet Water liter deze maand ]]/0.15</f>
        <v>1685.3333333333335</v>
      </c>
      <c r="AX7" s="77">
        <f>Tabel24256789101112131415171618192120222326[[#This Row],[Aantal consumpties heet water deze maand]]+Tabel24256789101112131415171618192120222326[[#This Row],[Aantal consumpties licht bruisend water deze maand]]+Tabel24256789101112131415171618192120222326[[#This Row],[aantal consumpties Bruisend water deze maand]]+Tabel24256789101112131415171618192120222326[[#This Row],[Aantal consumpties gekoeld water deze maand]]+Tabel24256789101112131415171618192120222326[[#This Row],[Aantal consumpties Kamertemp deze maand]]</f>
        <v>3602.0000000000005</v>
      </c>
      <c r="AY7" s="95">
        <f>Tabel24256789101112131415171618192120222326[[#This Row],[Subtotaal waterbar in consumpties]]+Tabel24256789101112131415171618192120222326[[#This Row],[Subtotaal koffieautomaten]]</f>
        <v>5312</v>
      </c>
    </row>
    <row r="8" spans="1:130" x14ac:dyDescent="0.25">
      <c r="A8" s="65" t="s">
        <v>37</v>
      </c>
      <c r="B8" t="s">
        <v>38</v>
      </c>
      <c r="C8" t="s">
        <v>31</v>
      </c>
      <c r="E8">
        <v>17708</v>
      </c>
      <c r="F8">
        <f>januari2025!E8</f>
        <v>17016</v>
      </c>
      <c r="G8">
        <f>Tabel24256789101112131415171618192120222326[[#This Row],[Stand Coffee einde maand]]-Tabel24256789101112131415171618192120222326[[#This Row],[Coffee vorige maand]]</f>
        <v>692</v>
      </c>
      <c r="H8" s="53">
        <v>3986</v>
      </c>
      <c r="I8">
        <f>januari2025!H8</f>
        <v>3818</v>
      </c>
      <c r="J8">
        <f>Tabel24256789101112131415171618192120222326[[#This Row],[Stand Espresso Einde maand]]-Tabel24256789101112131415171618192120222326[[#This Row],[Espresso vorige maand]]</f>
        <v>168</v>
      </c>
      <c r="K8" s="53">
        <v>2130</v>
      </c>
      <c r="L8">
        <f>januari2025!K8</f>
        <v>2059</v>
      </c>
      <c r="M8">
        <f>Tabel24256789101112131415171618192120222326[[#This Row],[Stand Latte Macchiato einde maand]]-Tabel24256789101112131415171618192120222326[[#This Row],[Latte Macchiato vorige maand]]</f>
        <v>71</v>
      </c>
      <c r="N8" s="53">
        <v>2542</v>
      </c>
      <c r="O8">
        <f>januari2025!N8</f>
        <v>2394</v>
      </c>
      <c r="P8">
        <f>Tabel24256789101112131415171618192120222326[[#This Row],[Stand Coffee Latte einde maand]]-Tabel24256789101112131415171618192120222326[[#This Row],[Coffee Latte vorige maand]]</f>
        <v>148</v>
      </c>
      <c r="Q8" s="53">
        <v>38039</v>
      </c>
      <c r="R8">
        <f>januari2025!Q8</f>
        <v>36288</v>
      </c>
      <c r="S8">
        <f>Tabel24256789101112131415171618192120222326[[#This Row],[Stand Hot Water einde maand]]-Tabel24256789101112131415171618192120222326[[#This Row],[Hot Water vorige maand]]</f>
        <v>1751</v>
      </c>
      <c r="T8" s="53">
        <v>10324</v>
      </c>
      <c r="U8">
        <f>januari2025!T8</f>
        <v>9894</v>
      </c>
      <c r="V8">
        <f>Tabel24256789101112131415171618192120222326[[#This Row],[Stand Cappucino einde maand]]-Tabel24256789101112131415171618192120222326[[#This Row],[Stand Cappucino vorige maand]]</f>
        <v>430</v>
      </c>
      <c r="W8" s="53">
        <v>777</v>
      </c>
      <c r="X8">
        <f>januari2025!W8</f>
        <v>720</v>
      </c>
      <c r="Y8">
        <f>Tabel24256789101112131415171618192120222326[[#This Row],[Stand Cappucino Plantaardig einde maand]]-Tabel24256789101112131415171618192120222326[[#This Row],[Stand Cappucino Plantaardig vorige maand]]</f>
        <v>57</v>
      </c>
      <c r="Z8" s="53">
        <v>498</v>
      </c>
      <c r="AA8">
        <f>januari2025!Z8</f>
        <v>482</v>
      </c>
      <c r="AB8">
        <f>Tabel24256789101112131415171618192120222326[[#This Row],[Stand Latte Macchiato Plantaardig einde maand]]-Tabel24256789101112131415171618192120222326[[#This Row],[Stand Latte Macchiato Plantaardig vorige maand]]</f>
        <v>16</v>
      </c>
      <c r="AC8" s="71">
        <f>Tabel24256789101112131415171618192120222326[[#This Row],[Verbruik Stand Latte Macchiato Plantaardig deze maand]]+Tabel24256789101112131415171618192120222326[[#This Row],[Verbruik  Cappucino Plantaardig deze maand]]+Tabel24256789101112131415171618192120222326[[#This Row],[Verbruik Cappucino deze maand]]+Tabel24256789101112131415171618192120222326[[#This Row],[Verbruik Hot Water deze maand]]+Tabel24256789101112131415171618192120222326[[#This Row],[Verbruik Coffee Latte deze maand]]+Tabel24256789101112131415171618192120222326[[#This Row],[Verbruik Latte Macchiato deze maand]]+Tabel24256789101112131415171618192120222326[[#This Row],[Verbruik Espresso deze maand]]+Tabel24256789101112131415171618192120222326[[#This Row],[Verbruik Coffee deze maand]]</f>
        <v>3333</v>
      </c>
      <c r="AD8" s="69"/>
      <c r="AE8" s="41"/>
      <c r="AF8" s="5"/>
      <c r="AG8" s="41"/>
      <c r="AH8" s="69"/>
      <c r="AI8" s="41"/>
      <c r="AJ8" s="41"/>
      <c r="AK8" s="41"/>
      <c r="AL8" s="75"/>
      <c r="AM8" s="41"/>
      <c r="AN8" s="41"/>
      <c r="AO8" s="5"/>
      <c r="AP8" s="69"/>
      <c r="AQ8" s="41"/>
      <c r="AR8" s="5"/>
      <c r="AS8" s="41"/>
      <c r="AT8" s="69"/>
      <c r="AU8" s="41"/>
      <c r="AV8" s="41"/>
      <c r="AW8" s="41"/>
      <c r="AX8" s="79"/>
      <c r="AY8" s="95">
        <f>Tabel24256789101112131415171618192120222326[[#This Row],[Subtotaal waterbar in consumpties]]+Tabel24256789101112131415171618192120222326[[#This Row],[Subtotaal koffieautomaten]]</f>
        <v>3333</v>
      </c>
    </row>
    <row r="9" spans="1:130" x14ac:dyDescent="0.25">
      <c r="A9" s="65" t="s">
        <v>39</v>
      </c>
      <c r="B9" t="s">
        <v>40</v>
      </c>
      <c r="C9" t="s">
        <v>31</v>
      </c>
      <c r="E9">
        <v>21918</v>
      </c>
      <c r="F9">
        <f>januari2025!E9</f>
        <v>21366</v>
      </c>
      <c r="G9">
        <f>Tabel24256789101112131415171618192120222326[[#This Row],[Stand Coffee einde maand]]-Tabel24256789101112131415171618192120222326[[#This Row],[Coffee vorige maand]]</f>
        <v>552</v>
      </c>
      <c r="H9" s="53">
        <v>3418</v>
      </c>
      <c r="I9">
        <f>januari2025!H9</f>
        <v>3300</v>
      </c>
      <c r="J9">
        <f>Tabel24256789101112131415171618192120222326[[#This Row],[Stand Espresso Einde maand]]-Tabel24256789101112131415171618192120222326[[#This Row],[Espresso vorige maand]]</f>
        <v>118</v>
      </c>
      <c r="K9" s="53">
        <v>2703</v>
      </c>
      <c r="L9">
        <f>januari2025!K9</f>
        <v>2648</v>
      </c>
      <c r="M9">
        <f>Tabel24256789101112131415171618192120222326[[#This Row],[Stand Latte Macchiato einde maand]]-Tabel24256789101112131415171618192120222326[[#This Row],[Latte Macchiato vorige maand]]</f>
        <v>55</v>
      </c>
      <c r="N9" s="53">
        <v>1843</v>
      </c>
      <c r="O9">
        <f>januari2025!N9</f>
        <v>1746</v>
      </c>
      <c r="P9">
        <f>Tabel24256789101112131415171618192120222326[[#This Row],[Stand Coffee Latte einde maand]]-Tabel24256789101112131415171618192120222326[[#This Row],[Coffee Latte vorige maand]]</f>
        <v>97</v>
      </c>
      <c r="Q9" s="53">
        <v>30647</v>
      </c>
      <c r="R9">
        <f>januari2025!Q9</f>
        <v>29339</v>
      </c>
      <c r="S9">
        <f>Tabel24256789101112131415171618192120222326[[#This Row],[Stand Hot Water einde maand]]-Tabel24256789101112131415171618192120222326[[#This Row],[Hot Water vorige maand]]</f>
        <v>1308</v>
      </c>
      <c r="T9" s="53">
        <v>17298</v>
      </c>
      <c r="U9">
        <f>januari2025!T9</f>
        <v>16675</v>
      </c>
      <c r="V9">
        <f>Tabel24256789101112131415171618192120222326[[#This Row],[Stand Cappucino einde maand]]-Tabel24256789101112131415171618192120222326[[#This Row],[Stand Cappucino vorige maand]]</f>
        <v>623</v>
      </c>
      <c r="W9" s="53">
        <v>770</v>
      </c>
      <c r="X9">
        <f>januari2025!W9</f>
        <v>764</v>
      </c>
      <c r="Y9">
        <f>Tabel24256789101112131415171618192120222326[[#This Row],[Stand Cappucino Plantaardig einde maand]]-Tabel24256789101112131415171618192120222326[[#This Row],[Stand Cappucino Plantaardig vorige maand]]</f>
        <v>6</v>
      </c>
      <c r="Z9" s="53">
        <v>210</v>
      </c>
      <c r="AA9">
        <f>januari2025!Z9</f>
        <v>206</v>
      </c>
      <c r="AB9">
        <f>Tabel24256789101112131415171618192120222326[[#This Row],[Stand Latte Macchiato Plantaardig einde maand]]-Tabel24256789101112131415171618192120222326[[#This Row],[Stand Latte Macchiato Plantaardig vorige maand]]</f>
        <v>4</v>
      </c>
      <c r="AC9" s="71">
        <f>Tabel24256789101112131415171618192120222326[[#This Row],[Verbruik Stand Latte Macchiato Plantaardig deze maand]]+Tabel24256789101112131415171618192120222326[[#This Row],[Verbruik  Cappucino Plantaardig deze maand]]+Tabel24256789101112131415171618192120222326[[#This Row],[Verbruik Cappucino deze maand]]+Tabel24256789101112131415171618192120222326[[#This Row],[Verbruik Hot Water deze maand]]+Tabel24256789101112131415171618192120222326[[#This Row],[Verbruik Coffee Latte deze maand]]+Tabel24256789101112131415171618192120222326[[#This Row],[Verbruik Latte Macchiato deze maand]]+Tabel24256789101112131415171618192120222326[[#This Row],[Verbruik Espresso deze maand]]+Tabel24256789101112131415171618192120222326[[#This Row],[Verbruik Coffee deze maand]]</f>
        <v>2763</v>
      </c>
      <c r="AD9" s="69"/>
      <c r="AE9" s="41"/>
      <c r="AF9" s="5"/>
      <c r="AG9" s="41"/>
      <c r="AH9" s="69"/>
      <c r="AI9" s="41"/>
      <c r="AJ9" s="41"/>
      <c r="AK9" s="41"/>
      <c r="AL9" s="75"/>
      <c r="AM9" s="41"/>
      <c r="AN9" s="41"/>
      <c r="AO9" s="5"/>
      <c r="AP9" s="69"/>
      <c r="AQ9" s="41"/>
      <c r="AR9" s="5"/>
      <c r="AS9" s="41"/>
      <c r="AT9" s="69"/>
      <c r="AU9" s="41"/>
      <c r="AV9" s="41"/>
      <c r="AW9" s="41"/>
      <c r="AX9" s="79"/>
      <c r="AY9" s="95">
        <f>Tabel24256789101112131415171618192120222326[[#This Row],[Subtotaal waterbar in consumpties]]+Tabel24256789101112131415171618192120222326[[#This Row],[Subtotaal koffieautomaten]]</f>
        <v>2763</v>
      </c>
    </row>
    <row r="10" spans="1:130" x14ac:dyDescent="0.25">
      <c r="A10" s="65" t="s">
        <v>41</v>
      </c>
      <c r="B10" t="s">
        <v>42</v>
      </c>
      <c r="C10" t="s">
        <v>31</v>
      </c>
      <c r="E10">
        <v>11753</v>
      </c>
      <c r="F10">
        <f>januari2025!E10</f>
        <v>11189</v>
      </c>
      <c r="G10">
        <f>Tabel24256789101112131415171618192120222326[[#This Row],[Stand Coffee einde maand]]-Tabel24256789101112131415171618192120222326[[#This Row],[Coffee vorige maand]]</f>
        <v>564</v>
      </c>
      <c r="H10" s="53">
        <v>2664</v>
      </c>
      <c r="I10">
        <f>januari2025!H10</f>
        <v>2853</v>
      </c>
      <c r="J10">
        <f>Tabel24256789101112131415171618192120222326[[#This Row],[Stand Espresso Einde maand]]-Tabel24256789101112131415171618192120222326[[#This Row],[Espresso vorige maand]]</f>
        <v>-189</v>
      </c>
      <c r="K10" s="53">
        <v>2148</v>
      </c>
      <c r="L10">
        <f>januari2025!K10</f>
        <v>2103</v>
      </c>
      <c r="M10">
        <f>Tabel24256789101112131415171618192120222326[[#This Row],[Stand Latte Macchiato einde maand]]-Tabel24256789101112131415171618192120222326[[#This Row],[Latte Macchiato vorige maand]]</f>
        <v>45</v>
      </c>
      <c r="N10" s="53">
        <v>1169</v>
      </c>
      <c r="O10">
        <f>januari2025!N10</f>
        <v>1131</v>
      </c>
      <c r="P10">
        <f>Tabel24256789101112131415171618192120222326[[#This Row],[Stand Coffee Latte einde maand]]-Tabel24256789101112131415171618192120222326[[#This Row],[Coffee Latte vorige maand]]</f>
        <v>38</v>
      </c>
      <c r="Q10" s="53">
        <v>33891</v>
      </c>
      <c r="R10">
        <f>januari2025!Q10</f>
        <v>32289</v>
      </c>
      <c r="S10">
        <f>Tabel24256789101112131415171618192120222326[[#This Row],[Stand Hot Water einde maand]]-Tabel24256789101112131415171618192120222326[[#This Row],[Hot Water vorige maand]]</f>
        <v>1602</v>
      </c>
      <c r="T10" s="53">
        <v>7725</v>
      </c>
      <c r="U10">
        <f>januari2025!T10</f>
        <v>7396</v>
      </c>
      <c r="V10">
        <f>Tabel24256789101112131415171618192120222326[[#This Row],[Stand Cappucino einde maand]]-Tabel24256789101112131415171618192120222326[[#This Row],[Stand Cappucino vorige maand]]</f>
        <v>329</v>
      </c>
      <c r="W10" s="53">
        <v>1706</v>
      </c>
      <c r="X10">
        <f>januari2025!W10</f>
        <v>1637</v>
      </c>
      <c r="Y10">
        <f>Tabel24256789101112131415171618192120222326[[#This Row],[Stand Cappucino Plantaardig einde maand]]-Tabel24256789101112131415171618192120222326[[#This Row],[Stand Cappucino Plantaardig vorige maand]]</f>
        <v>69</v>
      </c>
      <c r="Z10" s="53">
        <v>678</v>
      </c>
      <c r="AA10">
        <f>januari2025!Z10</f>
        <v>664</v>
      </c>
      <c r="AB10">
        <f>Tabel24256789101112131415171618192120222326[[#This Row],[Stand Latte Macchiato Plantaardig einde maand]]-Tabel24256789101112131415171618192120222326[[#This Row],[Stand Latte Macchiato Plantaardig vorige maand]]</f>
        <v>14</v>
      </c>
      <c r="AC10" s="71">
        <f>Tabel24256789101112131415171618192120222326[[#This Row],[Verbruik Stand Latte Macchiato Plantaardig deze maand]]+Tabel24256789101112131415171618192120222326[[#This Row],[Verbruik  Cappucino Plantaardig deze maand]]+Tabel24256789101112131415171618192120222326[[#This Row],[Verbruik Cappucino deze maand]]+Tabel24256789101112131415171618192120222326[[#This Row],[Verbruik Hot Water deze maand]]+Tabel24256789101112131415171618192120222326[[#This Row],[Verbruik Coffee Latte deze maand]]+Tabel24256789101112131415171618192120222326[[#This Row],[Verbruik Latte Macchiato deze maand]]+Tabel24256789101112131415171618192120222326[[#This Row],[Verbruik Espresso deze maand]]+Tabel24256789101112131415171618192120222326[[#This Row],[Verbruik Coffee deze maand]]</f>
        <v>2472</v>
      </c>
      <c r="AD10" s="69"/>
      <c r="AE10" s="41"/>
      <c r="AF10" s="5"/>
      <c r="AG10" s="41"/>
      <c r="AH10" s="69"/>
      <c r="AI10" s="41"/>
      <c r="AJ10" s="41"/>
      <c r="AK10" s="41"/>
      <c r="AL10" s="75"/>
      <c r="AM10" s="41"/>
      <c r="AN10" s="41"/>
      <c r="AO10" s="5"/>
      <c r="AP10" s="69"/>
      <c r="AQ10" s="41"/>
      <c r="AR10" s="5"/>
      <c r="AS10" s="41"/>
      <c r="AT10" s="69"/>
      <c r="AU10" s="41"/>
      <c r="AV10" s="41"/>
      <c r="AW10" s="41"/>
      <c r="AX10" s="79"/>
      <c r="AY10" s="95">
        <f>Tabel24256789101112131415171618192120222326[[#This Row],[Subtotaal waterbar in consumpties]]+Tabel24256789101112131415171618192120222326[[#This Row],[Subtotaal koffieautomaten]]</f>
        <v>2472</v>
      </c>
    </row>
    <row r="11" spans="1:130" x14ac:dyDescent="0.25">
      <c r="A11" s="65" t="s">
        <v>43</v>
      </c>
      <c r="B11" t="s">
        <v>44</v>
      </c>
      <c r="C11" t="s">
        <v>31</v>
      </c>
      <c r="E11">
        <v>14439</v>
      </c>
      <c r="F11">
        <f>januari2025!E11</f>
        <v>13870</v>
      </c>
      <c r="G11">
        <f>Tabel24256789101112131415171618192120222326[[#This Row],[Stand Coffee einde maand]]-Tabel24256789101112131415171618192120222326[[#This Row],[Coffee vorige maand]]</f>
        <v>569</v>
      </c>
      <c r="H11" s="53">
        <v>3129</v>
      </c>
      <c r="I11">
        <f>januari2025!H11</f>
        <v>2920</v>
      </c>
      <c r="J11">
        <f>Tabel24256789101112131415171618192120222326[[#This Row],[Stand Espresso Einde maand]]-Tabel24256789101112131415171618192120222326[[#This Row],[Espresso vorige maand]]</f>
        <v>209</v>
      </c>
      <c r="K11" s="53">
        <v>911</v>
      </c>
      <c r="L11">
        <f>januari2025!K11</f>
        <v>899</v>
      </c>
      <c r="M11">
        <f>Tabel24256789101112131415171618192120222326[[#This Row],[Stand Latte Macchiato einde maand]]-Tabel24256789101112131415171618192120222326[[#This Row],[Latte Macchiato vorige maand]]</f>
        <v>12</v>
      </c>
      <c r="N11" s="53">
        <v>1227</v>
      </c>
      <c r="O11">
        <f>januari2025!N11</f>
        <v>1176</v>
      </c>
      <c r="P11">
        <f>Tabel24256789101112131415171618192120222326[[#This Row],[Stand Coffee Latte einde maand]]-Tabel24256789101112131415171618192120222326[[#This Row],[Coffee Latte vorige maand]]</f>
        <v>51</v>
      </c>
      <c r="Q11" s="53">
        <v>24889</v>
      </c>
      <c r="R11">
        <f>januari2025!Q11</f>
        <v>23719</v>
      </c>
      <c r="S11">
        <f>Tabel24256789101112131415171618192120222326[[#This Row],[Stand Hot Water einde maand]]-Tabel24256789101112131415171618192120222326[[#This Row],[Hot Water vorige maand]]</f>
        <v>1170</v>
      </c>
      <c r="T11" s="53">
        <v>8104</v>
      </c>
      <c r="U11">
        <f>januari2025!T11</f>
        <v>7830</v>
      </c>
      <c r="V11">
        <f>Tabel24256789101112131415171618192120222326[[#This Row],[Stand Cappucino einde maand]]-Tabel24256789101112131415171618192120222326[[#This Row],[Stand Cappucino vorige maand]]</f>
        <v>274</v>
      </c>
      <c r="W11" s="53">
        <v>1532</v>
      </c>
      <c r="X11">
        <f>januari2025!W11</f>
        <v>1499</v>
      </c>
      <c r="Y11">
        <f>Tabel24256789101112131415171618192120222326[[#This Row],[Stand Cappucino Plantaardig einde maand]]-Tabel24256789101112131415171618192120222326[[#This Row],[Stand Cappucino Plantaardig vorige maand]]</f>
        <v>33</v>
      </c>
      <c r="Z11" s="53">
        <v>1305</v>
      </c>
      <c r="AA11">
        <f>januari2025!Z11</f>
        <v>1299</v>
      </c>
      <c r="AB11">
        <f>Tabel24256789101112131415171618192120222326[[#This Row],[Stand Latte Macchiato Plantaardig einde maand]]-Tabel24256789101112131415171618192120222326[[#This Row],[Stand Latte Macchiato Plantaardig vorige maand]]</f>
        <v>6</v>
      </c>
      <c r="AC11" s="71">
        <f>Tabel24256789101112131415171618192120222326[[#This Row],[Verbruik Stand Latte Macchiato Plantaardig deze maand]]+Tabel24256789101112131415171618192120222326[[#This Row],[Verbruik  Cappucino Plantaardig deze maand]]+Tabel24256789101112131415171618192120222326[[#This Row],[Verbruik Cappucino deze maand]]+Tabel24256789101112131415171618192120222326[[#This Row],[Verbruik Hot Water deze maand]]+Tabel24256789101112131415171618192120222326[[#This Row],[Verbruik Coffee Latte deze maand]]+Tabel24256789101112131415171618192120222326[[#This Row],[Verbruik Latte Macchiato deze maand]]+Tabel24256789101112131415171618192120222326[[#This Row],[Verbruik Espresso deze maand]]+Tabel24256789101112131415171618192120222326[[#This Row],[Verbruik Coffee deze maand]]</f>
        <v>2324</v>
      </c>
      <c r="AD11" s="69"/>
      <c r="AE11" s="41"/>
      <c r="AF11" s="5"/>
      <c r="AG11" s="41"/>
      <c r="AH11" s="69"/>
      <c r="AI11" s="41"/>
      <c r="AJ11" s="41"/>
      <c r="AK11" s="41"/>
      <c r="AL11" s="75"/>
      <c r="AM11" s="41"/>
      <c r="AN11" s="41"/>
      <c r="AO11" s="5"/>
      <c r="AP11" s="69"/>
      <c r="AQ11" s="41"/>
      <c r="AR11" s="5"/>
      <c r="AS11" s="41"/>
      <c r="AT11" s="69"/>
      <c r="AU11" s="41"/>
      <c r="AV11" s="41"/>
      <c r="AW11" s="41"/>
      <c r="AX11" s="79"/>
      <c r="AY11" s="95">
        <f>Tabel24256789101112131415171618192120222326[[#This Row],[Subtotaal waterbar in consumpties]]+Tabel24256789101112131415171618192120222326[[#This Row],[Subtotaal koffieautomaten]]</f>
        <v>2324</v>
      </c>
    </row>
    <row r="12" spans="1:130" x14ac:dyDescent="0.25">
      <c r="A12" s="65" t="s">
        <v>45</v>
      </c>
      <c r="B12" t="s">
        <v>46</v>
      </c>
      <c r="C12" t="s">
        <v>47</v>
      </c>
      <c r="E12">
        <v>24075</v>
      </c>
      <c r="F12">
        <f>januari2025!E12</f>
        <v>22945</v>
      </c>
      <c r="G12">
        <f>Tabel24256789101112131415171618192120222326[[#This Row],[Stand Coffee einde maand]]-Tabel24256789101112131415171618192120222326[[#This Row],[Coffee vorige maand]]</f>
        <v>1130</v>
      </c>
      <c r="H12" s="53">
        <v>2386</v>
      </c>
      <c r="I12">
        <f>januari2025!H12</f>
        <v>2266</v>
      </c>
      <c r="J12">
        <f>Tabel24256789101112131415171618192120222326[[#This Row],[Stand Espresso Einde maand]]-Tabel24256789101112131415171618192120222326[[#This Row],[Espresso vorige maand]]</f>
        <v>120</v>
      </c>
      <c r="K12" s="53">
        <v>1605</v>
      </c>
      <c r="L12">
        <f>januari2025!K12</f>
        <v>1536</v>
      </c>
      <c r="M12">
        <f>Tabel24256789101112131415171618192120222326[[#This Row],[Stand Latte Macchiato einde maand]]-Tabel24256789101112131415171618192120222326[[#This Row],[Latte Macchiato vorige maand]]</f>
        <v>69</v>
      </c>
      <c r="N12" s="53">
        <v>894</v>
      </c>
      <c r="O12">
        <f>januari2025!N12</f>
        <v>852</v>
      </c>
      <c r="P12">
        <f>Tabel24256789101112131415171618192120222326[[#This Row],[Stand Coffee Latte einde maand]]-Tabel24256789101112131415171618192120222326[[#This Row],[Coffee Latte vorige maand]]</f>
        <v>42</v>
      </c>
      <c r="Q12" s="53">
        <v>1</v>
      </c>
      <c r="R12">
        <f>januari2025!Q12</f>
        <v>1</v>
      </c>
      <c r="S12">
        <f>Tabel24256789101112131415171618192120222326[[#This Row],[Stand Hot Water einde maand]]-Tabel24256789101112131415171618192120222326[[#This Row],[Hot Water vorige maand]]</f>
        <v>0</v>
      </c>
      <c r="T12" s="53">
        <v>7741</v>
      </c>
      <c r="U12">
        <f>januari2025!T12</f>
        <v>7365</v>
      </c>
      <c r="V12">
        <f>Tabel24256789101112131415171618192120222326[[#This Row],[Stand Cappucino einde maand]]-Tabel24256789101112131415171618192120222326[[#This Row],[Stand Cappucino vorige maand]]</f>
        <v>376</v>
      </c>
      <c r="W12" s="53">
        <v>3169</v>
      </c>
      <c r="X12">
        <f>januari2025!W12</f>
        <v>3084</v>
      </c>
      <c r="Y12">
        <f>Tabel24256789101112131415171618192120222326[[#This Row],[Stand Cappucino Plantaardig einde maand]]-Tabel24256789101112131415171618192120222326[[#This Row],[Stand Cappucino Plantaardig vorige maand]]</f>
        <v>85</v>
      </c>
      <c r="Z12" s="53">
        <v>787</v>
      </c>
      <c r="AA12">
        <f>januari2025!Z12</f>
        <v>776</v>
      </c>
      <c r="AB12">
        <f>Tabel24256789101112131415171618192120222326[[#This Row],[Stand Latte Macchiato Plantaardig einde maand]]-Tabel24256789101112131415171618192120222326[[#This Row],[Stand Latte Macchiato Plantaardig vorige maand]]</f>
        <v>11</v>
      </c>
      <c r="AC12" s="71">
        <f>Tabel24256789101112131415171618192120222326[[#This Row],[Verbruik Stand Latte Macchiato Plantaardig deze maand]]+Tabel24256789101112131415171618192120222326[[#This Row],[Verbruik  Cappucino Plantaardig deze maand]]+Tabel24256789101112131415171618192120222326[[#This Row],[Verbruik Cappucino deze maand]]+Tabel24256789101112131415171618192120222326[[#This Row],[Verbruik Hot Water deze maand]]+Tabel24256789101112131415171618192120222326[[#This Row],[Verbruik Coffee Latte deze maand]]+Tabel24256789101112131415171618192120222326[[#This Row],[Verbruik Latte Macchiato deze maand]]+Tabel24256789101112131415171618192120222326[[#This Row],[Verbruik Espresso deze maand]]+Tabel24256789101112131415171618192120222326[[#This Row],[Verbruik Coffee deze maand]]</f>
        <v>1833</v>
      </c>
      <c r="AD12" s="53">
        <v>499</v>
      </c>
      <c r="AE12">
        <f>januari2025!AD12</f>
        <v>460.9</v>
      </c>
      <c r="AF12">
        <f>Tabel24256789101112131415171618192120222326[[#This Row],[Stand Kamertemp liter einde maand]]-Tabel24256789101112131415171618192120222326[[#This Row],[Stand Kamertemp liter vorige maand]]</f>
        <v>38.100000000000023</v>
      </c>
      <c r="AG12" s="2">
        <f>Tabel24256789101112131415171618192120222326[[#This Row],[Verbruik Kamertemp liter deze maand]]/0.15</f>
        <v>254.00000000000017</v>
      </c>
      <c r="AH12" s="53">
        <v>1805.4</v>
      </c>
      <c r="AI12">
        <f>januari2025!AH12</f>
        <v>1630.7</v>
      </c>
      <c r="AJ12">
        <f>Tabel24256789101112131415171618192120222326[[#This Row],[Stand Gekoeld liter einde maand]]-Tabel24256789101112131415171618192120222326[[#This Row],[Stand Gekoeld liter vorige maand]]</f>
        <v>174.70000000000005</v>
      </c>
      <c r="AK12" s="2">
        <f>Tabel24256789101112131415171618192120222326[[#This Row],[Verbruik Gekoeld liter deze maand]]/0.15</f>
        <v>1164.666666666667</v>
      </c>
      <c r="AL12" s="124">
        <v>1319.3</v>
      </c>
      <c r="AM12">
        <f>januari2025!AL12</f>
        <v>1151.3</v>
      </c>
      <c r="AN12">
        <f>Tabel24256789101112131415171618192120222326[[#This Row],[Stand Bruisend liter einde maand]]-Tabel24256789101112131415171618192120222326[[#This Row],[Stand Bruisend liter vorige maand]]</f>
        <v>168</v>
      </c>
      <c r="AO12" s="2">
        <f>Tabel24256789101112131415171618192120222326[[#This Row],[Verbruik Bruisend liter deze maand]]/0.15</f>
        <v>1120</v>
      </c>
      <c r="AP12" s="53">
        <v>485.3</v>
      </c>
      <c r="AQ12">
        <f>januari2025!AP12</f>
        <v>429.1</v>
      </c>
      <c r="AR12">
        <f>Tabel24256789101112131415171618192120222326[[#This Row],[Stand licht bruisend liter einde maand]]-Tabel24256789101112131415171618192120222326[[#This Row],[Stand licht bruisend liter vorige maand]]</f>
        <v>56.199999999999989</v>
      </c>
      <c r="AS12" s="2">
        <f>Tabel24256789101112131415171618192120222326[[#This Row],[Verbruik licht bruisend liter deze maand]]/0.15</f>
        <v>374.66666666666663</v>
      </c>
      <c r="AT12" s="53">
        <v>3531.2</v>
      </c>
      <c r="AU12">
        <f>januari2025!AT12</f>
        <v>3055.6</v>
      </c>
      <c r="AV12">
        <f>Tabel24256789101112131415171618192120222326[[#This Row],[Stand heet water liter einde maand]]-Tabel24256789101112131415171618192120222326[[#This Row],[Stand heet water liter vorige maand]]</f>
        <v>475.59999999999991</v>
      </c>
      <c r="AW12" s="2">
        <f>Tabel24256789101112131415171618192120222326[[#This Row],[Verbruik heet Water liter deze maand ]]/0.15</f>
        <v>3170.6666666666661</v>
      </c>
      <c r="AX12" s="77">
        <f>Tabel24256789101112131415171618192120222326[[#This Row],[Aantal consumpties heet water deze maand]]+Tabel24256789101112131415171618192120222326[[#This Row],[Aantal consumpties licht bruisend water deze maand]]+Tabel24256789101112131415171618192120222326[[#This Row],[aantal consumpties Bruisend water deze maand]]+Tabel24256789101112131415171618192120222326[[#This Row],[Aantal consumpties gekoeld water deze maand]]+Tabel24256789101112131415171618192120222326[[#This Row],[Aantal consumpties Kamertemp deze maand]]</f>
        <v>6083.9999999999991</v>
      </c>
      <c r="AY12" s="95">
        <f>Tabel24256789101112131415171618192120222326[[#This Row],[Subtotaal waterbar in consumpties]]+Tabel24256789101112131415171618192120222326[[#This Row],[Subtotaal koffieautomaten]]</f>
        <v>7916.9999999999991</v>
      </c>
    </row>
    <row r="13" spans="1:130" x14ac:dyDescent="0.25">
      <c r="A13" s="65" t="s">
        <v>48</v>
      </c>
      <c r="B13" t="s">
        <v>49</v>
      </c>
      <c r="C13" t="s">
        <v>31</v>
      </c>
      <c r="E13">
        <v>24083</v>
      </c>
      <c r="F13">
        <f>januari2025!E13</f>
        <v>23097</v>
      </c>
      <c r="G13">
        <f>Tabel24256789101112131415171618192120222326[[#This Row],[Stand Coffee einde maand]]-Tabel24256789101112131415171618192120222326[[#This Row],[Coffee vorige maand]]</f>
        <v>986</v>
      </c>
      <c r="H13" s="53">
        <v>6427</v>
      </c>
      <c r="I13">
        <f>januari2025!H13</f>
        <v>6087</v>
      </c>
      <c r="J13">
        <f>Tabel24256789101112131415171618192120222326[[#This Row],[Stand Espresso Einde maand]]-Tabel24256789101112131415171618192120222326[[#This Row],[Espresso vorige maand]]</f>
        <v>340</v>
      </c>
      <c r="K13" s="53">
        <v>1446</v>
      </c>
      <c r="L13">
        <f>januari2025!K13</f>
        <v>1410</v>
      </c>
      <c r="M13">
        <f>Tabel24256789101112131415171618192120222326[[#This Row],[Stand Latte Macchiato einde maand]]-Tabel24256789101112131415171618192120222326[[#This Row],[Latte Macchiato vorige maand]]</f>
        <v>36</v>
      </c>
      <c r="N13" s="53">
        <v>552</v>
      </c>
      <c r="O13">
        <f>januari2025!N13</f>
        <v>530</v>
      </c>
      <c r="P13">
        <f>Tabel24256789101112131415171618192120222326[[#This Row],[Stand Coffee Latte einde maand]]-Tabel24256789101112131415171618192120222326[[#This Row],[Coffee Latte vorige maand]]</f>
        <v>22</v>
      </c>
      <c r="Q13" s="53">
        <v>60684</v>
      </c>
      <c r="R13">
        <f>januari2025!Q13</f>
        <v>57439</v>
      </c>
      <c r="S13">
        <f>Tabel24256789101112131415171618192120222326[[#This Row],[Stand Hot Water einde maand]]-Tabel24256789101112131415171618192120222326[[#This Row],[Hot Water vorige maand]]</f>
        <v>3245</v>
      </c>
      <c r="T13" s="53">
        <v>12837</v>
      </c>
      <c r="U13">
        <f>januari2025!T13</f>
        <v>12149</v>
      </c>
      <c r="V13">
        <f>Tabel24256789101112131415171618192120222326[[#This Row],[Stand Cappucino einde maand]]-Tabel24256789101112131415171618192120222326[[#This Row],[Stand Cappucino vorige maand]]</f>
        <v>688</v>
      </c>
      <c r="W13" s="53">
        <v>2261</v>
      </c>
      <c r="X13">
        <f>januari2025!W13</f>
        <v>2197</v>
      </c>
      <c r="Y13">
        <f>Tabel24256789101112131415171618192120222326[[#This Row],[Stand Cappucino Plantaardig einde maand]]-Tabel24256789101112131415171618192120222326[[#This Row],[Stand Cappucino Plantaardig vorige maand]]</f>
        <v>64</v>
      </c>
      <c r="Z13" s="53">
        <v>732</v>
      </c>
      <c r="AA13">
        <f>januari2025!Z13</f>
        <v>684</v>
      </c>
      <c r="AB13">
        <f>Tabel24256789101112131415171618192120222326[[#This Row],[Stand Latte Macchiato Plantaardig einde maand]]-Tabel24256789101112131415171618192120222326[[#This Row],[Stand Latte Macchiato Plantaardig vorige maand]]</f>
        <v>48</v>
      </c>
      <c r="AC13" s="71">
        <f>Tabel24256789101112131415171618192120222326[[#This Row],[Verbruik Stand Latte Macchiato Plantaardig deze maand]]+Tabel24256789101112131415171618192120222326[[#This Row],[Verbruik  Cappucino Plantaardig deze maand]]+Tabel24256789101112131415171618192120222326[[#This Row],[Verbruik Cappucino deze maand]]+Tabel24256789101112131415171618192120222326[[#This Row],[Verbruik Hot Water deze maand]]+Tabel24256789101112131415171618192120222326[[#This Row],[Verbruik Coffee Latte deze maand]]+Tabel24256789101112131415171618192120222326[[#This Row],[Verbruik Latte Macchiato deze maand]]+Tabel24256789101112131415171618192120222326[[#This Row],[Verbruik Espresso deze maand]]+Tabel24256789101112131415171618192120222326[[#This Row],[Verbruik Coffee deze maand]]</f>
        <v>5429</v>
      </c>
      <c r="AD13" s="69"/>
      <c r="AE13" s="41"/>
      <c r="AF13" s="5"/>
      <c r="AG13" s="5"/>
      <c r="AH13" s="75"/>
      <c r="AI13" s="41"/>
      <c r="AJ13" s="5"/>
      <c r="AK13" s="5"/>
      <c r="AL13" s="75"/>
      <c r="AM13" s="41"/>
      <c r="AN13" s="5"/>
      <c r="AO13" s="5"/>
      <c r="AP13" s="75"/>
      <c r="AQ13" s="41"/>
      <c r="AR13" s="5"/>
      <c r="AS13" s="5"/>
      <c r="AT13" s="75"/>
      <c r="AU13" s="41"/>
      <c r="AV13" s="5"/>
      <c r="AW13" s="5"/>
      <c r="AX13" s="79"/>
      <c r="AY13" s="95">
        <f>Tabel24256789101112131415171618192120222326[[#This Row],[Subtotaal waterbar in consumpties]]+Tabel24256789101112131415171618192120222326[[#This Row],[Subtotaal koffieautomaten]]</f>
        <v>5429</v>
      </c>
    </row>
    <row r="14" spans="1:130" x14ac:dyDescent="0.25">
      <c r="A14" s="65" t="s">
        <v>50</v>
      </c>
      <c r="B14" t="s">
        <v>51</v>
      </c>
      <c r="C14" t="s">
        <v>47</v>
      </c>
      <c r="E14">
        <v>19233</v>
      </c>
      <c r="F14">
        <f>januari2025!E14</f>
        <v>18300</v>
      </c>
      <c r="G14">
        <f>Tabel24256789101112131415171618192120222326[[#This Row],[Stand Coffee einde maand]]-Tabel24256789101112131415171618192120222326[[#This Row],[Coffee vorige maand]]</f>
        <v>933</v>
      </c>
      <c r="H14" s="53">
        <v>4851</v>
      </c>
      <c r="I14">
        <f>januari2025!H14</f>
        <v>4568</v>
      </c>
      <c r="J14">
        <f>Tabel24256789101112131415171618192120222326[[#This Row],[Stand Espresso Einde maand]]-Tabel24256789101112131415171618192120222326[[#This Row],[Espresso vorige maand]]</f>
        <v>283</v>
      </c>
      <c r="K14" s="53">
        <v>2021</v>
      </c>
      <c r="L14">
        <f>januari2025!K14</f>
        <v>1899</v>
      </c>
      <c r="M14">
        <f>Tabel24256789101112131415171618192120222326[[#This Row],[Stand Latte Macchiato einde maand]]-Tabel24256789101112131415171618192120222326[[#This Row],[Latte Macchiato vorige maand]]</f>
        <v>122</v>
      </c>
      <c r="N14" s="53">
        <v>1222</v>
      </c>
      <c r="O14">
        <f>januari2025!N14</f>
        <v>1217</v>
      </c>
      <c r="P14">
        <f>Tabel24256789101112131415171618192120222326[[#This Row],[Stand Coffee Latte einde maand]]-Tabel24256789101112131415171618192120222326[[#This Row],[Coffee Latte vorige maand]]</f>
        <v>5</v>
      </c>
      <c r="Q14" s="53">
        <v>1</v>
      </c>
      <c r="R14">
        <f>januari2025!Q14</f>
        <v>1</v>
      </c>
      <c r="S14">
        <f>Tabel24256789101112131415171618192120222326[[#This Row],[Stand Hot Water einde maand]]-Tabel24256789101112131415171618192120222326[[#This Row],[Hot Water vorige maand]]</f>
        <v>0</v>
      </c>
      <c r="T14" s="53">
        <v>8943</v>
      </c>
      <c r="U14">
        <f>januari2025!T14</f>
        <v>8643</v>
      </c>
      <c r="V14">
        <f>Tabel24256789101112131415171618192120222326[[#This Row],[Stand Cappucino einde maand]]-Tabel24256789101112131415171618192120222326[[#This Row],[Stand Cappucino vorige maand]]</f>
        <v>300</v>
      </c>
      <c r="W14" s="53">
        <v>1242</v>
      </c>
      <c r="X14">
        <f>januari2025!W14</f>
        <v>1222</v>
      </c>
      <c r="Y14">
        <f>Tabel24256789101112131415171618192120222326[[#This Row],[Stand Cappucino Plantaardig einde maand]]-Tabel24256789101112131415171618192120222326[[#This Row],[Stand Cappucino Plantaardig vorige maand]]</f>
        <v>20</v>
      </c>
      <c r="Z14" s="53">
        <v>705</v>
      </c>
      <c r="AA14">
        <f>januari2025!Z14</f>
        <v>687</v>
      </c>
      <c r="AB14">
        <f>Tabel24256789101112131415171618192120222326[[#This Row],[Stand Latte Macchiato Plantaardig einde maand]]-Tabel24256789101112131415171618192120222326[[#This Row],[Stand Latte Macchiato Plantaardig vorige maand]]</f>
        <v>18</v>
      </c>
      <c r="AC14" s="71">
        <f>Tabel24256789101112131415171618192120222326[[#This Row],[Verbruik Stand Latte Macchiato Plantaardig deze maand]]+Tabel24256789101112131415171618192120222326[[#This Row],[Verbruik  Cappucino Plantaardig deze maand]]+Tabel24256789101112131415171618192120222326[[#This Row],[Verbruik Cappucino deze maand]]+Tabel24256789101112131415171618192120222326[[#This Row],[Verbruik Hot Water deze maand]]+Tabel24256789101112131415171618192120222326[[#This Row],[Verbruik Coffee Latte deze maand]]+Tabel24256789101112131415171618192120222326[[#This Row],[Verbruik Latte Macchiato deze maand]]+Tabel24256789101112131415171618192120222326[[#This Row],[Verbruik Espresso deze maand]]+Tabel24256789101112131415171618192120222326[[#This Row],[Verbruik Coffee deze maand]]</f>
        <v>1681</v>
      </c>
      <c r="AD14" s="53">
        <v>154.6</v>
      </c>
      <c r="AE14">
        <f>januari2025!AD14</f>
        <v>116.3</v>
      </c>
      <c r="AF14">
        <f>Tabel24256789101112131415171618192120222326[[#This Row],[Stand Kamertemp liter einde maand]]-Tabel24256789101112131415171618192120222326[[#This Row],[Stand Kamertemp liter vorige maand]]</f>
        <v>38.299999999999997</v>
      </c>
      <c r="AG14" s="2">
        <f>Tabel24256789101112131415171618192120222326[[#This Row],[Verbruik Kamertemp liter deze maand]]/0.15</f>
        <v>255.33333333333331</v>
      </c>
      <c r="AH14" s="53">
        <v>1323.5</v>
      </c>
      <c r="AI14">
        <f>januari2025!AH14</f>
        <v>1080.4000000000001</v>
      </c>
      <c r="AJ14">
        <f>Tabel24256789101112131415171618192120222326[[#This Row],[Stand Gekoeld liter einde maand]]-Tabel24256789101112131415171618192120222326[[#This Row],[Stand Gekoeld liter vorige maand]]</f>
        <v>243.09999999999991</v>
      </c>
      <c r="AK14" s="2">
        <f>Tabel24256789101112131415171618192120222326[[#This Row],[Verbruik Gekoeld liter deze maand]]/0.15</f>
        <v>1620.6666666666661</v>
      </c>
      <c r="AL14" s="53">
        <v>593</v>
      </c>
      <c r="AM14">
        <f>januari2025!AL14</f>
        <v>478.3</v>
      </c>
      <c r="AN14">
        <f>Tabel24256789101112131415171618192120222326[[#This Row],[Stand Bruisend liter einde maand]]-Tabel24256789101112131415171618192120222326[[#This Row],[Stand Bruisend liter vorige maand]]</f>
        <v>114.69999999999999</v>
      </c>
      <c r="AO14" s="2">
        <f>Tabel24256789101112131415171618192120222326[[#This Row],[Verbruik Bruisend liter deze maand]]/0.15</f>
        <v>764.66666666666663</v>
      </c>
      <c r="AP14" s="53">
        <v>656.6</v>
      </c>
      <c r="AQ14">
        <f>januari2025!AP14</f>
        <v>540.70000000000005</v>
      </c>
      <c r="AR14">
        <f>Tabel24256789101112131415171618192120222326[[#This Row],[Stand licht bruisend liter einde maand]]-Tabel24256789101112131415171618192120222326[[#This Row],[Stand licht bruisend liter vorige maand]]</f>
        <v>115.89999999999998</v>
      </c>
      <c r="AS14" s="2">
        <f>Tabel24256789101112131415171618192120222326[[#This Row],[Verbruik licht bruisend liter deze maand]]/0.15</f>
        <v>772.66666666666652</v>
      </c>
      <c r="AT14" s="53">
        <v>2744.5</v>
      </c>
      <c r="AU14">
        <f>januari2025!AT14</f>
        <v>2241.4</v>
      </c>
      <c r="AV14">
        <f>Tabel24256789101112131415171618192120222326[[#This Row],[Stand heet water liter einde maand]]-Tabel24256789101112131415171618192120222326[[#This Row],[Stand heet water liter vorige maand]]</f>
        <v>503.09999999999991</v>
      </c>
      <c r="AW14" s="2">
        <f>Tabel24256789101112131415171618192120222326[[#This Row],[Verbruik heet Water liter deze maand ]]/0.15</f>
        <v>3353.9999999999995</v>
      </c>
      <c r="AX14" s="77">
        <f>Tabel24256789101112131415171618192120222326[[#This Row],[Aantal consumpties heet water deze maand]]+Tabel24256789101112131415171618192120222326[[#This Row],[Aantal consumpties licht bruisend water deze maand]]+Tabel24256789101112131415171618192120222326[[#This Row],[aantal consumpties Bruisend water deze maand]]+Tabel24256789101112131415171618192120222326[[#This Row],[Aantal consumpties gekoeld water deze maand]]+Tabel24256789101112131415171618192120222326[[#This Row],[Aantal consumpties Kamertemp deze maand]]</f>
        <v>6767.3333333333321</v>
      </c>
      <c r="AY14" s="95">
        <f>Tabel24256789101112131415171618192120222326[[#This Row],[Subtotaal waterbar in consumpties]]+Tabel24256789101112131415171618192120222326[[#This Row],[Subtotaal koffieautomaten]]</f>
        <v>8448.3333333333321</v>
      </c>
    </row>
    <row r="15" spans="1:130" x14ac:dyDescent="0.25">
      <c r="A15" s="65" t="s">
        <v>52</v>
      </c>
      <c r="B15" t="s">
        <v>53</v>
      </c>
      <c r="C15" t="s">
        <v>31</v>
      </c>
      <c r="E15">
        <v>18107</v>
      </c>
      <c r="F15">
        <f>januari2025!E15</f>
        <v>17528</v>
      </c>
      <c r="G15">
        <f>Tabel24256789101112131415171618192120222326[[#This Row],[Stand Coffee einde maand]]-Tabel24256789101112131415171618192120222326[[#This Row],[Coffee vorige maand]]</f>
        <v>579</v>
      </c>
      <c r="H15" s="53">
        <v>5102</v>
      </c>
      <c r="I15">
        <f>januari2025!H15</f>
        <v>4945</v>
      </c>
      <c r="J15">
        <f>Tabel24256789101112131415171618192120222326[[#This Row],[Stand Espresso Einde maand]]-Tabel24256789101112131415171618192120222326[[#This Row],[Espresso vorige maand]]</f>
        <v>157</v>
      </c>
      <c r="K15" s="53">
        <v>1020</v>
      </c>
      <c r="L15">
        <f>januari2025!K15</f>
        <v>987</v>
      </c>
      <c r="M15">
        <f>Tabel24256789101112131415171618192120222326[[#This Row],[Stand Latte Macchiato einde maand]]-Tabel24256789101112131415171618192120222326[[#This Row],[Latte Macchiato vorige maand]]</f>
        <v>33</v>
      </c>
      <c r="N15" s="53">
        <v>1137</v>
      </c>
      <c r="O15">
        <f>januari2025!N15</f>
        <v>1085</v>
      </c>
      <c r="P15">
        <f>Tabel24256789101112131415171618192120222326[[#This Row],[Stand Coffee Latte einde maand]]-Tabel24256789101112131415171618192120222326[[#This Row],[Coffee Latte vorige maand]]</f>
        <v>52</v>
      </c>
      <c r="Q15" s="53">
        <v>30366</v>
      </c>
      <c r="R15">
        <f>januari2025!Q15</f>
        <v>28670</v>
      </c>
      <c r="S15">
        <f>Tabel24256789101112131415171618192120222326[[#This Row],[Stand Hot Water einde maand]]-Tabel24256789101112131415171618192120222326[[#This Row],[Hot Water vorige maand]]</f>
        <v>1696</v>
      </c>
      <c r="T15" s="53">
        <v>7872</v>
      </c>
      <c r="U15">
        <f>januari2025!T15</f>
        <v>7576</v>
      </c>
      <c r="V15">
        <f>Tabel24256789101112131415171618192120222326[[#This Row],[Stand Cappucino einde maand]]-Tabel24256789101112131415171618192120222326[[#This Row],[Stand Cappucino vorige maand]]</f>
        <v>296</v>
      </c>
      <c r="W15" s="53">
        <v>1751</v>
      </c>
      <c r="X15">
        <f>januari2025!W15</f>
        <v>1720</v>
      </c>
      <c r="Y15">
        <f>Tabel24256789101112131415171618192120222326[[#This Row],[Stand Cappucino Plantaardig einde maand]]-Tabel24256789101112131415171618192120222326[[#This Row],[Stand Cappucino Plantaardig vorige maand]]</f>
        <v>31</v>
      </c>
      <c r="Z15" s="53">
        <v>400</v>
      </c>
      <c r="AA15">
        <f>januari2025!Z15</f>
        <v>371</v>
      </c>
      <c r="AB15">
        <f>Tabel24256789101112131415171618192120222326[[#This Row],[Stand Latte Macchiato Plantaardig einde maand]]-Tabel24256789101112131415171618192120222326[[#This Row],[Stand Latte Macchiato Plantaardig vorige maand]]</f>
        <v>29</v>
      </c>
      <c r="AC15" s="71">
        <f>Tabel24256789101112131415171618192120222326[[#This Row],[Verbruik Stand Latte Macchiato Plantaardig deze maand]]+Tabel24256789101112131415171618192120222326[[#This Row],[Verbruik  Cappucino Plantaardig deze maand]]+Tabel24256789101112131415171618192120222326[[#This Row],[Verbruik Cappucino deze maand]]+Tabel24256789101112131415171618192120222326[[#This Row],[Verbruik Hot Water deze maand]]+Tabel24256789101112131415171618192120222326[[#This Row],[Verbruik Coffee Latte deze maand]]+Tabel24256789101112131415171618192120222326[[#This Row],[Verbruik Latte Macchiato deze maand]]+Tabel24256789101112131415171618192120222326[[#This Row],[Verbruik Espresso deze maand]]+Tabel24256789101112131415171618192120222326[[#This Row],[Verbruik Coffee deze maand]]</f>
        <v>2873</v>
      </c>
      <c r="AD15" s="69"/>
      <c r="AE15" s="41"/>
      <c r="AF15" s="5"/>
      <c r="AG15" s="5"/>
      <c r="AH15" s="75"/>
      <c r="AI15" s="41"/>
      <c r="AJ15" s="5"/>
      <c r="AK15" s="5"/>
      <c r="AL15" s="75"/>
      <c r="AM15" s="41"/>
      <c r="AN15" s="5"/>
      <c r="AO15" s="5"/>
      <c r="AP15" s="75"/>
      <c r="AQ15" s="41"/>
      <c r="AR15" s="5"/>
      <c r="AS15" s="5"/>
      <c r="AT15" s="75"/>
      <c r="AU15" s="41"/>
      <c r="AV15" s="5"/>
      <c r="AW15" s="5"/>
      <c r="AX15" s="79"/>
      <c r="AY15" s="95">
        <f>Tabel24256789101112131415171618192120222326[[#This Row],[Subtotaal waterbar in consumpties]]+Tabel24256789101112131415171618192120222326[[#This Row],[Subtotaal koffieautomaten]]</f>
        <v>2873</v>
      </c>
    </row>
    <row r="16" spans="1:130" x14ac:dyDescent="0.25">
      <c r="A16" s="65" t="s">
        <v>54</v>
      </c>
      <c r="B16" t="s">
        <v>55</v>
      </c>
      <c r="C16" t="s">
        <v>47</v>
      </c>
      <c r="E16">
        <v>1924</v>
      </c>
      <c r="F16">
        <f>januari2025!E16</f>
        <v>1659</v>
      </c>
      <c r="G16">
        <f>Tabel24256789101112131415171618192120222326[[#This Row],[Stand Coffee einde maand]]-Tabel24256789101112131415171618192120222326[[#This Row],[Coffee vorige maand]]</f>
        <v>265</v>
      </c>
      <c r="H16" s="53">
        <v>2358</v>
      </c>
      <c r="I16">
        <f>januari2025!H16</f>
        <v>2010</v>
      </c>
      <c r="J16">
        <f>Tabel24256789101112131415171618192120222326[[#This Row],[Stand Espresso Einde maand]]-Tabel24256789101112131415171618192120222326[[#This Row],[Espresso vorige maand]]</f>
        <v>348</v>
      </c>
      <c r="K16" s="53">
        <v>176</v>
      </c>
      <c r="L16">
        <f>januari2025!K16</f>
        <v>146</v>
      </c>
      <c r="M16">
        <f>Tabel24256789101112131415171618192120222326[[#This Row],[Stand Latte Macchiato einde maand]]-Tabel24256789101112131415171618192120222326[[#This Row],[Latte Macchiato vorige maand]]</f>
        <v>30</v>
      </c>
      <c r="N16" s="53">
        <v>136</v>
      </c>
      <c r="O16">
        <f>januari2025!N16</f>
        <v>127</v>
      </c>
      <c r="P16">
        <f>Tabel24256789101112131415171618192120222326[[#This Row],[Stand Coffee Latte einde maand]]-Tabel24256789101112131415171618192120222326[[#This Row],[Coffee Latte vorige maand]]</f>
        <v>9</v>
      </c>
      <c r="Q16" s="53">
        <v>534</v>
      </c>
      <c r="R16">
        <f>januari2025!Q16</f>
        <v>446</v>
      </c>
      <c r="S16">
        <f>Tabel24256789101112131415171618192120222326[[#This Row],[Stand Hot Water einde maand]]-Tabel24256789101112131415171618192120222326[[#This Row],[Hot Water vorige maand]]</f>
        <v>88</v>
      </c>
      <c r="T16" s="53">
        <v>2713</v>
      </c>
      <c r="U16">
        <f>januari2025!T16</f>
        <v>2398</v>
      </c>
      <c r="V16">
        <f>Tabel24256789101112131415171618192120222326[[#This Row],[Stand Cappucino einde maand]]-Tabel24256789101112131415171618192120222326[[#This Row],[Stand Cappucino vorige maand]]</f>
        <v>315</v>
      </c>
      <c r="W16" s="53">
        <v>229</v>
      </c>
      <c r="X16">
        <f>januari2025!W16</f>
        <v>193</v>
      </c>
      <c r="Y16">
        <f>Tabel24256789101112131415171618192120222326[[#This Row],[Stand Cappucino Plantaardig einde maand]]-Tabel24256789101112131415171618192120222326[[#This Row],[Stand Cappucino Plantaardig vorige maand]]</f>
        <v>36</v>
      </c>
      <c r="Z16" s="53">
        <v>42</v>
      </c>
      <c r="AA16">
        <f>januari2025!Z16</f>
        <v>36</v>
      </c>
      <c r="AB16">
        <f>Tabel24256789101112131415171618192120222326[[#This Row],[Stand Latte Macchiato Plantaardig einde maand]]-Tabel24256789101112131415171618192120222326[[#This Row],[Stand Latte Macchiato Plantaardig vorige maand]]</f>
        <v>6</v>
      </c>
      <c r="AC16" s="71">
        <f>Tabel24256789101112131415171618192120222326[[#This Row],[Verbruik Stand Latte Macchiato Plantaardig deze maand]]+Tabel24256789101112131415171618192120222326[[#This Row],[Verbruik  Cappucino Plantaardig deze maand]]+Tabel24256789101112131415171618192120222326[[#This Row],[Verbruik Cappucino deze maand]]+Tabel24256789101112131415171618192120222326[[#This Row],[Verbruik Hot Water deze maand]]+Tabel24256789101112131415171618192120222326[[#This Row],[Verbruik Coffee Latte deze maand]]+Tabel24256789101112131415171618192120222326[[#This Row],[Verbruik Latte Macchiato deze maand]]+Tabel24256789101112131415171618192120222326[[#This Row],[Verbruik Espresso deze maand]]+Tabel24256789101112131415171618192120222326[[#This Row],[Verbruik Coffee deze maand]]</f>
        <v>1097</v>
      </c>
      <c r="AD16" s="120">
        <v>2</v>
      </c>
      <c r="AE16" s="49"/>
      <c r="AF16" s="49">
        <f>Tabel24256789101112131415171618192120222326[[#This Row],[Stand Kamertemp liter einde maand]]-Tabel24256789101112131415171618192120222326[[#This Row],[Stand Kamertemp liter vorige maand]]</f>
        <v>2</v>
      </c>
      <c r="AG16" s="121">
        <f>Tabel24256789101112131415171618192120222326[[#This Row],[Verbruik Kamertemp liter deze maand]]/0.15</f>
        <v>13.333333333333334</v>
      </c>
      <c r="AH16" s="123">
        <v>101.3</v>
      </c>
      <c r="AI16" s="49"/>
      <c r="AJ16" s="49">
        <f>Tabel24256789101112131415171618192120222326[[#This Row],[Stand Gekoeld liter einde maand]]-Tabel24256789101112131415171618192120222326[[#This Row],[Stand Gekoeld liter vorige maand]]</f>
        <v>101.3</v>
      </c>
      <c r="AK16" s="121">
        <f>Tabel24256789101112131415171618192120222326[[#This Row],[Verbruik Gekoeld liter deze maand]]/0.15</f>
        <v>675.33333333333337</v>
      </c>
      <c r="AL16" s="123">
        <v>83.1</v>
      </c>
      <c r="AM16" s="49"/>
      <c r="AN16" s="49">
        <f>Tabel24256789101112131415171618192120222326[[#This Row],[Stand Bruisend liter einde maand]]-Tabel24256789101112131415171618192120222326[[#This Row],[Stand Bruisend liter vorige maand]]</f>
        <v>83.1</v>
      </c>
      <c r="AO16" s="121">
        <f>Tabel24256789101112131415171618192120222326[[#This Row],[Verbruik Bruisend liter deze maand]]/0.15</f>
        <v>554</v>
      </c>
      <c r="AP16" s="123">
        <v>27.4</v>
      </c>
      <c r="AQ16" s="49"/>
      <c r="AR16" s="49">
        <f>Tabel24256789101112131415171618192120222326[[#This Row],[Stand licht bruisend liter einde maand]]-Tabel24256789101112131415171618192120222326[[#This Row],[Stand licht bruisend liter vorige maand]]</f>
        <v>27.4</v>
      </c>
      <c r="AS16" s="121">
        <f>Tabel24256789101112131415171618192120222326[[#This Row],[Verbruik licht bruisend liter deze maand]]/0.15</f>
        <v>182.66666666666666</v>
      </c>
      <c r="AT16" s="123">
        <v>340.4</v>
      </c>
      <c r="AU16" s="49"/>
      <c r="AV16" s="49">
        <f>Tabel24256789101112131415171618192120222326[[#This Row],[Stand heet water liter einde maand]]-Tabel24256789101112131415171618192120222326[[#This Row],[Stand heet water liter vorige maand]]</f>
        <v>340.4</v>
      </c>
      <c r="AW16" s="121">
        <f>Tabel24256789101112131415171618192120222326[[#This Row],[Verbruik heet Water liter deze maand ]]/0.15</f>
        <v>2269.3333333333335</v>
      </c>
      <c r="AX16" s="122">
        <f>Tabel24256789101112131415171618192120222326[[#This Row],[Aantal consumpties heet water deze maand]]+Tabel24256789101112131415171618192120222326[[#This Row],[Aantal consumpties licht bruisend water deze maand]]+Tabel24256789101112131415171618192120222326[[#This Row],[aantal consumpties Bruisend water deze maand]]+Tabel24256789101112131415171618192120222326[[#This Row],[Aantal consumpties gekoeld water deze maand]]+Tabel24256789101112131415171618192120222326[[#This Row],[Aantal consumpties Kamertemp deze maand]]</f>
        <v>3694.666666666667</v>
      </c>
      <c r="AY16" s="95">
        <f>Tabel24256789101112131415171618192120222326[[#This Row],[Subtotaal waterbar in consumpties]]+Tabel24256789101112131415171618192120222326[[#This Row],[Subtotaal koffieautomaten]]</f>
        <v>4791.666666666667</v>
      </c>
    </row>
    <row r="17" spans="1:130" x14ac:dyDescent="0.25">
      <c r="A17" s="65" t="s">
        <v>56</v>
      </c>
      <c r="B17" t="s">
        <v>57</v>
      </c>
      <c r="C17" t="s">
        <v>31</v>
      </c>
      <c r="E17">
        <v>25953</v>
      </c>
      <c r="F17">
        <f>januari2025!E17</f>
        <v>24996</v>
      </c>
      <c r="G17">
        <f>Tabel24256789101112131415171618192120222326[[#This Row],[Stand Coffee einde maand]]-Tabel24256789101112131415171618192120222326[[#This Row],[Coffee vorige maand]]</f>
        <v>957</v>
      </c>
      <c r="H17" s="53">
        <v>5383</v>
      </c>
      <c r="I17">
        <f>januari2025!H17</f>
        <v>5308</v>
      </c>
      <c r="J17">
        <f>Tabel24256789101112131415171618192120222326[[#This Row],[Stand Espresso Einde maand]]-Tabel24256789101112131415171618192120222326[[#This Row],[Espresso vorige maand]]</f>
        <v>75</v>
      </c>
      <c r="K17" s="53">
        <v>763</v>
      </c>
      <c r="L17">
        <f>januari2025!K17</f>
        <v>735</v>
      </c>
      <c r="M17">
        <f>Tabel24256789101112131415171618192120222326[[#This Row],[Stand Latte Macchiato einde maand]]-Tabel24256789101112131415171618192120222326[[#This Row],[Latte Macchiato vorige maand]]</f>
        <v>28</v>
      </c>
      <c r="N17" s="53">
        <v>1582</v>
      </c>
      <c r="O17">
        <f>januari2025!N17</f>
        <v>1566</v>
      </c>
      <c r="P17">
        <f>Tabel24256789101112131415171618192120222326[[#This Row],[Stand Coffee Latte einde maand]]-Tabel24256789101112131415171618192120222326[[#This Row],[Coffee Latte vorige maand]]</f>
        <v>16</v>
      </c>
      <c r="Q17" s="53">
        <v>40024</v>
      </c>
      <c r="R17">
        <f>januari2025!Q17</f>
        <v>38238</v>
      </c>
      <c r="S17">
        <f>Tabel24256789101112131415171618192120222326[[#This Row],[Stand Hot Water einde maand]]-Tabel24256789101112131415171618192120222326[[#This Row],[Hot Water vorige maand]]</f>
        <v>1786</v>
      </c>
      <c r="T17" s="53">
        <v>10823</v>
      </c>
      <c r="U17">
        <f>januari2025!T17</f>
        <v>10583</v>
      </c>
      <c r="V17">
        <f>Tabel24256789101112131415171618192120222326[[#This Row],[Stand Cappucino einde maand]]-Tabel24256789101112131415171618192120222326[[#This Row],[Stand Cappucino vorige maand]]</f>
        <v>240</v>
      </c>
      <c r="W17" s="53">
        <v>3227</v>
      </c>
      <c r="X17">
        <f>januari2025!W17</f>
        <v>3155</v>
      </c>
      <c r="Y17">
        <f>Tabel24256789101112131415171618192120222326[[#This Row],[Stand Cappucino Plantaardig einde maand]]-Tabel24256789101112131415171618192120222326[[#This Row],[Stand Cappucino Plantaardig vorige maand]]</f>
        <v>72</v>
      </c>
      <c r="Z17" s="53">
        <v>821</v>
      </c>
      <c r="AA17">
        <f>januari2025!Z17</f>
        <v>780</v>
      </c>
      <c r="AB17">
        <f>Tabel24256789101112131415171618192120222326[[#This Row],[Stand Latte Macchiato Plantaardig einde maand]]-Tabel24256789101112131415171618192120222326[[#This Row],[Stand Latte Macchiato Plantaardig vorige maand]]</f>
        <v>41</v>
      </c>
      <c r="AC17" s="71">
        <f>Tabel24256789101112131415171618192120222326[[#This Row],[Verbruik Stand Latte Macchiato Plantaardig deze maand]]+Tabel24256789101112131415171618192120222326[[#This Row],[Verbruik  Cappucino Plantaardig deze maand]]+Tabel24256789101112131415171618192120222326[[#This Row],[Verbruik Cappucino deze maand]]+Tabel24256789101112131415171618192120222326[[#This Row],[Verbruik Hot Water deze maand]]+Tabel24256789101112131415171618192120222326[[#This Row],[Verbruik Coffee Latte deze maand]]+Tabel24256789101112131415171618192120222326[[#This Row],[Verbruik Latte Macchiato deze maand]]+Tabel24256789101112131415171618192120222326[[#This Row],[Verbruik Espresso deze maand]]+Tabel24256789101112131415171618192120222326[[#This Row],[Verbruik Coffee deze maand]]</f>
        <v>3215</v>
      </c>
      <c r="AD17" s="69"/>
      <c r="AE17" s="41"/>
      <c r="AF17" s="5"/>
      <c r="AG17" s="5"/>
      <c r="AH17" s="75"/>
      <c r="AI17" s="41"/>
      <c r="AJ17" s="5"/>
      <c r="AK17" s="5"/>
      <c r="AL17" s="75"/>
      <c r="AM17" s="41"/>
      <c r="AN17" s="5"/>
      <c r="AO17" s="5"/>
      <c r="AP17" s="75"/>
      <c r="AQ17" s="41"/>
      <c r="AR17" s="5"/>
      <c r="AS17" s="5"/>
      <c r="AT17" s="75"/>
      <c r="AU17" s="41"/>
      <c r="AV17" s="5"/>
      <c r="AW17" s="5"/>
      <c r="AX17" s="79"/>
      <c r="AY17" s="95">
        <f>Tabel24256789101112131415171618192120222326[[#This Row],[Subtotaal waterbar in consumpties]]+Tabel24256789101112131415171618192120222326[[#This Row],[Subtotaal koffieautomaten]]</f>
        <v>3215</v>
      </c>
    </row>
    <row r="18" spans="1:130" x14ac:dyDescent="0.25">
      <c r="A18" s="65" t="s">
        <v>58</v>
      </c>
      <c r="B18" t="s">
        <v>59</v>
      </c>
      <c r="C18" t="s">
        <v>47</v>
      </c>
      <c r="E18">
        <v>18380</v>
      </c>
      <c r="F18">
        <f>januari2025!E18</f>
        <v>17783</v>
      </c>
      <c r="G18">
        <f>Tabel24256789101112131415171618192120222326[[#This Row],[Stand Coffee einde maand]]-Tabel24256789101112131415171618192120222326[[#This Row],[Coffee vorige maand]]</f>
        <v>597</v>
      </c>
      <c r="H18" s="53">
        <v>4285</v>
      </c>
      <c r="I18">
        <f>januari2025!H18</f>
        <v>4053</v>
      </c>
      <c r="J18">
        <f>Tabel24256789101112131415171618192120222326[[#This Row],[Stand Espresso Einde maand]]-Tabel24256789101112131415171618192120222326[[#This Row],[Espresso vorige maand]]</f>
        <v>232</v>
      </c>
      <c r="K18" s="53">
        <v>2505</v>
      </c>
      <c r="L18">
        <f>januari2025!K18</f>
        <v>2392</v>
      </c>
      <c r="M18">
        <f>Tabel24256789101112131415171618192120222326[[#This Row],[Stand Latte Macchiato einde maand]]-Tabel24256789101112131415171618192120222326[[#This Row],[Latte Macchiato vorige maand]]</f>
        <v>113</v>
      </c>
      <c r="N18" s="53">
        <v>625</v>
      </c>
      <c r="O18">
        <f>januari2025!N18</f>
        <v>555</v>
      </c>
      <c r="P18">
        <f>Tabel24256789101112131415171618192120222326[[#This Row],[Stand Coffee Latte einde maand]]-Tabel24256789101112131415171618192120222326[[#This Row],[Coffee Latte vorige maand]]</f>
        <v>70</v>
      </c>
      <c r="Q18" s="53">
        <v>1</v>
      </c>
      <c r="R18">
        <f>januari2025!Q18</f>
        <v>1</v>
      </c>
      <c r="S18">
        <f>Tabel24256789101112131415171618192120222326[[#This Row],[Stand Hot Water einde maand]]-Tabel24256789101112131415171618192120222326[[#This Row],[Hot Water vorige maand]]</f>
        <v>0</v>
      </c>
      <c r="T18" s="53">
        <v>9947</v>
      </c>
      <c r="U18">
        <f>januari2025!T18</f>
        <v>9532</v>
      </c>
      <c r="V18">
        <f>Tabel24256789101112131415171618192120222326[[#This Row],[Stand Cappucino einde maand]]-Tabel24256789101112131415171618192120222326[[#This Row],[Stand Cappucino vorige maand]]</f>
        <v>415</v>
      </c>
      <c r="W18" s="53">
        <v>3622</v>
      </c>
      <c r="X18">
        <f>januari2025!W18</f>
        <v>3487</v>
      </c>
      <c r="Y18">
        <f>Tabel24256789101112131415171618192120222326[[#This Row],[Stand Cappucino Plantaardig einde maand]]-Tabel24256789101112131415171618192120222326[[#This Row],[Stand Cappucino Plantaardig vorige maand]]</f>
        <v>135</v>
      </c>
      <c r="Z18" s="53">
        <v>433</v>
      </c>
      <c r="AA18">
        <f>januari2025!Z18</f>
        <v>424</v>
      </c>
      <c r="AB18">
        <f>Tabel24256789101112131415171618192120222326[[#This Row],[Stand Latte Macchiato Plantaardig einde maand]]-Tabel24256789101112131415171618192120222326[[#This Row],[Stand Latte Macchiato Plantaardig vorige maand]]</f>
        <v>9</v>
      </c>
      <c r="AC18" s="71">
        <f>Tabel24256789101112131415171618192120222326[[#This Row],[Verbruik Stand Latte Macchiato Plantaardig deze maand]]+Tabel24256789101112131415171618192120222326[[#This Row],[Verbruik  Cappucino Plantaardig deze maand]]+Tabel24256789101112131415171618192120222326[[#This Row],[Verbruik Cappucino deze maand]]+Tabel24256789101112131415171618192120222326[[#This Row],[Verbruik Hot Water deze maand]]+Tabel24256789101112131415171618192120222326[[#This Row],[Verbruik Coffee Latte deze maand]]+Tabel24256789101112131415171618192120222326[[#This Row],[Verbruik Latte Macchiato deze maand]]+Tabel24256789101112131415171618192120222326[[#This Row],[Verbruik Espresso deze maand]]+Tabel24256789101112131415171618192120222326[[#This Row],[Verbruik Coffee deze maand]]</f>
        <v>1571</v>
      </c>
      <c r="AD18" s="53">
        <v>399.4</v>
      </c>
      <c r="AE18">
        <f>januari2025!AD18</f>
        <v>363.7</v>
      </c>
      <c r="AF18">
        <f>Tabel24256789101112131415171618192120222326[[#This Row],[Stand Kamertemp liter einde maand]]-Tabel24256789101112131415171618192120222326[[#This Row],[Stand Kamertemp liter vorige maand]]</f>
        <v>35.699999999999989</v>
      </c>
      <c r="AG18" s="2">
        <f>Tabel24256789101112131415171618192120222326[[#This Row],[Verbruik Kamertemp liter deze maand]]/0.15</f>
        <v>237.99999999999994</v>
      </c>
      <c r="AH18" s="53">
        <v>1546.2</v>
      </c>
      <c r="AI18">
        <f>januari2025!AH18</f>
        <v>1401.3</v>
      </c>
      <c r="AJ18">
        <f>Tabel24256789101112131415171618192120222326[[#This Row],[Stand Gekoeld liter einde maand]]-Tabel24256789101112131415171618192120222326[[#This Row],[Stand Gekoeld liter vorige maand]]</f>
        <v>144.90000000000009</v>
      </c>
      <c r="AK18" s="2">
        <f>Tabel24256789101112131415171618192120222326[[#This Row],[Verbruik Gekoeld liter deze maand]]/0.15</f>
        <v>966.00000000000068</v>
      </c>
      <c r="AL18" s="53">
        <v>1430.6</v>
      </c>
      <c r="AM18">
        <f>januari2025!AL18</f>
        <v>1310.0999999999999</v>
      </c>
      <c r="AN18">
        <f>Tabel24256789101112131415171618192120222326[[#This Row],[Stand Bruisend liter einde maand]]-Tabel24256789101112131415171618192120222326[[#This Row],[Stand Bruisend liter vorige maand]]</f>
        <v>120.5</v>
      </c>
      <c r="AO18" s="2">
        <f>Tabel24256789101112131415171618192120222326[[#This Row],[Verbruik Bruisend liter deze maand]]/0.15</f>
        <v>803.33333333333337</v>
      </c>
      <c r="AP18" s="53">
        <v>423</v>
      </c>
      <c r="AQ18">
        <f>januari2025!AP18</f>
        <v>385.8</v>
      </c>
      <c r="AR18">
        <f>Tabel24256789101112131415171618192120222326[[#This Row],[Stand licht bruisend liter einde maand]]-Tabel24256789101112131415171618192120222326[[#This Row],[Stand licht bruisend liter vorige maand]]</f>
        <v>37.199999999999989</v>
      </c>
      <c r="AS18" s="2">
        <f>Tabel24256789101112131415171618192120222326[[#This Row],[Verbruik licht bruisend liter deze maand]]/0.15</f>
        <v>247.99999999999994</v>
      </c>
      <c r="AT18" s="53">
        <v>3714</v>
      </c>
      <c r="AU18">
        <f>januari2025!AT18</f>
        <v>3299.6</v>
      </c>
      <c r="AV18">
        <f>Tabel24256789101112131415171618192120222326[[#This Row],[Stand heet water liter einde maand]]-Tabel24256789101112131415171618192120222326[[#This Row],[Stand heet water liter vorige maand]]</f>
        <v>414.40000000000009</v>
      </c>
      <c r="AW18" s="2">
        <f>Tabel24256789101112131415171618192120222326[[#This Row],[Verbruik heet Water liter deze maand ]]/0.15</f>
        <v>2762.6666666666674</v>
      </c>
      <c r="AX18" s="77">
        <f>Tabel24256789101112131415171618192120222326[[#This Row],[Aantal consumpties heet water deze maand]]+Tabel24256789101112131415171618192120222326[[#This Row],[Aantal consumpties licht bruisend water deze maand]]+Tabel24256789101112131415171618192120222326[[#This Row],[aantal consumpties Bruisend water deze maand]]+Tabel24256789101112131415171618192120222326[[#This Row],[Aantal consumpties gekoeld water deze maand]]+Tabel24256789101112131415171618192120222326[[#This Row],[Aantal consumpties Kamertemp deze maand]]</f>
        <v>5018.0000000000018</v>
      </c>
      <c r="AY18" s="95">
        <f>Tabel24256789101112131415171618192120222326[[#This Row],[Subtotaal waterbar in consumpties]]+Tabel24256789101112131415171618192120222326[[#This Row],[Subtotaal koffieautomaten]]</f>
        <v>6589.0000000000018</v>
      </c>
    </row>
    <row r="19" spans="1:130" x14ac:dyDescent="0.25">
      <c r="A19" s="65" t="s">
        <v>60</v>
      </c>
      <c r="B19" t="s">
        <v>61</v>
      </c>
      <c r="C19" t="s">
        <v>31</v>
      </c>
      <c r="E19">
        <v>19484</v>
      </c>
      <c r="F19">
        <f>januari2025!E19</f>
        <v>18787</v>
      </c>
      <c r="G19">
        <f>Tabel24256789101112131415171618192120222326[[#This Row],[Stand Coffee einde maand]]-Tabel24256789101112131415171618192120222326[[#This Row],[Coffee vorige maand]]</f>
        <v>697</v>
      </c>
      <c r="H19" s="53">
        <v>4223</v>
      </c>
      <c r="I19">
        <f>januari2025!H19</f>
        <v>3965</v>
      </c>
      <c r="J19">
        <f>Tabel24256789101112131415171618192120222326[[#This Row],[Stand Espresso Einde maand]]-Tabel24256789101112131415171618192120222326[[#This Row],[Espresso vorige maand]]</f>
        <v>258</v>
      </c>
      <c r="K19" s="53">
        <v>1438</v>
      </c>
      <c r="L19">
        <f>januari2025!K19</f>
        <v>1398</v>
      </c>
      <c r="M19">
        <f>Tabel24256789101112131415171618192120222326[[#This Row],[Stand Latte Macchiato einde maand]]-Tabel24256789101112131415171618192120222326[[#This Row],[Latte Macchiato vorige maand]]</f>
        <v>40</v>
      </c>
      <c r="N19" s="53">
        <v>878</v>
      </c>
      <c r="O19">
        <f>januari2025!N19</f>
        <v>826</v>
      </c>
      <c r="P19">
        <f>Tabel24256789101112131415171618192120222326[[#This Row],[Stand Coffee Latte einde maand]]-Tabel24256789101112131415171618192120222326[[#This Row],[Coffee Latte vorige maand]]</f>
        <v>52</v>
      </c>
      <c r="Q19" s="53">
        <v>42642</v>
      </c>
      <c r="R19">
        <f>januari2025!Q19</f>
        <v>40282</v>
      </c>
      <c r="S19">
        <f>Tabel24256789101112131415171618192120222326[[#This Row],[Stand Hot Water einde maand]]-Tabel24256789101112131415171618192120222326[[#This Row],[Hot Water vorige maand]]</f>
        <v>2360</v>
      </c>
      <c r="T19" s="53">
        <v>10836</v>
      </c>
      <c r="U19">
        <f>januari2025!T19</f>
        <v>10464</v>
      </c>
      <c r="V19">
        <f>Tabel24256789101112131415171618192120222326[[#This Row],[Stand Cappucino einde maand]]-Tabel24256789101112131415171618192120222326[[#This Row],[Stand Cappucino vorige maand]]</f>
        <v>372</v>
      </c>
      <c r="W19" s="53">
        <v>1774</v>
      </c>
      <c r="X19">
        <f>januari2025!W19</f>
        <v>1687</v>
      </c>
      <c r="Y19">
        <f>Tabel24256789101112131415171618192120222326[[#This Row],[Stand Cappucino Plantaardig einde maand]]-Tabel24256789101112131415171618192120222326[[#This Row],[Stand Cappucino Plantaardig vorige maand]]</f>
        <v>87</v>
      </c>
      <c r="Z19" s="53">
        <v>470</v>
      </c>
      <c r="AA19">
        <f>januari2025!Z19</f>
        <v>463</v>
      </c>
      <c r="AB19">
        <f>Tabel24256789101112131415171618192120222326[[#This Row],[Stand Latte Macchiato Plantaardig einde maand]]-Tabel24256789101112131415171618192120222326[[#This Row],[Stand Latte Macchiato Plantaardig vorige maand]]</f>
        <v>7</v>
      </c>
      <c r="AC19" s="71">
        <f>Tabel24256789101112131415171618192120222326[[#This Row],[Verbruik Stand Latte Macchiato Plantaardig deze maand]]+Tabel24256789101112131415171618192120222326[[#This Row],[Verbruik  Cappucino Plantaardig deze maand]]+Tabel24256789101112131415171618192120222326[[#This Row],[Verbruik Cappucino deze maand]]+Tabel24256789101112131415171618192120222326[[#This Row],[Verbruik Hot Water deze maand]]+Tabel24256789101112131415171618192120222326[[#This Row],[Verbruik Coffee Latte deze maand]]+Tabel24256789101112131415171618192120222326[[#This Row],[Verbruik Latte Macchiato deze maand]]+Tabel24256789101112131415171618192120222326[[#This Row],[Verbruik Espresso deze maand]]+Tabel24256789101112131415171618192120222326[[#This Row],[Verbruik Coffee deze maand]]</f>
        <v>3873</v>
      </c>
      <c r="AD19" s="69"/>
      <c r="AE19" s="41"/>
      <c r="AF19" s="5"/>
      <c r="AG19" s="5"/>
      <c r="AH19" s="75"/>
      <c r="AI19" s="41"/>
      <c r="AJ19" s="5"/>
      <c r="AK19" s="5"/>
      <c r="AL19" s="75"/>
      <c r="AM19" s="41"/>
      <c r="AN19" s="5"/>
      <c r="AO19" s="5"/>
      <c r="AP19" s="75"/>
      <c r="AQ19" s="41"/>
      <c r="AR19" s="5"/>
      <c r="AS19" s="5"/>
      <c r="AT19" s="75"/>
      <c r="AU19" s="41"/>
      <c r="AV19" s="5"/>
      <c r="AW19" s="5"/>
      <c r="AX19" s="79"/>
      <c r="AY19" s="95">
        <f>Tabel24256789101112131415171618192120222326[[#This Row],[Subtotaal waterbar in consumpties]]+Tabel24256789101112131415171618192120222326[[#This Row],[Subtotaal koffieautomaten]]</f>
        <v>3873</v>
      </c>
    </row>
    <row r="20" spans="1:130" x14ac:dyDescent="0.25">
      <c r="A20" s="65" t="s">
        <v>62</v>
      </c>
      <c r="B20" t="s">
        <v>63</v>
      </c>
      <c r="C20" t="s">
        <v>47</v>
      </c>
      <c r="E20">
        <v>4859</v>
      </c>
      <c r="F20">
        <f>januari2025!E20</f>
        <v>4173</v>
      </c>
      <c r="G20">
        <f>Tabel24256789101112131415171618192120222326[[#This Row],[Stand Coffee einde maand]]-Tabel24256789101112131415171618192120222326[[#This Row],[Coffee vorige maand]]</f>
        <v>686</v>
      </c>
      <c r="H20" s="53">
        <v>1087</v>
      </c>
      <c r="I20">
        <f>januari2025!H20</f>
        <v>965</v>
      </c>
      <c r="J20">
        <f>Tabel24256789101112131415171618192120222326[[#This Row],[Stand Espresso Einde maand]]-Tabel24256789101112131415171618192120222326[[#This Row],[Espresso vorige maand]]</f>
        <v>122</v>
      </c>
      <c r="K20" s="53">
        <v>215</v>
      </c>
      <c r="L20">
        <f>januari2025!K20</f>
        <v>190</v>
      </c>
      <c r="M20">
        <f>Tabel24256789101112131415171618192120222326[[#This Row],[Stand Latte Macchiato einde maand]]-Tabel24256789101112131415171618192120222326[[#This Row],[Latte Macchiato vorige maand]]</f>
        <v>25</v>
      </c>
      <c r="N20" s="53">
        <v>391</v>
      </c>
      <c r="O20">
        <f>januari2025!N20</f>
        <v>339</v>
      </c>
      <c r="P20">
        <f>Tabel24256789101112131415171618192120222326[[#This Row],[Stand Coffee Latte einde maand]]-Tabel24256789101112131415171618192120222326[[#This Row],[Coffee Latte vorige maand]]</f>
        <v>52</v>
      </c>
      <c r="Q20" s="53">
        <v>1793</v>
      </c>
      <c r="R20">
        <f>januari2025!Q20</f>
        <v>1564</v>
      </c>
      <c r="S20">
        <f>Tabel24256789101112131415171618192120222326[[#This Row],[Stand Hot Water einde maand]]-Tabel24256789101112131415171618192120222326[[#This Row],[Hot Water vorige maand]]</f>
        <v>229</v>
      </c>
      <c r="T20" s="53">
        <v>1805</v>
      </c>
      <c r="U20">
        <f>januari2025!T20</f>
        <v>1571</v>
      </c>
      <c r="V20">
        <f>Tabel24256789101112131415171618192120222326[[#This Row],[Stand Cappucino einde maand]]-Tabel24256789101112131415171618192120222326[[#This Row],[Stand Cappucino vorige maand]]</f>
        <v>234</v>
      </c>
      <c r="W20" s="53">
        <v>669</v>
      </c>
      <c r="X20">
        <f>januari2025!W20</f>
        <v>575</v>
      </c>
      <c r="Y20">
        <f>Tabel24256789101112131415171618192120222326[[#This Row],[Stand Cappucino Plantaardig einde maand]]-Tabel24256789101112131415171618192120222326[[#This Row],[Stand Cappucino Plantaardig vorige maand]]</f>
        <v>94</v>
      </c>
      <c r="Z20" s="53">
        <v>239</v>
      </c>
      <c r="AA20">
        <f>januari2025!Z20</f>
        <v>205</v>
      </c>
      <c r="AB20">
        <f>Tabel24256789101112131415171618192120222326[[#This Row],[Stand Latte Macchiato Plantaardig einde maand]]-Tabel24256789101112131415171618192120222326[[#This Row],[Stand Latte Macchiato Plantaardig vorige maand]]</f>
        <v>34</v>
      </c>
      <c r="AC20" s="71">
        <f>Tabel24256789101112131415171618192120222326[[#This Row],[Verbruik Stand Latte Macchiato Plantaardig deze maand]]+Tabel24256789101112131415171618192120222326[[#This Row],[Verbruik  Cappucino Plantaardig deze maand]]+Tabel24256789101112131415171618192120222326[[#This Row],[Verbruik Cappucino deze maand]]+Tabel24256789101112131415171618192120222326[[#This Row],[Verbruik Hot Water deze maand]]+Tabel24256789101112131415171618192120222326[[#This Row],[Verbruik Coffee Latte deze maand]]+Tabel24256789101112131415171618192120222326[[#This Row],[Verbruik Latte Macchiato deze maand]]+Tabel24256789101112131415171618192120222326[[#This Row],[Verbruik Espresso deze maand]]+Tabel24256789101112131415171618192120222326[[#This Row],[Verbruik Coffee deze maand]]</f>
        <v>1476</v>
      </c>
      <c r="AD20" s="53">
        <v>145</v>
      </c>
      <c r="AE20">
        <f>januari2025!AD20</f>
        <v>128.69999999999999</v>
      </c>
      <c r="AF20">
        <f>Tabel24256789101112131415171618192120222326[[#This Row],[Stand Kamertemp liter einde maand]]-Tabel24256789101112131415171618192120222326[[#This Row],[Stand Kamertemp liter vorige maand]]</f>
        <v>16.300000000000011</v>
      </c>
      <c r="AG20" s="2">
        <f>Tabel24256789101112131415171618192120222326[[#This Row],[Verbruik Kamertemp liter deze maand]]/0.15</f>
        <v>108.66666666666674</v>
      </c>
      <c r="AH20" s="51">
        <v>1287.9000000000001</v>
      </c>
      <c r="AI20">
        <f>januari2025!AH20</f>
        <v>1193.5999999999999</v>
      </c>
      <c r="AJ20">
        <f>Tabel24256789101112131415171618192120222326[[#This Row],[Stand Gekoeld liter einde maand]]-Tabel24256789101112131415171618192120222326[[#This Row],[Stand Gekoeld liter vorige maand]]</f>
        <v>94.300000000000182</v>
      </c>
      <c r="AK20" s="2">
        <f>Tabel24256789101112131415171618192120222326[[#This Row],[Verbruik Gekoeld liter deze maand]]/0.15</f>
        <v>628.66666666666788</v>
      </c>
      <c r="AL20" s="51">
        <v>1474.3</v>
      </c>
      <c r="AM20">
        <f>januari2025!AL20</f>
        <v>1351.7</v>
      </c>
      <c r="AN20">
        <f>Tabel24256789101112131415171618192120222326[[#This Row],[Stand Bruisend liter einde maand]]-Tabel24256789101112131415171618192120222326[[#This Row],[Stand Bruisend liter vorige maand]]</f>
        <v>122.59999999999991</v>
      </c>
      <c r="AO20" s="2">
        <f>Tabel24256789101112131415171618192120222326[[#This Row],[Verbruik Bruisend liter deze maand]]/0.15</f>
        <v>817.3333333333328</v>
      </c>
      <c r="AP20" s="51">
        <v>337.8</v>
      </c>
      <c r="AQ20">
        <f>januari2025!AP20</f>
        <v>313.8</v>
      </c>
      <c r="AR20">
        <f>Tabel24256789101112131415171618192120222326[[#This Row],[Stand licht bruisend liter einde maand]]-Tabel24256789101112131415171618192120222326[[#This Row],[Stand licht bruisend liter vorige maand]]</f>
        <v>24</v>
      </c>
      <c r="AS20" s="2">
        <f>Tabel24256789101112131415171618192120222326[[#This Row],[Verbruik licht bruisend liter deze maand]]/0.15</f>
        <v>160</v>
      </c>
      <c r="AT20" s="51">
        <v>4085.4</v>
      </c>
      <c r="AU20">
        <f>januari2025!AT20</f>
        <v>3769.1</v>
      </c>
      <c r="AV20">
        <f>Tabel24256789101112131415171618192120222326[[#This Row],[Stand heet water liter einde maand]]-Tabel24256789101112131415171618192120222326[[#This Row],[Stand heet water liter vorige maand]]</f>
        <v>316.30000000000018</v>
      </c>
      <c r="AW20" s="2">
        <f>Tabel24256789101112131415171618192120222326[[#This Row],[Verbruik heet Water liter deze maand ]]/0.15</f>
        <v>2108.6666666666679</v>
      </c>
      <c r="AX20" s="77">
        <f>Tabel24256789101112131415171618192120222326[[#This Row],[Aantal consumpties heet water deze maand]]+Tabel24256789101112131415171618192120222326[[#This Row],[Aantal consumpties licht bruisend water deze maand]]+Tabel24256789101112131415171618192120222326[[#This Row],[aantal consumpties Bruisend water deze maand]]+Tabel24256789101112131415171618192120222326[[#This Row],[Aantal consumpties gekoeld water deze maand]]+Tabel24256789101112131415171618192120222326[[#This Row],[Aantal consumpties Kamertemp deze maand]]</f>
        <v>3823.3333333333358</v>
      </c>
      <c r="AY20" s="95">
        <f>Tabel24256789101112131415171618192120222326[[#This Row],[Subtotaal waterbar in consumpties]]+Tabel24256789101112131415171618192120222326[[#This Row],[Subtotaal koffieautomaten]]</f>
        <v>5299.3333333333358</v>
      </c>
    </row>
    <row r="21" spans="1:130" x14ac:dyDescent="0.25">
      <c r="A21" s="65" t="s">
        <v>64</v>
      </c>
      <c r="B21" t="s">
        <v>65</v>
      </c>
      <c r="C21" t="s">
        <v>31</v>
      </c>
      <c r="E21">
        <v>21699</v>
      </c>
      <c r="F21">
        <f>januari2025!E21</f>
        <v>20627</v>
      </c>
      <c r="G21">
        <f>Tabel24256789101112131415171618192120222326[[#This Row],[Stand Coffee einde maand]]-Tabel24256789101112131415171618192120222326[[#This Row],[Coffee vorige maand]]</f>
        <v>1072</v>
      </c>
      <c r="H21" s="53">
        <v>5994</v>
      </c>
      <c r="I21">
        <f>januari2025!H21</f>
        <v>5657</v>
      </c>
      <c r="J21">
        <f>Tabel24256789101112131415171618192120222326[[#This Row],[Stand Espresso Einde maand]]-Tabel24256789101112131415171618192120222326[[#This Row],[Espresso vorige maand]]</f>
        <v>337</v>
      </c>
      <c r="K21" s="53">
        <v>2642</v>
      </c>
      <c r="L21">
        <f>januari2025!K21</f>
        <v>2537</v>
      </c>
      <c r="M21">
        <f>Tabel24256789101112131415171618192120222326[[#This Row],[Stand Latte Macchiato einde maand]]-Tabel24256789101112131415171618192120222326[[#This Row],[Latte Macchiato vorige maand]]</f>
        <v>105</v>
      </c>
      <c r="N21" s="53">
        <v>1118</v>
      </c>
      <c r="O21">
        <f>januari2025!N21</f>
        <v>1073</v>
      </c>
      <c r="P21">
        <f>Tabel24256789101112131415171618192120222326[[#This Row],[Stand Coffee Latte einde maand]]-Tabel24256789101112131415171618192120222326[[#This Row],[Coffee Latte vorige maand]]</f>
        <v>45</v>
      </c>
      <c r="Q21" s="53">
        <v>46831</v>
      </c>
      <c r="R21">
        <f>januari2025!Q21</f>
        <v>44134</v>
      </c>
      <c r="S21">
        <f>Tabel24256789101112131415171618192120222326[[#This Row],[Stand Hot Water einde maand]]-Tabel24256789101112131415171618192120222326[[#This Row],[Hot Water vorige maand]]</f>
        <v>2697</v>
      </c>
      <c r="T21" s="53">
        <v>14257</v>
      </c>
      <c r="U21">
        <f>januari2025!T21</f>
        <v>13689</v>
      </c>
      <c r="V21">
        <f>Tabel24256789101112131415171618192120222326[[#This Row],[Stand Cappucino einde maand]]-Tabel24256789101112131415171618192120222326[[#This Row],[Stand Cappucino vorige maand]]</f>
        <v>568</v>
      </c>
      <c r="W21" s="53">
        <v>2484</v>
      </c>
      <c r="X21">
        <f>januari2025!W21</f>
        <v>2411</v>
      </c>
      <c r="Y21">
        <f>Tabel24256789101112131415171618192120222326[[#This Row],[Stand Cappucino Plantaardig einde maand]]-Tabel24256789101112131415171618192120222326[[#This Row],[Stand Cappucino Plantaardig vorige maand]]</f>
        <v>73</v>
      </c>
      <c r="Z21" s="53">
        <v>755</v>
      </c>
      <c r="AA21">
        <f>januari2025!Z21</f>
        <v>722</v>
      </c>
      <c r="AB21">
        <f>Tabel24256789101112131415171618192120222326[[#This Row],[Stand Latte Macchiato Plantaardig einde maand]]-Tabel24256789101112131415171618192120222326[[#This Row],[Stand Latte Macchiato Plantaardig vorige maand]]</f>
        <v>33</v>
      </c>
      <c r="AC21" s="71">
        <f>Tabel24256789101112131415171618192120222326[[#This Row],[Verbruik Stand Latte Macchiato Plantaardig deze maand]]+Tabel24256789101112131415171618192120222326[[#This Row],[Verbruik  Cappucino Plantaardig deze maand]]+Tabel24256789101112131415171618192120222326[[#This Row],[Verbruik Cappucino deze maand]]+Tabel24256789101112131415171618192120222326[[#This Row],[Verbruik Hot Water deze maand]]+Tabel24256789101112131415171618192120222326[[#This Row],[Verbruik Coffee Latte deze maand]]+Tabel24256789101112131415171618192120222326[[#This Row],[Verbruik Latte Macchiato deze maand]]+Tabel24256789101112131415171618192120222326[[#This Row],[Verbruik Espresso deze maand]]+Tabel24256789101112131415171618192120222326[[#This Row],[Verbruik Coffee deze maand]]</f>
        <v>4930</v>
      </c>
      <c r="AD21" s="69"/>
      <c r="AE21" s="41"/>
      <c r="AF21" s="5"/>
      <c r="AG21" s="5"/>
      <c r="AH21" s="75"/>
      <c r="AI21" s="41"/>
      <c r="AJ21" s="5"/>
      <c r="AK21" s="5"/>
      <c r="AL21" s="75"/>
      <c r="AM21" s="41"/>
      <c r="AN21" s="5"/>
      <c r="AO21" s="5"/>
      <c r="AP21" s="75"/>
      <c r="AQ21" s="41"/>
      <c r="AR21" s="5"/>
      <c r="AS21" s="5"/>
      <c r="AT21" s="75"/>
      <c r="AU21" s="41"/>
      <c r="AV21" s="5"/>
      <c r="AW21" s="5"/>
      <c r="AX21" s="79"/>
      <c r="AY21" s="95">
        <f>Tabel24256789101112131415171618192120222326[[#This Row],[Subtotaal waterbar in consumpties]]+Tabel24256789101112131415171618192120222326[[#This Row],[Subtotaal koffieautomaten]]</f>
        <v>4930</v>
      </c>
    </row>
    <row r="22" spans="1:130" x14ac:dyDescent="0.25">
      <c r="A22" s="65" t="s">
        <v>66</v>
      </c>
      <c r="B22" t="s">
        <v>67</v>
      </c>
      <c r="C22" t="s">
        <v>31</v>
      </c>
      <c r="E22">
        <v>26284</v>
      </c>
      <c r="F22">
        <f>januari2025!E22</f>
        <v>25212</v>
      </c>
      <c r="G22">
        <f>Tabel24256789101112131415171618192120222326[[#This Row],[Stand Coffee einde maand]]-Tabel24256789101112131415171618192120222326[[#This Row],[Coffee vorige maand]]</f>
        <v>1072</v>
      </c>
      <c r="H22" s="53">
        <v>4135</v>
      </c>
      <c r="I22">
        <f>januari2025!H22</f>
        <v>3927</v>
      </c>
      <c r="J22">
        <f>Tabel24256789101112131415171618192120222326[[#This Row],[Stand Espresso Einde maand]]-Tabel24256789101112131415171618192120222326[[#This Row],[Espresso vorige maand]]</f>
        <v>208</v>
      </c>
      <c r="K22" s="53">
        <v>3255</v>
      </c>
      <c r="L22">
        <f>januari2025!K22</f>
        <v>3092</v>
      </c>
      <c r="M22">
        <f>Tabel24256789101112131415171618192120222326[[#This Row],[Stand Latte Macchiato einde maand]]-Tabel24256789101112131415171618192120222326[[#This Row],[Latte Macchiato vorige maand]]</f>
        <v>163</v>
      </c>
      <c r="N22" s="53">
        <v>792</v>
      </c>
      <c r="O22">
        <f>januari2025!N22</f>
        <v>777</v>
      </c>
      <c r="P22">
        <f>Tabel24256789101112131415171618192120222326[[#This Row],[Stand Coffee Latte einde maand]]-Tabel24256789101112131415171618192120222326[[#This Row],[Coffee Latte vorige maand]]</f>
        <v>15</v>
      </c>
      <c r="Q22" s="53">
        <v>43055</v>
      </c>
      <c r="R22">
        <f>januari2025!Q22</f>
        <v>40996</v>
      </c>
      <c r="S22">
        <f>Tabel24256789101112131415171618192120222326[[#This Row],[Stand Hot Water einde maand]]-Tabel24256789101112131415171618192120222326[[#This Row],[Hot Water vorige maand]]</f>
        <v>2059</v>
      </c>
      <c r="T22" s="53">
        <v>14416</v>
      </c>
      <c r="U22">
        <f>januari2025!T22</f>
        <v>13821</v>
      </c>
      <c r="V22">
        <f>Tabel24256789101112131415171618192120222326[[#This Row],[Stand Cappucino einde maand]]-Tabel24256789101112131415171618192120222326[[#This Row],[Stand Cappucino vorige maand]]</f>
        <v>595</v>
      </c>
      <c r="W22" s="53">
        <v>3059</v>
      </c>
      <c r="X22">
        <f>januari2025!W22</f>
        <v>2944</v>
      </c>
      <c r="Y22">
        <f>Tabel24256789101112131415171618192120222326[[#This Row],[Stand Cappucino Plantaardig einde maand]]-Tabel24256789101112131415171618192120222326[[#This Row],[Stand Cappucino Plantaardig vorige maand]]</f>
        <v>115</v>
      </c>
      <c r="Z22" s="53">
        <v>660</v>
      </c>
      <c r="AA22">
        <f>januari2025!Z22</f>
        <v>641</v>
      </c>
      <c r="AB22">
        <f>Tabel24256789101112131415171618192120222326[[#This Row],[Stand Latte Macchiato Plantaardig einde maand]]-Tabel24256789101112131415171618192120222326[[#This Row],[Stand Latte Macchiato Plantaardig vorige maand]]</f>
        <v>19</v>
      </c>
      <c r="AC22" s="71">
        <f>Tabel24256789101112131415171618192120222326[[#This Row],[Verbruik Stand Latte Macchiato Plantaardig deze maand]]+Tabel24256789101112131415171618192120222326[[#This Row],[Verbruik  Cappucino Plantaardig deze maand]]+Tabel24256789101112131415171618192120222326[[#This Row],[Verbruik Cappucino deze maand]]+Tabel24256789101112131415171618192120222326[[#This Row],[Verbruik Hot Water deze maand]]+Tabel24256789101112131415171618192120222326[[#This Row],[Verbruik Coffee Latte deze maand]]+Tabel24256789101112131415171618192120222326[[#This Row],[Verbruik Latte Macchiato deze maand]]+Tabel24256789101112131415171618192120222326[[#This Row],[Verbruik Espresso deze maand]]+Tabel24256789101112131415171618192120222326[[#This Row],[Verbruik Coffee deze maand]]</f>
        <v>4246</v>
      </c>
      <c r="AD22" s="69"/>
      <c r="AE22" s="41"/>
      <c r="AF22" s="5"/>
      <c r="AG22" s="5"/>
      <c r="AH22" s="75"/>
      <c r="AI22" s="41"/>
      <c r="AJ22" s="5"/>
      <c r="AK22" s="5"/>
      <c r="AL22" s="75"/>
      <c r="AM22" s="41"/>
      <c r="AN22" s="5"/>
      <c r="AO22" s="5"/>
      <c r="AP22" s="75"/>
      <c r="AQ22" s="41"/>
      <c r="AR22" s="5"/>
      <c r="AS22" s="5"/>
      <c r="AT22" s="75"/>
      <c r="AU22" s="41"/>
      <c r="AV22" s="5"/>
      <c r="AW22" s="5"/>
      <c r="AX22" s="79"/>
      <c r="AY22" s="95">
        <f>Tabel24256789101112131415171618192120222326[[#This Row],[Subtotaal waterbar in consumpties]]+Tabel24256789101112131415171618192120222326[[#This Row],[Subtotaal koffieautomaten]]</f>
        <v>4246</v>
      </c>
    </row>
    <row r="23" spans="1:130" x14ac:dyDescent="0.25">
      <c r="A23" s="65" t="s">
        <v>68</v>
      </c>
      <c r="B23" t="s">
        <v>69</v>
      </c>
      <c r="C23" t="s">
        <v>47</v>
      </c>
      <c r="E23">
        <v>15283</v>
      </c>
      <c r="F23">
        <f>januari2025!E23</f>
        <v>14701</v>
      </c>
      <c r="G23">
        <f>Tabel24256789101112131415171618192120222326[[#This Row],[Stand Coffee einde maand]]-Tabel24256789101112131415171618192120222326[[#This Row],[Coffee vorige maand]]</f>
        <v>582</v>
      </c>
      <c r="H23" s="53">
        <v>6380</v>
      </c>
      <c r="I23">
        <f>januari2025!H23</f>
        <v>6040</v>
      </c>
      <c r="J23">
        <f>Tabel24256789101112131415171618192120222326[[#This Row],[Stand Espresso Einde maand]]-Tabel24256789101112131415171618192120222326[[#This Row],[Espresso vorige maand]]</f>
        <v>340</v>
      </c>
      <c r="K23" s="53">
        <v>4680</v>
      </c>
      <c r="L23">
        <f>januari2025!K23</f>
        <v>4521</v>
      </c>
      <c r="M23">
        <f>Tabel24256789101112131415171618192120222326[[#This Row],[Stand Latte Macchiato einde maand]]-Tabel24256789101112131415171618192120222326[[#This Row],[Latte Macchiato vorige maand]]</f>
        <v>159</v>
      </c>
      <c r="N23" s="53">
        <v>817</v>
      </c>
      <c r="O23">
        <f>januari2025!N23</f>
        <v>795</v>
      </c>
      <c r="P23">
        <f>Tabel24256789101112131415171618192120222326[[#This Row],[Stand Coffee Latte einde maand]]-Tabel24256789101112131415171618192120222326[[#This Row],[Coffee Latte vorige maand]]</f>
        <v>22</v>
      </c>
      <c r="Q23" s="53">
        <v>1</v>
      </c>
      <c r="R23">
        <f>januari2025!Q23</f>
        <v>1</v>
      </c>
      <c r="S23">
        <f>Tabel24256789101112131415171618192120222326[[#This Row],[Stand Hot Water einde maand]]-Tabel24256789101112131415171618192120222326[[#This Row],[Hot Water vorige maand]]</f>
        <v>0</v>
      </c>
      <c r="T23" s="53">
        <v>13420</v>
      </c>
      <c r="U23">
        <f>januari2025!T23</f>
        <v>13008</v>
      </c>
      <c r="V23">
        <f>Tabel24256789101112131415171618192120222326[[#This Row],[Stand Cappucino einde maand]]-Tabel24256789101112131415171618192120222326[[#This Row],[Stand Cappucino vorige maand]]</f>
        <v>412</v>
      </c>
      <c r="W23" s="53">
        <v>2655</v>
      </c>
      <c r="X23">
        <f>januari2025!W23</f>
        <v>2555</v>
      </c>
      <c r="Y23">
        <f>Tabel24256789101112131415171618192120222326[[#This Row],[Stand Cappucino Plantaardig einde maand]]-Tabel24256789101112131415171618192120222326[[#This Row],[Stand Cappucino Plantaardig vorige maand]]</f>
        <v>100</v>
      </c>
      <c r="Z23" s="53">
        <v>661</v>
      </c>
      <c r="AA23">
        <f>januari2025!Z23</f>
        <v>627</v>
      </c>
      <c r="AB23">
        <f>Tabel24256789101112131415171618192120222326[[#This Row],[Stand Latte Macchiato Plantaardig einde maand]]-Tabel24256789101112131415171618192120222326[[#This Row],[Stand Latte Macchiato Plantaardig vorige maand]]</f>
        <v>34</v>
      </c>
      <c r="AC23" s="71">
        <f>Tabel24256789101112131415171618192120222326[[#This Row],[Verbruik Stand Latte Macchiato Plantaardig deze maand]]+Tabel24256789101112131415171618192120222326[[#This Row],[Verbruik  Cappucino Plantaardig deze maand]]+Tabel24256789101112131415171618192120222326[[#This Row],[Verbruik Cappucino deze maand]]+Tabel24256789101112131415171618192120222326[[#This Row],[Verbruik Hot Water deze maand]]+Tabel24256789101112131415171618192120222326[[#This Row],[Verbruik Coffee Latte deze maand]]+Tabel24256789101112131415171618192120222326[[#This Row],[Verbruik Latte Macchiato deze maand]]+Tabel24256789101112131415171618192120222326[[#This Row],[Verbruik Espresso deze maand]]+Tabel24256789101112131415171618192120222326[[#This Row],[Verbruik Coffee deze maand]]</f>
        <v>1649</v>
      </c>
      <c r="AD23" s="53">
        <v>62.4</v>
      </c>
      <c r="AE23">
        <f>januari2025!AD23</f>
        <v>32.1</v>
      </c>
      <c r="AF23">
        <f>Tabel24256789101112131415171618192120222326[[#This Row],[Stand Kamertemp liter einde maand]]-Tabel24256789101112131415171618192120222326[[#This Row],[Stand Kamertemp liter vorige maand]]</f>
        <v>30.299999999999997</v>
      </c>
      <c r="AG23" s="2">
        <f>Tabel24256789101112131415171618192120222326[[#This Row],[Verbruik Kamertemp liter deze maand]]/0.15</f>
        <v>202</v>
      </c>
      <c r="AH23" s="53">
        <v>512.20000000000005</v>
      </c>
      <c r="AI23">
        <f>januari2025!AH23</f>
        <v>302.8</v>
      </c>
      <c r="AJ23">
        <f>Tabel24256789101112131415171618192120222326[[#This Row],[Stand Gekoeld liter einde maand]]-Tabel24256789101112131415171618192120222326[[#This Row],[Stand Gekoeld liter vorige maand]]</f>
        <v>209.40000000000003</v>
      </c>
      <c r="AK23" s="2">
        <f>Tabel24256789101112131415171618192120222326[[#This Row],[Verbruik Gekoeld liter deze maand]]/0.15</f>
        <v>1396.0000000000002</v>
      </c>
      <c r="AL23" s="53">
        <v>222</v>
      </c>
      <c r="AM23">
        <f>januari2025!AL23</f>
        <v>137.4</v>
      </c>
      <c r="AN23">
        <f>Tabel24256789101112131415171618192120222326[[#This Row],[Stand Bruisend liter einde maand]]-Tabel24256789101112131415171618192120222326[[#This Row],[Stand Bruisend liter vorige maand]]</f>
        <v>84.6</v>
      </c>
      <c r="AO23" s="2">
        <f>Tabel24256789101112131415171618192120222326[[#This Row],[Verbruik Bruisend liter deze maand]]/0.15</f>
        <v>564</v>
      </c>
      <c r="AP23" s="53">
        <v>28.6</v>
      </c>
      <c r="AQ23">
        <f>januari2025!AP23</f>
        <v>14</v>
      </c>
      <c r="AR23">
        <f>Tabel24256789101112131415171618192120222326[[#This Row],[Stand licht bruisend liter einde maand]]-Tabel24256789101112131415171618192120222326[[#This Row],[Stand licht bruisend liter vorige maand]]</f>
        <v>14.600000000000001</v>
      </c>
      <c r="AS23" s="2">
        <f>Tabel24256789101112131415171618192120222326[[#This Row],[Verbruik licht bruisend liter deze maand]]/0.15</f>
        <v>97.333333333333343</v>
      </c>
      <c r="AT23" s="53">
        <v>1288.5999999999999</v>
      </c>
      <c r="AU23">
        <f>januari2025!AT23</f>
        <v>792.1</v>
      </c>
      <c r="AV23">
        <f>Tabel24256789101112131415171618192120222326[[#This Row],[Stand heet water liter einde maand]]-Tabel24256789101112131415171618192120222326[[#This Row],[Stand heet water liter vorige maand]]</f>
        <v>496.49999999999989</v>
      </c>
      <c r="AW23" s="2">
        <f>Tabel24256789101112131415171618192120222326[[#This Row],[Verbruik heet Water liter deze maand ]]/0.15</f>
        <v>3309.9999999999995</v>
      </c>
      <c r="AX23" s="77">
        <f>Tabel24256789101112131415171618192120222326[[#This Row],[Aantal consumpties heet water deze maand]]+Tabel24256789101112131415171618192120222326[[#This Row],[Aantal consumpties licht bruisend water deze maand]]+Tabel24256789101112131415171618192120222326[[#This Row],[aantal consumpties Bruisend water deze maand]]+Tabel24256789101112131415171618192120222326[[#This Row],[Aantal consumpties gekoeld water deze maand]]+Tabel24256789101112131415171618192120222326[[#This Row],[Aantal consumpties Kamertemp deze maand]]</f>
        <v>5569.333333333333</v>
      </c>
      <c r="AY23" s="95">
        <f>Tabel24256789101112131415171618192120222326[[#This Row],[Subtotaal waterbar in consumpties]]+Tabel24256789101112131415171618192120222326[[#This Row],[Subtotaal koffieautomaten]]</f>
        <v>7218.333333333333</v>
      </c>
    </row>
    <row r="24" spans="1:130" x14ac:dyDescent="0.25">
      <c r="A24" s="65" t="s">
        <v>70</v>
      </c>
      <c r="B24" t="s">
        <v>71</v>
      </c>
      <c r="C24" t="s">
        <v>31</v>
      </c>
      <c r="E24">
        <v>16995</v>
      </c>
      <c r="F24">
        <f>januari2025!E24</f>
        <v>16338</v>
      </c>
      <c r="G24">
        <f>Tabel24256789101112131415171618192120222326[[#This Row],[Stand Coffee einde maand]]-Tabel24256789101112131415171618192120222326[[#This Row],[Coffee vorige maand]]</f>
        <v>657</v>
      </c>
      <c r="H24" s="53">
        <v>2583</v>
      </c>
      <c r="I24">
        <f>januari2025!H24</f>
        <v>2423</v>
      </c>
      <c r="J24">
        <f>Tabel24256789101112131415171618192120222326[[#This Row],[Stand Espresso Einde maand]]-Tabel24256789101112131415171618192120222326[[#This Row],[Espresso vorige maand]]</f>
        <v>160</v>
      </c>
      <c r="K24" s="53">
        <v>1273</v>
      </c>
      <c r="L24">
        <f>januari2025!K24</f>
        <v>1238</v>
      </c>
      <c r="M24">
        <f>Tabel24256789101112131415171618192120222326[[#This Row],[Stand Latte Macchiato einde maand]]-Tabel24256789101112131415171618192120222326[[#This Row],[Latte Macchiato vorige maand]]</f>
        <v>35</v>
      </c>
      <c r="N24" s="53">
        <v>2011</v>
      </c>
      <c r="O24">
        <f>januari2025!N24</f>
        <v>1878</v>
      </c>
      <c r="P24">
        <f>Tabel24256789101112131415171618192120222326[[#This Row],[Stand Coffee Latte einde maand]]-Tabel24256789101112131415171618192120222326[[#This Row],[Coffee Latte vorige maand]]</f>
        <v>133</v>
      </c>
      <c r="Q24" s="53">
        <v>31948</v>
      </c>
      <c r="R24">
        <f>januari2025!Q24</f>
        <v>29989</v>
      </c>
      <c r="S24">
        <f>Tabel24256789101112131415171618192120222326[[#This Row],[Stand Hot Water einde maand]]-Tabel24256789101112131415171618192120222326[[#This Row],[Hot Water vorige maand]]</f>
        <v>1959</v>
      </c>
      <c r="T24" s="53">
        <v>6482</v>
      </c>
      <c r="U24">
        <f>januari2025!T24</f>
        <v>6238</v>
      </c>
      <c r="V24">
        <f>Tabel24256789101112131415171618192120222326[[#This Row],[Stand Cappucino einde maand]]-Tabel24256789101112131415171618192120222326[[#This Row],[Stand Cappucino vorige maand]]</f>
        <v>244</v>
      </c>
      <c r="W24" s="53">
        <v>1169</v>
      </c>
      <c r="X24">
        <f>januari2025!W24</f>
        <v>1137</v>
      </c>
      <c r="Y24">
        <f>Tabel24256789101112131415171618192120222326[[#This Row],[Stand Cappucino Plantaardig einde maand]]-Tabel24256789101112131415171618192120222326[[#This Row],[Stand Cappucino Plantaardig vorige maand]]</f>
        <v>32</v>
      </c>
      <c r="Z24" s="53">
        <v>2052</v>
      </c>
      <c r="AA24">
        <f>januari2025!Z24</f>
        <v>1970</v>
      </c>
      <c r="AB24">
        <f>Tabel24256789101112131415171618192120222326[[#This Row],[Stand Latte Macchiato Plantaardig einde maand]]-Tabel24256789101112131415171618192120222326[[#This Row],[Stand Latte Macchiato Plantaardig vorige maand]]</f>
        <v>82</v>
      </c>
      <c r="AC24" s="71">
        <f>Tabel24256789101112131415171618192120222326[[#This Row],[Verbruik Stand Latte Macchiato Plantaardig deze maand]]+Tabel24256789101112131415171618192120222326[[#This Row],[Verbruik  Cappucino Plantaardig deze maand]]+Tabel24256789101112131415171618192120222326[[#This Row],[Verbruik Cappucino deze maand]]+Tabel24256789101112131415171618192120222326[[#This Row],[Verbruik Hot Water deze maand]]+Tabel24256789101112131415171618192120222326[[#This Row],[Verbruik Coffee Latte deze maand]]+Tabel24256789101112131415171618192120222326[[#This Row],[Verbruik Latte Macchiato deze maand]]+Tabel24256789101112131415171618192120222326[[#This Row],[Verbruik Espresso deze maand]]+Tabel24256789101112131415171618192120222326[[#This Row],[Verbruik Coffee deze maand]]</f>
        <v>3302</v>
      </c>
      <c r="AD24" s="69"/>
      <c r="AE24" s="41"/>
      <c r="AF24" s="5"/>
      <c r="AG24" s="5"/>
      <c r="AH24" s="75"/>
      <c r="AI24" s="41"/>
      <c r="AJ24" s="5"/>
      <c r="AK24" s="5"/>
      <c r="AL24" s="75"/>
      <c r="AM24" s="41"/>
      <c r="AN24" s="5"/>
      <c r="AO24" s="5"/>
      <c r="AP24" s="75"/>
      <c r="AQ24" s="41"/>
      <c r="AR24" s="5"/>
      <c r="AS24" s="5"/>
      <c r="AT24" s="75"/>
      <c r="AU24" s="41"/>
      <c r="AV24" s="5"/>
      <c r="AW24" s="5"/>
      <c r="AX24" s="79"/>
      <c r="AY24" s="95">
        <f>Tabel24256789101112131415171618192120222326[[#This Row],[Subtotaal waterbar in consumpties]]+Tabel24256789101112131415171618192120222326[[#This Row],[Subtotaal koffieautomaten]]</f>
        <v>3302</v>
      </c>
    </row>
    <row r="25" spans="1:130" x14ac:dyDescent="0.25">
      <c r="A25" s="65" t="s">
        <v>72</v>
      </c>
      <c r="B25" t="s">
        <v>73</v>
      </c>
      <c r="C25" t="s">
        <v>47</v>
      </c>
      <c r="E25">
        <v>12762</v>
      </c>
      <c r="F25">
        <f>januari2025!E25</f>
        <v>12280</v>
      </c>
      <c r="G25">
        <f>Tabel24256789101112131415171618192120222326[[#This Row],[Stand Coffee einde maand]]-Tabel24256789101112131415171618192120222326[[#This Row],[Coffee vorige maand]]</f>
        <v>482</v>
      </c>
      <c r="H25" s="53">
        <v>4030</v>
      </c>
      <c r="I25">
        <f>januari2025!H25</f>
        <v>3880</v>
      </c>
      <c r="J25">
        <f>Tabel24256789101112131415171618192120222326[[#This Row],[Stand Espresso Einde maand]]-Tabel24256789101112131415171618192120222326[[#This Row],[Espresso vorige maand]]</f>
        <v>150</v>
      </c>
      <c r="K25" s="53">
        <v>1529</v>
      </c>
      <c r="L25">
        <f>januari2025!K25</f>
        <v>1424</v>
      </c>
      <c r="M25">
        <f>Tabel24256789101112131415171618192120222326[[#This Row],[Stand Latte Macchiato einde maand]]-Tabel24256789101112131415171618192120222326[[#This Row],[Latte Macchiato vorige maand]]</f>
        <v>105</v>
      </c>
      <c r="N25" s="53">
        <v>1028</v>
      </c>
      <c r="O25">
        <f>januari2025!N25</f>
        <v>974</v>
      </c>
      <c r="P25">
        <f>Tabel24256789101112131415171618192120222326[[#This Row],[Stand Coffee Latte einde maand]]-Tabel24256789101112131415171618192120222326[[#This Row],[Coffee Latte vorige maand]]</f>
        <v>54</v>
      </c>
      <c r="Q25" s="53">
        <v>1</v>
      </c>
      <c r="R25">
        <f>januari2025!Q25</f>
        <v>1</v>
      </c>
      <c r="S25">
        <f>Tabel24256789101112131415171618192120222326[[#This Row],[Stand Hot Water einde maand]]-Tabel24256789101112131415171618192120222326[[#This Row],[Hot Water vorige maand]]</f>
        <v>0</v>
      </c>
      <c r="T25" s="53">
        <v>8443</v>
      </c>
      <c r="U25">
        <f>januari2025!T25</f>
        <v>8141</v>
      </c>
      <c r="V25">
        <f>Tabel24256789101112131415171618192120222326[[#This Row],[Stand Cappucino einde maand]]-Tabel24256789101112131415171618192120222326[[#This Row],[Stand Cappucino vorige maand]]</f>
        <v>302</v>
      </c>
      <c r="W25" s="53">
        <v>1511</v>
      </c>
      <c r="X25">
        <f>januari2025!W25</f>
        <v>1446</v>
      </c>
      <c r="Y25">
        <f>Tabel24256789101112131415171618192120222326[[#This Row],[Stand Cappucino Plantaardig einde maand]]-Tabel24256789101112131415171618192120222326[[#This Row],[Stand Cappucino Plantaardig vorige maand]]</f>
        <v>65</v>
      </c>
      <c r="Z25" s="53">
        <v>467</v>
      </c>
      <c r="AA25">
        <f>januari2025!Z25</f>
        <v>446</v>
      </c>
      <c r="AB25">
        <f>Tabel24256789101112131415171618192120222326[[#This Row],[Stand Latte Macchiato Plantaardig einde maand]]-Tabel24256789101112131415171618192120222326[[#This Row],[Stand Latte Macchiato Plantaardig vorige maand]]</f>
        <v>21</v>
      </c>
      <c r="AC25" s="71">
        <f>Tabel24256789101112131415171618192120222326[[#This Row],[Verbruik Stand Latte Macchiato Plantaardig deze maand]]+Tabel24256789101112131415171618192120222326[[#This Row],[Verbruik  Cappucino Plantaardig deze maand]]+Tabel24256789101112131415171618192120222326[[#This Row],[Verbruik Cappucino deze maand]]+Tabel24256789101112131415171618192120222326[[#This Row],[Verbruik Hot Water deze maand]]+Tabel24256789101112131415171618192120222326[[#This Row],[Verbruik Coffee Latte deze maand]]+Tabel24256789101112131415171618192120222326[[#This Row],[Verbruik Latte Macchiato deze maand]]+Tabel24256789101112131415171618192120222326[[#This Row],[Verbruik Espresso deze maand]]+Tabel24256789101112131415171618192120222326[[#This Row],[Verbruik Coffee deze maand]]</f>
        <v>1179</v>
      </c>
      <c r="AD25" s="53">
        <v>394.4</v>
      </c>
      <c r="AE25">
        <f>januari2025!AD25</f>
        <v>362.9</v>
      </c>
      <c r="AF25">
        <f>Tabel24256789101112131415171618192120222326[[#This Row],[Stand Kamertemp liter einde maand]]-Tabel24256789101112131415171618192120222326[[#This Row],[Stand Kamertemp liter vorige maand]]</f>
        <v>31.5</v>
      </c>
      <c r="AG25" s="2">
        <f>Tabel24256789101112131415171618192120222326[[#This Row],[Verbruik Kamertemp liter deze maand]]/0.15</f>
        <v>210</v>
      </c>
      <c r="AH25" s="53">
        <v>2388.6999999999998</v>
      </c>
      <c r="AI25">
        <f>januari2025!AH25</f>
        <v>2252.6</v>
      </c>
      <c r="AJ25">
        <f>Tabel24256789101112131415171618192120222326[[#This Row],[Stand Gekoeld liter einde maand]]-Tabel24256789101112131415171618192120222326[[#This Row],[Stand Gekoeld liter vorige maand]]</f>
        <v>136.09999999999991</v>
      </c>
      <c r="AK25" s="2">
        <f>Tabel24256789101112131415171618192120222326[[#This Row],[Verbruik Gekoeld liter deze maand]]/0.15</f>
        <v>907.3333333333328</v>
      </c>
      <c r="AL25" s="53">
        <v>1919.2</v>
      </c>
      <c r="AM25">
        <f>januari2025!AL25</f>
        <v>1867.6</v>
      </c>
      <c r="AN25">
        <f>Tabel24256789101112131415171618192120222326[[#This Row],[Stand Bruisend liter einde maand]]-Tabel24256789101112131415171618192120222326[[#This Row],[Stand Bruisend liter vorige maand]]</f>
        <v>51.600000000000136</v>
      </c>
      <c r="AO25" s="2">
        <f>Tabel24256789101112131415171618192120222326[[#This Row],[Verbruik Bruisend liter deze maand]]/0.15</f>
        <v>344.00000000000091</v>
      </c>
      <c r="AP25" s="53">
        <v>582.9</v>
      </c>
      <c r="AQ25">
        <f>januari2025!AP25</f>
        <v>569.4</v>
      </c>
      <c r="AR25">
        <f>Tabel24256789101112131415171618192120222326[[#This Row],[Stand licht bruisend liter einde maand]]-Tabel24256789101112131415171618192120222326[[#This Row],[Stand licht bruisend liter vorige maand]]</f>
        <v>13.5</v>
      </c>
      <c r="AS25" s="2">
        <f>Tabel24256789101112131415171618192120222326[[#This Row],[Verbruik licht bruisend liter deze maand]]/0.15</f>
        <v>90</v>
      </c>
      <c r="AT25" s="53">
        <v>3224.8</v>
      </c>
      <c r="AU25">
        <f>januari2025!AT25</f>
        <v>3066.6</v>
      </c>
      <c r="AV25">
        <f>Tabel24256789101112131415171618192120222326[[#This Row],[Stand heet water liter einde maand]]-Tabel24256789101112131415171618192120222326[[#This Row],[Stand heet water liter vorige maand]]</f>
        <v>158.20000000000027</v>
      </c>
      <c r="AW25" s="2">
        <f>Tabel24256789101112131415171618192120222326[[#This Row],[Verbruik heet Water liter deze maand ]]/0.15</f>
        <v>1054.6666666666686</v>
      </c>
      <c r="AX25" s="77">
        <f>Tabel24256789101112131415171618192120222326[[#This Row],[Aantal consumpties heet water deze maand]]+Tabel24256789101112131415171618192120222326[[#This Row],[Aantal consumpties licht bruisend water deze maand]]+Tabel24256789101112131415171618192120222326[[#This Row],[aantal consumpties Bruisend water deze maand]]+Tabel24256789101112131415171618192120222326[[#This Row],[Aantal consumpties gekoeld water deze maand]]+Tabel24256789101112131415171618192120222326[[#This Row],[Aantal consumpties Kamertemp deze maand]]</f>
        <v>2606.0000000000023</v>
      </c>
      <c r="AY25" s="95">
        <f>Tabel24256789101112131415171618192120222326[[#This Row],[Subtotaal waterbar in consumpties]]+Tabel24256789101112131415171618192120222326[[#This Row],[Subtotaal koffieautomaten]]</f>
        <v>3785.0000000000023</v>
      </c>
    </row>
    <row r="26" spans="1:130" s="81" customFormat="1" x14ac:dyDescent="0.25">
      <c r="A26" s="80" t="s">
        <v>74</v>
      </c>
      <c r="D26" s="82"/>
      <c r="H26" s="86"/>
      <c r="K26" s="86"/>
      <c r="N26" s="86"/>
      <c r="Q26" s="86"/>
      <c r="T26" s="86"/>
      <c r="W26" s="86"/>
      <c r="Z26" s="86"/>
      <c r="AC26" s="85"/>
      <c r="AD26" s="86"/>
      <c r="AG26" s="87"/>
      <c r="AH26" s="86"/>
      <c r="AK26" s="87"/>
      <c r="AL26" s="86"/>
      <c r="AO26" s="87"/>
      <c r="AP26" s="86"/>
      <c r="AS26" s="87"/>
      <c r="AT26" s="86"/>
      <c r="AW26" s="87"/>
      <c r="AX26" s="88"/>
      <c r="AY26" s="94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</row>
    <row r="27" spans="1:130" x14ac:dyDescent="0.25">
      <c r="A27" s="65" t="s">
        <v>32</v>
      </c>
      <c r="B27" t="s">
        <v>75</v>
      </c>
      <c r="C27" t="s">
        <v>47</v>
      </c>
      <c r="E27">
        <v>8558</v>
      </c>
      <c r="F27">
        <f>januari2025!E27</f>
        <v>8200</v>
      </c>
      <c r="G27">
        <f>Tabel24256789101112131415171618192120222326[[#This Row],[Stand Coffee einde maand]]-Tabel24256789101112131415171618192120222326[[#This Row],[Coffee vorige maand]]</f>
        <v>358</v>
      </c>
      <c r="H27" s="53">
        <v>2227</v>
      </c>
      <c r="I27">
        <f>januari2025!H27</f>
        <v>2067</v>
      </c>
      <c r="J27">
        <f>Tabel24256789101112131415171618192120222326[[#This Row],[Stand Espresso Einde maand]]-Tabel24256789101112131415171618192120222326[[#This Row],[Espresso vorige maand]]</f>
        <v>160</v>
      </c>
      <c r="K27" s="53">
        <v>1744</v>
      </c>
      <c r="L27">
        <f>januari2025!K27</f>
        <v>1712</v>
      </c>
      <c r="M27">
        <f>Tabel24256789101112131415171618192120222326[[#This Row],[Stand Latte Macchiato einde maand]]-Tabel24256789101112131415171618192120222326[[#This Row],[Latte Macchiato vorige maand]]</f>
        <v>32</v>
      </c>
      <c r="N27" s="53">
        <v>728</v>
      </c>
      <c r="O27">
        <f>januari2025!N27</f>
        <v>679</v>
      </c>
      <c r="P27">
        <f>Tabel24256789101112131415171618192120222326[[#This Row],[Stand Coffee Latte einde maand]]-Tabel24256789101112131415171618192120222326[[#This Row],[Coffee Latte vorige maand]]</f>
        <v>49</v>
      </c>
      <c r="Q27" s="53">
        <v>1</v>
      </c>
      <c r="R27">
        <f>januari2025!Q27</f>
        <v>1</v>
      </c>
      <c r="S27">
        <f>Tabel24256789101112131415171618192120222326[[#This Row],[Stand Hot Water einde maand]]-Tabel24256789101112131415171618192120222326[[#This Row],[Hot Water vorige maand]]</f>
        <v>0</v>
      </c>
      <c r="T27" s="53">
        <v>5279</v>
      </c>
      <c r="U27">
        <f>januari2025!T27</f>
        <v>5080</v>
      </c>
      <c r="V27">
        <f>Tabel24256789101112131415171618192120222326[[#This Row],[Stand Cappucino einde maand]]-Tabel24256789101112131415171618192120222326[[#This Row],[Stand Cappucino vorige maand]]</f>
        <v>199</v>
      </c>
      <c r="W27" s="53">
        <v>858</v>
      </c>
      <c r="X27">
        <f>januari2025!W27</f>
        <v>829</v>
      </c>
      <c r="Y27">
        <f>Tabel24256789101112131415171618192120222326[[#This Row],[Stand Cappucino Plantaardig einde maand]]-Tabel24256789101112131415171618192120222326[[#This Row],[Stand Cappucino Plantaardig vorige maand]]</f>
        <v>29</v>
      </c>
      <c r="Z27" s="53">
        <v>420</v>
      </c>
      <c r="AA27">
        <f>januari2025!Z27</f>
        <v>403</v>
      </c>
      <c r="AB27">
        <f>Tabel24256789101112131415171618192120222326[[#This Row],[Stand Latte Macchiato Plantaardig einde maand]]-Tabel24256789101112131415171618192120222326[[#This Row],[Stand Latte Macchiato Plantaardig vorige maand]]</f>
        <v>17</v>
      </c>
      <c r="AC27" s="71">
        <f>Tabel24256789101112131415171618192120222326[[#This Row],[Verbruik Stand Latte Macchiato Plantaardig deze maand]]+Tabel24256789101112131415171618192120222326[[#This Row],[Verbruik  Cappucino Plantaardig deze maand]]+Tabel24256789101112131415171618192120222326[[#This Row],[Verbruik Cappucino deze maand]]+Tabel24256789101112131415171618192120222326[[#This Row],[Verbruik Hot Water deze maand]]+Tabel24256789101112131415171618192120222326[[#This Row],[Verbruik Coffee Latte deze maand]]+Tabel24256789101112131415171618192120222326[[#This Row],[Verbruik Latte Macchiato deze maand]]+Tabel24256789101112131415171618192120222326[[#This Row],[Verbruik Espresso deze maand]]+Tabel24256789101112131415171618192120222326[[#This Row],[Verbruik Coffee deze maand]]</f>
        <v>844</v>
      </c>
      <c r="AD27" s="53">
        <v>227.2</v>
      </c>
      <c r="AE27">
        <f>januari2025!AD27</f>
        <v>209.8</v>
      </c>
      <c r="AF27">
        <f>Tabel24256789101112131415171618192120222326[[#This Row],[Stand Kamertemp liter einde maand]]-Tabel24256789101112131415171618192120222326[[#This Row],[Stand Kamertemp liter vorige maand]]</f>
        <v>17.399999999999977</v>
      </c>
      <c r="AG27" s="2">
        <f>Tabel24256789101112131415171618192120222326[[#This Row],[Verbruik Kamertemp liter deze maand]]/0.15</f>
        <v>115.99999999999986</v>
      </c>
      <c r="AH27" s="53">
        <v>820.2</v>
      </c>
      <c r="AI27">
        <f>januari2025!AH27</f>
        <v>762.6</v>
      </c>
      <c r="AJ27">
        <f>Tabel24256789101112131415171618192120222326[[#This Row],[Stand Gekoeld liter einde maand]]-Tabel24256789101112131415171618192120222326[[#This Row],[Stand Gekoeld liter vorige maand]]</f>
        <v>57.600000000000023</v>
      </c>
      <c r="AK27" s="2">
        <f>Tabel24256789101112131415171618192120222326[[#This Row],[Verbruik Gekoeld liter deze maand]]/0.15</f>
        <v>384.00000000000017</v>
      </c>
      <c r="AL27" s="53">
        <v>393</v>
      </c>
      <c r="AM27">
        <f>januari2025!AL27</f>
        <v>362.7</v>
      </c>
      <c r="AN27">
        <f>Tabel24256789101112131415171618192120222326[[#This Row],[Stand Bruisend liter einde maand]]-Tabel24256789101112131415171618192120222326[[#This Row],[Stand Bruisend liter vorige maand]]</f>
        <v>30.300000000000011</v>
      </c>
      <c r="AO27" s="2">
        <f>Tabel24256789101112131415171618192120222326[[#This Row],[Verbruik Bruisend liter deze maand]]/0.15</f>
        <v>202.00000000000009</v>
      </c>
      <c r="AP27" s="53">
        <v>316.60000000000002</v>
      </c>
      <c r="AQ27">
        <f>januari2025!AP27</f>
        <v>293.5</v>
      </c>
      <c r="AR27">
        <f>Tabel24256789101112131415171618192120222326[[#This Row],[Stand licht bruisend liter einde maand]]-Tabel24256789101112131415171618192120222326[[#This Row],[Stand licht bruisend liter vorige maand]]</f>
        <v>23.100000000000023</v>
      </c>
      <c r="AS27" s="2">
        <f>Tabel24256789101112131415171618192120222326[[#This Row],[Verbruik licht bruisend liter deze maand]]/0.15</f>
        <v>154.00000000000017</v>
      </c>
      <c r="AT27" s="53">
        <v>2133.9</v>
      </c>
      <c r="AU27">
        <f>januari2025!AT27</f>
        <v>1973.9</v>
      </c>
      <c r="AV27">
        <f>Tabel24256789101112131415171618192120222326[[#This Row],[Stand heet water liter einde maand]]-Tabel24256789101112131415171618192120222326[[#This Row],[Stand heet water liter vorige maand]]</f>
        <v>160</v>
      </c>
      <c r="AW27" s="2">
        <f>Tabel24256789101112131415171618192120222326[[#This Row],[Verbruik heet Water liter deze maand ]]/0.15</f>
        <v>1066.6666666666667</v>
      </c>
      <c r="AX27" s="77">
        <f>Tabel24256789101112131415171618192120222326[[#This Row],[Aantal consumpties heet water deze maand]]+Tabel24256789101112131415171618192120222326[[#This Row],[Aantal consumpties licht bruisend water deze maand]]+Tabel24256789101112131415171618192120222326[[#This Row],[aantal consumpties Bruisend water deze maand]]+Tabel24256789101112131415171618192120222326[[#This Row],[Aantal consumpties gekoeld water deze maand]]+Tabel24256789101112131415171618192120222326[[#This Row],[Aantal consumpties Kamertemp deze maand]]</f>
        <v>1922.666666666667</v>
      </c>
      <c r="AY27" s="95">
        <f>Tabel24256789101112131415171618192120222326[[#This Row],[Subtotaal waterbar in consumpties]]+Tabel24256789101112131415171618192120222326[[#This Row],[Subtotaal koffieautomaten]]</f>
        <v>2766.666666666667</v>
      </c>
    </row>
    <row r="28" spans="1:130" x14ac:dyDescent="0.25">
      <c r="A28" s="65" t="s">
        <v>39</v>
      </c>
      <c r="B28" t="s">
        <v>163</v>
      </c>
      <c r="C28" t="s">
        <v>31</v>
      </c>
      <c r="E28">
        <v>25843</v>
      </c>
      <c r="F28">
        <f>januari2025!E28</f>
        <v>25125</v>
      </c>
      <c r="G28">
        <f>Tabel24256789101112131415171618192120222326[[#This Row],[Stand Coffee einde maand]]-Tabel24256789101112131415171618192120222326[[#This Row],[Coffee vorige maand]]</f>
        <v>718</v>
      </c>
      <c r="H28" s="53">
        <v>6362</v>
      </c>
      <c r="I28">
        <f>januari2025!H28</f>
        <v>6137</v>
      </c>
      <c r="J28">
        <f>Tabel24256789101112131415171618192120222326[[#This Row],[Stand Espresso Einde maand]]-Tabel24256789101112131415171618192120222326[[#This Row],[Espresso vorige maand]]</f>
        <v>225</v>
      </c>
      <c r="K28" s="53">
        <v>3103</v>
      </c>
      <c r="L28">
        <f>januari2025!K28</f>
        <v>3003</v>
      </c>
      <c r="M28">
        <f>Tabel24256789101112131415171618192120222326[[#This Row],[Stand Latte Macchiato einde maand]]-Tabel24256789101112131415171618192120222326[[#This Row],[Latte Macchiato vorige maand]]</f>
        <v>100</v>
      </c>
      <c r="N28" s="53">
        <v>1312</v>
      </c>
      <c r="O28">
        <f>januari2025!N28</f>
        <v>1262</v>
      </c>
      <c r="P28">
        <f>Tabel24256789101112131415171618192120222326[[#This Row],[Stand Coffee Latte einde maand]]-Tabel24256789101112131415171618192120222326[[#This Row],[Coffee Latte vorige maand]]</f>
        <v>50</v>
      </c>
      <c r="Q28" s="53">
        <v>21985</v>
      </c>
      <c r="R28">
        <f>januari2025!Q28</f>
        <v>21109</v>
      </c>
      <c r="S28">
        <f>Tabel24256789101112131415171618192120222326[[#This Row],[Stand Hot Water einde maand]]-Tabel24256789101112131415171618192120222326[[#This Row],[Hot Water vorige maand]]</f>
        <v>876</v>
      </c>
      <c r="T28" s="53">
        <v>17990</v>
      </c>
      <c r="U28">
        <f>januari2025!T28</f>
        <v>17428</v>
      </c>
      <c r="V28">
        <f>Tabel24256789101112131415171618192120222326[[#This Row],[Stand Cappucino einde maand]]-Tabel24256789101112131415171618192120222326[[#This Row],[Stand Cappucino vorige maand]]</f>
        <v>562</v>
      </c>
      <c r="W28" s="53">
        <v>2172</v>
      </c>
      <c r="X28">
        <f>januari2025!W28</f>
        <v>2121</v>
      </c>
      <c r="Y28">
        <f>Tabel24256789101112131415171618192120222326[[#This Row],[Stand Cappucino Plantaardig einde maand]]-Tabel24256789101112131415171618192120222326[[#This Row],[Stand Cappucino Plantaardig vorige maand]]</f>
        <v>51</v>
      </c>
      <c r="Z28" s="53">
        <v>678</v>
      </c>
      <c r="AA28">
        <f>januari2025!Z28</f>
        <v>663</v>
      </c>
      <c r="AB28">
        <f>Tabel24256789101112131415171618192120222326[[#This Row],[Stand Latte Macchiato Plantaardig einde maand]]-Tabel24256789101112131415171618192120222326[[#This Row],[Stand Latte Macchiato Plantaardig vorige maand]]</f>
        <v>15</v>
      </c>
      <c r="AC28" s="71">
        <f>Tabel24256789101112131415171618192120222326[[#This Row],[Verbruik Stand Latte Macchiato Plantaardig deze maand]]+Tabel24256789101112131415171618192120222326[[#This Row],[Verbruik  Cappucino Plantaardig deze maand]]+Tabel24256789101112131415171618192120222326[[#This Row],[Verbruik Cappucino deze maand]]+Tabel24256789101112131415171618192120222326[[#This Row],[Verbruik Hot Water deze maand]]+Tabel24256789101112131415171618192120222326[[#This Row],[Verbruik Coffee Latte deze maand]]+Tabel24256789101112131415171618192120222326[[#This Row],[Verbruik Latte Macchiato deze maand]]+Tabel24256789101112131415171618192120222326[[#This Row],[Verbruik Espresso deze maand]]+Tabel24256789101112131415171618192120222326[[#This Row],[Verbruik Coffee deze maand]]</f>
        <v>2597</v>
      </c>
      <c r="AD28" s="69"/>
      <c r="AE28" s="41"/>
      <c r="AF28" s="5"/>
      <c r="AG28" s="5"/>
      <c r="AH28" s="75"/>
      <c r="AI28" s="41"/>
      <c r="AJ28" s="5"/>
      <c r="AK28" s="5"/>
      <c r="AL28" s="75"/>
      <c r="AM28" s="41"/>
      <c r="AN28" s="5"/>
      <c r="AO28" s="5"/>
      <c r="AP28" s="75"/>
      <c r="AQ28" s="41"/>
      <c r="AR28" s="5"/>
      <c r="AS28" s="5"/>
      <c r="AT28" s="75"/>
      <c r="AU28" s="41"/>
      <c r="AV28" s="5"/>
      <c r="AW28" s="5"/>
      <c r="AX28" s="79"/>
      <c r="AY28" s="95">
        <f>Tabel24256789101112131415171618192120222326[[#This Row],[Subtotaal waterbar in consumpties]]+Tabel24256789101112131415171618192120222326[[#This Row],[Subtotaal koffieautomaten]]</f>
        <v>2597</v>
      </c>
    </row>
    <row r="29" spans="1:130" x14ac:dyDescent="0.25">
      <c r="A29" s="65" t="s">
        <v>39</v>
      </c>
      <c r="B29" t="s">
        <v>77</v>
      </c>
      <c r="C29" t="s">
        <v>36</v>
      </c>
      <c r="E29" s="46"/>
      <c r="F29" s="46"/>
      <c r="G29" s="47"/>
      <c r="H29" s="54"/>
      <c r="I29" s="46"/>
      <c r="J29" s="47"/>
      <c r="K29" s="54"/>
      <c r="L29" s="46"/>
      <c r="M29" s="47"/>
      <c r="N29" s="54"/>
      <c r="O29" s="46"/>
      <c r="P29" s="47"/>
      <c r="Q29" s="54"/>
      <c r="R29" s="46"/>
      <c r="S29" s="47"/>
      <c r="T29" s="54"/>
      <c r="U29" s="46"/>
      <c r="V29" s="47"/>
      <c r="W29" s="54"/>
      <c r="X29" s="46"/>
      <c r="Y29" s="47"/>
      <c r="Z29" s="54"/>
      <c r="AA29" s="46"/>
      <c r="AB29" s="47"/>
      <c r="AC29" s="72"/>
      <c r="AD29" s="53">
        <v>184.5</v>
      </c>
      <c r="AE29">
        <f>januari2025!AD29</f>
        <v>168.5</v>
      </c>
      <c r="AF29">
        <f>Tabel24256789101112131415171618192120222326[[#This Row],[Stand Kamertemp liter einde maand]]-Tabel24256789101112131415171618192120222326[[#This Row],[Stand Kamertemp liter vorige maand]]</f>
        <v>16</v>
      </c>
      <c r="AG29" s="2">
        <f>Tabel24256789101112131415171618192120222326[[#This Row],[Verbruik Kamertemp liter deze maand]]/0.15</f>
        <v>106.66666666666667</v>
      </c>
      <c r="AH29" s="53">
        <v>1790.6</v>
      </c>
      <c r="AI29">
        <f>januari2025!AH29</f>
        <v>1626.6</v>
      </c>
      <c r="AJ29">
        <f>Tabel24256789101112131415171618192120222326[[#This Row],[Stand Gekoeld liter einde maand]]-Tabel24256789101112131415171618192120222326[[#This Row],[Stand Gekoeld liter vorige maand]]</f>
        <v>164</v>
      </c>
      <c r="AK29" s="2">
        <f>Tabel24256789101112131415171618192120222326[[#This Row],[Verbruik Gekoeld liter deze maand]]/0.15</f>
        <v>1093.3333333333335</v>
      </c>
      <c r="AL29" s="53">
        <v>1220.0999999999999</v>
      </c>
      <c r="AM29">
        <f>januari2025!AL29</f>
        <v>1143.0999999999999</v>
      </c>
      <c r="AN29">
        <f>Tabel24256789101112131415171618192120222326[[#This Row],[Stand Bruisend liter einde maand]]-Tabel24256789101112131415171618192120222326[[#This Row],[Stand Bruisend liter vorige maand]]</f>
        <v>77</v>
      </c>
      <c r="AO29" s="2">
        <f>Tabel24256789101112131415171618192120222326[[#This Row],[Verbruik Bruisend liter deze maand]]/0.15</f>
        <v>513.33333333333337</v>
      </c>
      <c r="AP29" s="53">
        <v>344.2</v>
      </c>
      <c r="AQ29">
        <f>januari2025!AP29</f>
        <v>320.89999999999998</v>
      </c>
      <c r="AR29">
        <f>Tabel24256789101112131415171618192120222326[[#This Row],[Stand licht bruisend liter einde maand]]-Tabel24256789101112131415171618192120222326[[#This Row],[Stand licht bruisend liter vorige maand]]</f>
        <v>23.300000000000011</v>
      </c>
      <c r="AS29" s="2">
        <f>Tabel24256789101112131415171618192120222326[[#This Row],[Verbruik licht bruisend liter deze maand]]/0.15</f>
        <v>155.33333333333343</v>
      </c>
      <c r="AT29" s="53">
        <v>1049.0999999999999</v>
      </c>
      <c r="AU29">
        <f>januari2025!AT29</f>
        <v>941.5</v>
      </c>
      <c r="AV29">
        <f>Tabel24256789101112131415171618192120222326[[#This Row],[Stand heet water liter einde maand]]-Tabel24256789101112131415171618192120222326[[#This Row],[Stand heet water liter vorige maand]]</f>
        <v>107.59999999999991</v>
      </c>
      <c r="AW29" s="2">
        <f>Tabel24256789101112131415171618192120222326[[#This Row],[Verbruik heet Water liter deze maand ]]/0.15</f>
        <v>717.3333333333328</v>
      </c>
      <c r="AX29" s="77">
        <f>Tabel24256789101112131415171618192120222326[[#This Row],[Aantal consumpties heet water deze maand]]+Tabel24256789101112131415171618192120222326[[#This Row],[Aantal consumpties licht bruisend water deze maand]]+Tabel24256789101112131415171618192120222326[[#This Row],[aantal consumpties Bruisend water deze maand]]+Tabel24256789101112131415171618192120222326[[#This Row],[Aantal consumpties gekoeld water deze maand]]+Tabel24256789101112131415171618192120222326[[#This Row],[Aantal consumpties Kamertemp deze maand]]</f>
        <v>2585.9999999999995</v>
      </c>
      <c r="AY29" s="95">
        <f>Tabel24256789101112131415171618192120222326[[#This Row],[Subtotaal waterbar in consumpties]]+Tabel24256789101112131415171618192120222326[[#This Row],[Subtotaal koffieautomaten]]</f>
        <v>2585.9999999999995</v>
      </c>
    </row>
    <row r="30" spans="1:130" x14ac:dyDescent="0.25">
      <c r="A30" s="65" t="s">
        <v>41</v>
      </c>
      <c r="B30" t="s">
        <v>78</v>
      </c>
      <c r="C30" t="s">
        <v>47</v>
      </c>
      <c r="E30">
        <v>5984</v>
      </c>
      <c r="F30">
        <f>januari2025!E30</f>
        <v>5760</v>
      </c>
      <c r="G30">
        <f>Tabel24256789101112131415171618192120222326[[#This Row],[Stand Coffee einde maand]]-Tabel24256789101112131415171618192120222326[[#This Row],[Coffee vorige maand]]</f>
        <v>224</v>
      </c>
      <c r="H30" s="53">
        <v>2071</v>
      </c>
      <c r="I30">
        <f>januari2025!H30</f>
        <v>2055</v>
      </c>
      <c r="J30">
        <f>Tabel24256789101112131415171618192120222326[[#This Row],[Stand Espresso Einde maand]]-Tabel24256789101112131415171618192120222326[[#This Row],[Espresso vorige maand]]</f>
        <v>16</v>
      </c>
      <c r="K30" s="53">
        <v>459</v>
      </c>
      <c r="L30">
        <f>januari2025!K30</f>
        <v>451</v>
      </c>
      <c r="M30">
        <f>Tabel24256789101112131415171618192120222326[[#This Row],[Stand Latte Macchiato einde maand]]-Tabel24256789101112131415171618192120222326[[#This Row],[Latte Macchiato vorige maand]]</f>
        <v>8</v>
      </c>
      <c r="N30" s="53">
        <v>341</v>
      </c>
      <c r="O30">
        <f>januari2025!N30</f>
        <v>333</v>
      </c>
      <c r="P30">
        <f>Tabel24256789101112131415171618192120222326[[#This Row],[Stand Coffee Latte einde maand]]-Tabel24256789101112131415171618192120222326[[#This Row],[Coffee Latte vorige maand]]</f>
        <v>8</v>
      </c>
      <c r="Q30" s="53">
        <v>1</v>
      </c>
      <c r="R30">
        <f>januari2025!Q30</f>
        <v>1</v>
      </c>
      <c r="S30">
        <f>Tabel24256789101112131415171618192120222326[[#This Row],[Stand Hot Water einde maand]]-Tabel24256789101112131415171618192120222326[[#This Row],[Hot Water vorige maand]]</f>
        <v>0</v>
      </c>
      <c r="T30" s="53">
        <v>2772</v>
      </c>
      <c r="U30">
        <f>januari2025!T30</f>
        <v>2710</v>
      </c>
      <c r="V30">
        <f>Tabel24256789101112131415171618192120222326[[#This Row],[Stand Cappucino einde maand]]-Tabel24256789101112131415171618192120222326[[#This Row],[Stand Cappucino vorige maand]]</f>
        <v>62</v>
      </c>
      <c r="W30" s="53">
        <v>1459</v>
      </c>
      <c r="X30">
        <f>januari2025!W30</f>
        <v>1427</v>
      </c>
      <c r="Y30">
        <f>Tabel24256789101112131415171618192120222326[[#This Row],[Stand Cappucino Plantaardig einde maand]]-Tabel24256789101112131415171618192120222326[[#This Row],[Stand Cappucino Plantaardig vorige maand]]</f>
        <v>32</v>
      </c>
      <c r="Z30" s="53">
        <v>1024</v>
      </c>
      <c r="AA30">
        <f>januari2025!Z30</f>
        <v>995</v>
      </c>
      <c r="AB30">
        <f>Tabel24256789101112131415171618192120222326[[#This Row],[Stand Latte Macchiato Plantaardig einde maand]]-Tabel24256789101112131415171618192120222326[[#This Row],[Stand Latte Macchiato Plantaardig vorige maand]]</f>
        <v>29</v>
      </c>
      <c r="AC30" s="71">
        <f>Tabel24256789101112131415171618192120222326[[#This Row],[Verbruik Stand Latte Macchiato Plantaardig deze maand]]+Tabel24256789101112131415171618192120222326[[#This Row],[Verbruik  Cappucino Plantaardig deze maand]]+Tabel24256789101112131415171618192120222326[[#This Row],[Verbruik Cappucino deze maand]]+Tabel24256789101112131415171618192120222326[[#This Row],[Verbruik Hot Water deze maand]]+Tabel24256789101112131415171618192120222326[[#This Row],[Verbruik Coffee Latte deze maand]]+Tabel24256789101112131415171618192120222326[[#This Row],[Verbruik Latte Macchiato deze maand]]+Tabel24256789101112131415171618192120222326[[#This Row],[Verbruik Espresso deze maand]]+Tabel24256789101112131415171618192120222326[[#This Row],[Verbruik Coffee deze maand]]</f>
        <v>379</v>
      </c>
      <c r="AD30" s="53">
        <v>155.69999999999999</v>
      </c>
      <c r="AE30">
        <f>januari2025!AD30</f>
        <v>141.6</v>
      </c>
      <c r="AF30">
        <f>Tabel24256789101112131415171618192120222326[[#This Row],[Stand Kamertemp liter einde maand]]-Tabel24256789101112131415171618192120222326[[#This Row],[Stand Kamertemp liter vorige maand]]</f>
        <v>14.099999999999994</v>
      </c>
      <c r="AG30" s="2">
        <f>Tabel24256789101112131415171618192120222326[[#This Row],[Verbruik Kamertemp liter deze maand]]/0.15</f>
        <v>93.999999999999972</v>
      </c>
      <c r="AH30" s="53">
        <v>1082</v>
      </c>
      <c r="AI30">
        <f>januari2025!AH30</f>
        <v>1003.6</v>
      </c>
      <c r="AJ30">
        <f>Tabel24256789101112131415171618192120222326[[#This Row],[Stand Gekoeld liter einde maand]]-Tabel24256789101112131415171618192120222326[[#This Row],[Stand Gekoeld liter vorige maand]]</f>
        <v>78.399999999999977</v>
      </c>
      <c r="AK30" s="2">
        <f>Tabel24256789101112131415171618192120222326[[#This Row],[Verbruik Gekoeld liter deze maand]]/0.15</f>
        <v>522.66666666666652</v>
      </c>
      <c r="AL30" s="53">
        <v>723.3</v>
      </c>
      <c r="AM30">
        <f>januari2025!AL30</f>
        <v>666.5</v>
      </c>
      <c r="AN30">
        <f>Tabel24256789101112131415171618192120222326[[#This Row],[Stand Bruisend liter einde maand]]-Tabel24256789101112131415171618192120222326[[#This Row],[Stand Bruisend liter vorige maand]]</f>
        <v>56.799999999999955</v>
      </c>
      <c r="AO30" s="2">
        <f>Tabel24256789101112131415171618192120222326[[#This Row],[Verbruik Bruisend liter deze maand]]/0.15</f>
        <v>378.6666666666664</v>
      </c>
      <c r="AP30" s="53">
        <v>558.9</v>
      </c>
      <c r="AQ30">
        <f>januari2025!AP30</f>
        <v>521.9</v>
      </c>
      <c r="AR30">
        <f>Tabel24256789101112131415171618192120222326[[#This Row],[Stand licht bruisend liter einde maand]]-Tabel24256789101112131415171618192120222326[[#This Row],[Stand licht bruisend liter vorige maand]]</f>
        <v>37</v>
      </c>
      <c r="AS30" s="2">
        <f>Tabel24256789101112131415171618192120222326[[#This Row],[Verbruik licht bruisend liter deze maand]]/0.15</f>
        <v>246.66666666666669</v>
      </c>
      <c r="AT30" s="53">
        <v>3356.9</v>
      </c>
      <c r="AU30">
        <f>januari2025!AT30</f>
        <v>3013.3</v>
      </c>
      <c r="AV30">
        <f>Tabel24256789101112131415171618192120222326[[#This Row],[Stand heet water liter einde maand]]-Tabel24256789101112131415171618192120222326[[#This Row],[Stand heet water liter vorige maand]]</f>
        <v>343.59999999999991</v>
      </c>
      <c r="AW30" s="2">
        <f>Tabel24256789101112131415171618192120222326[[#This Row],[Verbruik heet Water liter deze maand ]]/0.15</f>
        <v>2290.6666666666661</v>
      </c>
      <c r="AX30" s="77">
        <f>Tabel24256789101112131415171618192120222326[[#This Row],[Aantal consumpties heet water deze maand]]+Tabel24256789101112131415171618192120222326[[#This Row],[Aantal consumpties licht bruisend water deze maand]]+Tabel24256789101112131415171618192120222326[[#This Row],[aantal consumpties Bruisend water deze maand]]+Tabel24256789101112131415171618192120222326[[#This Row],[Aantal consumpties gekoeld water deze maand]]+Tabel24256789101112131415171618192120222326[[#This Row],[Aantal consumpties Kamertemp deze maand]]</f>
        <v>3532.6666666666656</v>
      </c>
      <c r="AY30" s="95">
        <f>Tabel24256789101112131415171618192120222326[[#This Row],[Subtotaal waterbar in consumpties]]+Tabel24256789101112131415171618192120222326[[#This Row],[Subtotaal koffieautomaten]]</f>
        <v>3911.6666666666656</v>
      </c>
    </row>
    <row r="31" spans="1:130" x14ac:dyDescent="0.25">
      <c r="A31" s="65" t="s">
        <v>43</v>
      </c>
      <c r="B31" t="s">
        <v>79</v>
      </c>
      <c r="C31" t="s">
        <v>31</v>
      </c>
      <c r="E31">
        <v>11265</v>
      </c>
      <c r="F31">
        <f>januari2025!E31</f>
        <v>10835</v>
      </c>
      <c r="G31">
        <f>Tabel24256789101112131415171618192120222326[[#This Row],[Stand Coffee einde maand]]-Tabel24256789101112131415171618192120222326[[#This Row],[Coffee vorige maand]]</f>
        <v>430</v>
      </c>
      <c r="H31" s="53">
        <v>4248</v>
      </c>
      <c r="I31">
        <f>januari2025!H31</f>
        <v>3996</v>
      </c>
      <c r="J31">
        <f>Tabel24256789101112131415171618192120222326[[#This Row],[Stand Espresso Einde maand]]-Tabel24256789101112131415171618192120222326[[#This Row],[Espresso vorige maand]]</f>
        <v>252</v>
      </c>
      <c r="K31" s="53">
        <v>704</v>
      </c>
      <c r="L31">
        <f>januari2025!K31</f>
        <v>677</v>
      </c>
      <c r="M31">
        <f>Tabel24256789101112131415171618192120222326[[#This Row],[Stand Latte Macchiato einde maand]]-Tabel24256789101112131415171618192120222326[[#This Row],[Latte Macchiato vorige maand]]</f>
        <v>27</v>
      </c>
      <c r="N31" s="53">
        <v>148</v>
      </c>
      <c r="O31">
        <f>januari2025!N31</f>
        <v>142</v>
      </c>
      <c r="P31">
        <f>Tabel24256789101112131415171618192120222326[[#This Row],[Stand Coffee Latte einde maand]]-Tabel24256789101112131415171618192120222326[[#This Row],[Coffee Latte vorige maand]]</f>
        <v>6</v>
      </c>
      <c r="Q31" s="53">
        <v>9841</v>
      </c>
      <c r="R31">
        <f>januari2025!Q31</f>
        <v>9446</v>
      </c>
      <c r="S31">
        <f>Tabel24256789101112131415171618192120222326[[#This Row],[Stand Hot Water einde maand]]-Tabel24256789101112131415171618192120222326[[#This Row],[Hot Water vorige maand]]</f>
        <v>395</v>
      </c>
      <c r="T31" s="53">
        <v>5949</v>
      </c>
      <c r="U31">
        <f>januari2025!T31</f>
        <v>5566</v>
      </c>
      <c r="V31">
        <f>Tabel24256789101112131415171618192120222326[[#This Row],[Stand Cappucino einde maand]]-Tabel24256789101112131415171618192120222326[[#This Row],[Stand Cappucino vorige maand]]</f>
        <v>383</v>
      </c>
      <c r="W31" s="53">
        <v>414</v>
      </c>
      <c r="X31">
        <f>januari2025!W31</f>
        <v>393</v>
      </c>
      <c r="Y31">
        <f>Tabel24256789101112131415171618192120222326[[#This Row],[Stand Cappucino Plantaardig einde maand]]-Tabel24256789101112131415171618192120222326[[#This Row],[Stand Cappucino Plantaardig vorige maand]]</f>
        <v>21</v>
      </c>
      <c r="Z31" s="53">
        <v>107</v>
      </c>
      <c r="AA31">
        <f>januari2025!Z31</f>
        <v>98</v>
      </c>
      <c r="AB31">
        <f>Tabel24256789101112131415171618192120222326[[#This Row],[Stand Latte Macchiato Plantaardig einde maand]]-Tabel24256789101112131415171618192120222326[[#This Row],[Stand Latte Macchiato Plantaardig vorige maand]]</f>
        <v>9</v>
      </c>
      <c r="AC31" s="71">
        <f>Tabel24256789101112131415171618192120222326[[#This Row],[Verbruik Stand Latte Macchiato Plantaardig deze maand]]+Tabel24256789101112131415171618192120222326[[#This Row],[Verbruik  Cappucino Plantaardig deze maand]]+Tabel24256789101112131415171618192120222326[[#This Row],[Verbruik Cappucino deze maand]]+Tabel24256789101112131415171618192120222326[[#This Row],[Verbruik Hot Water deze maand]]+Tabel24256789101112131415171618192120222326[[#This Row],[Verbruik Coffee Latte deze maand]]+Tabel24256789101112131415171618192120222326[[#This Row],[Verbruik Latte Macchiato deze maand]]+Tabel24256789101112131415171618192120222326[[#This Row],[Verbruik Espresso deze maand]]+Tabel24256789101112131415171618192120222326[[#This Row],[Verbruik Coffee deze maand]]</f>
        <v>1523</v>
      </c>
      <c r="AD31" s="69"/>
      <c r="AE31" s="41"/>
      <c r="AF31" s="5"/>
      <c r="AG31" s="5"/>
      <c r="AH31" s="75"/>
      <c r="AI31" s="41"/>
      <c r="AJ31" s="5"/>
      <c r="AK31" s="5"/>
      <c r="AL31" s="75"/>
      <c r="AM31" s="41"/>
      <c r="AN31" s="5"/>
      <c r="AO31" s="5"/>
      <c r="AP31" s="75"/>
      <c r="AQ31" s="41"/>
      <c r="AR31" s="5"/>
      <c r="AS31" s="5"/>
      <c r="AT31" s="75"/>
      <c r="AU31" s="41"/>
      <c r="AV31" s="5"/>
      <c r="AW31" s="5"/>
      <c r="AX31" s="79"/>
      <c r="AY31" s="95">
        <f>Tabel24256789101112131415171618192120222326[[#This Row],[Subtotaal waterbar in consumpties]]+Tabel24256789101112131415171618192120222326[[#This Row],[Subtotaal koffieautomaten]]</f>
        <v>1523</v>
      </c>
    </row>
    <row r="32" spans="1:130" x14ac:dyDescent="0.25">
      <c r="A32" s="65" t="s">
        <v>45</v>
      </c>
      <c r="B32" t="s">
        <v>80</v>
      </c>
      <c r="C32" t="s">
        <v>36</v>
      </c>
      <c r="E32" s="46"/>
      <c r="F32" s="46"/>
      <c r="G32" s="47"/>
      <c r="H32" s="54"/>
      <c r="I32" s="46"/>
      <c r="J32" s="47"/>
      <c r="K32" s="54"/>
      <c r="L32" s="46"/>
      <c r="M32" s="47"/>
      <c r="N32" s="54"/>
      <c r="O32" s="46"/>
      <c r="P32" s="47"/>
      <c r="Q32" s="54"/>
      <c r="R32" s="46"/>
      <c r="S32" s="47"/>
      <c r="T32" s="54"/>
      <c r="U32" s="46"/>
      <c r="V32" s="47"/>
      <c r="W32" s="54"/>
      <c r="X32" s="46"/>
      <c r="Y32" s="47"/>
      <c r="Z32" s="54"/>
      <c r="AA32" s="46"/>
      <c r="AB32" s="47"/>
      <c r="AC32" s="72"/>
      <c r="AD32" s="53">
        <v>31</v>
      </c>
      <c r="AE32">
        <f>januari2025!AD32</f>
        <v>25.2</v>
      </c>
      <c r="AF32">
        <f>Tabel24256789101112131415171618192120222326[[#This Row],[Stand Kamertemp liter einde maand]]-Tabel24256789101112131415171618192120222326[[#This Row],[Stand Kamertemp liter vorige maand]]</f>
        <v>5.8000000000000007</v>
      </c>
      <c r="AG32" s="2">
        <f>Tabel24256789101112131415171618192120222326[[#This Row],[Verbruik Kamertemp liter deze maand]]/0.15</f>
        <v>38.666666666666671</v>
      </c>
      <c r="AH32" s="53">
        <v>149.80000000000001</v>
      </c>
      <c r="AI32">
        <f>januari2025!AH32</f>
        <v>102.8</v>
      </c>
      <c r="AJ32">
        <f>Tabel24256789101112131415171618192120222326[[#This Row],[Stand Gekoeld liter einde maand]]-Tabel24256789101112131415171618192120222326[[#This Row],[Stand Gekoeld liter vorige maand]]</f>
        <v>47.000000000000014</v>
      </c>
      <c r="AK32" s="2">
        <f>Tabel24256789101112131415171618192120222326[[#This Row],[Verbruik Gekoeld liter deze maand]]/0.15</f>
        <v>313.33333333333343</v>
      </c>
      <c r="AL32" s="53">
        <v>113.5</v>
      </c>
      <c r="AM32">
        <f>januari2025!AL32</f>
        <v>79.099999999999994</v>
      </c>
      <c r="AN32">
        <f>Tabel24256789101112131415171618192120222326[[#This Row],[Stand Bruisend liter einde maand]]-Tabel24256789101112131415171618192120222326[[#This Row],[Stand Bruisend liter vorige maand]]</f>
        <v>34.400000000000006</v>
      </c>
      <c r="AO32" s="2">
        <f>Tabel24256789101112131415171618192120222326[[#This Row],[Verbruik Bruisend liter deze maand]]/0.15</f>
        <v>229.33333333333337</v>
      </c>
      <c r="AP32" s="53">
        <v>34.200000000000003</v>
      </c>
      <c r="AQ32">
        <f>januari2025!AP32</f>
        <v>17</v>
      </c>
      <c r="AR32">
        <f>Tabel24256789101112131415171618192120222326[[#This Row],[Stand licht bruisend liter einde maand]]-Tabel24256789101112131415171618192120222326[[#This Row],[Stand licht bruisend liter vorige maand]]</f>
        <v>17.200000000000003</v>
      </c>
      <c r="AS32" s="2">
        <f>Tabel24256789101112131415171618192120222326[[#This Row],[Verbruik licht bruisend liter deze maand]]/0.15</f>
        <v>114.66666666666669</v>
      </c>
      <c r="AT32" s="53">
        <v>691.7</v>
      </c>
      <c r="AU32">
        <f>januari2025!AT32</f>
        <v>471.6</v>
      </c>
      <c r="AV32">
        <f>Tabel24256789101112131415171618192120222326[[#This Row],[Stand heet water liter einde maand]]-Tabel24256789101112131415171618192120222326[[#This Row],[Stand heet water liter vorige maand]]</f>
        <v>220.10000000000002</v>
      </c>
      <c r="AW32" s="2">
        <f>Tabel24256789101112131415171618192120222326[[#This Row],[Verbruik heet Water liter deze maand ]]/0.15</f>
        <v>1467.3333333333335</v>
      </c>
      <c r="AX32" s="77">
        <f>Tabel24256789101112131415171618192120222326[[#This Row],[Aantal consumpties heet water deze maand]]+Tabel24256789101112131415171618192120222326[[#This Row],[Aantal consumpties licht bruisend water deze maand]]+Tabel24256789101112131415171618192120222326[[#This Row],[aantal consumpties Bruisend water deze maand]]+Tabel24256789101112131415171618192120222326[[#This Row],[Aantal consumpties gekoeld water deze maand]]+Tabel24256789101112131415171618192120222326[[#This Row],[Aantal consumpties Kamertemp deze maand]]</f>
        <v>2163.3333333333335</v>
      </c>
      <c r="AY32" s="95">
        <f>Tabel24256789101112131415171618192120222326[[#This Row],[Subtotaal waterbar in consumpties]]+Tabel24256789101112131415171618192120222326[[#This Row],[Subtotaal koffieautomaten]]</f>
        <v>2163.3333333333335</v>
      </c>
    </row>
    <row r="33" spans="1:130" x14ac:dyDescent="0.25">
      <c r="A33" s="65" t="s">
        <v>48</v>
      </c>
      <c r="B33" t="s">
        <v>81</v>
      </c>
      <c r="C33" t="s">
        <v>31</v>
      </c>
      <c r="E33">
        <v>10247</v>
      </c>
      <c r="F33">
        <f>januari2025!E33</f>
        <v>9844</v>
      </c>
      <c r="G33">
        <f>Tabel24256789101112131415171618192120222326[[#This Row],[Stand Coffee einde maand]]-Tabel24256789101112131415171618192120222326[[#This Row],[Coffee vorige maand]]</f>
        <v>403</v>
      </c>
      <c r="H33" s="53">
        <v>454</v>
      </c>
      <c r="I33">
        <f>januari2025!H33</f>
        <v>448</v>
      </c>
      <c r="J33">
        <f>Tabel24256789101112131415171618192120222326[[#This Row],[Stand Espresso Einde maand]]-Tabel24256789101112131415171618192120222326[[#This Row],[Espresso vorige maand]]</f>
        <v>6</v>
      </c>
      <c r="K33" s="53">
        <v>700</v>
      </c>
      <c r="L33">
        <f>januari2025!K33</f>
        <v>676</v>
      </c>
      <c r="M33">
        <f>Tabel24256789101112131415171618192120222326[[#This Row],[Stand Latte Macchiato einde maand]]-Tabel24256789101112131415171618192120222326[[#This Row],[Latte Macchiato vorige maand]]</f>
        <v>24</v>
      </c>
      <c r="N33" s="53">
        <v>397</v>
      </c>
      <c r="O33">
        <f>januari2025!N33</f>
        <v>394</v>
      </c>
      <c r="P33">
        <f>Tabel24256789101112131415171618192120222326[[#This Row],[Stand Coffee Latte einde maand]]-Tabel24256789101112131415171618192120222326[[#This Row],[Coffee Latte vorige maand]]</f>
        <v>3</v>
      </c>
      <c r="Q33" s="53">
        <v>23120</v>
      </c>
      <c r="R33">
        <f>januari2025!Q33</f>
        <v>22053</v>
      </c>
      <c r="S33">
        <f>Tabel24256789101112131415171618192120222326[[#This Row],[Stand Hot Water einde maand]]-Tabel24256789101112131415171618192120222326[[#This Row],[Hot Water vorige maand]]</f>
        <v>1067</v>
      </c>
      <c r="T33" s="53">
        <v>3849</v>
      </c>
      <c r="U33">
        <f>januari2025!T33</f>
        <v>3697</v>
      </c>
      <c r="V33">
        <f>Tabel24256789101112131415171618192120222326[[#This Row],[Stand Cappucino einde maand]]-Tabel24256789101112131415171618192120222326[[#This Row],[Stand Cappucino vorige maand]]</f>
        <v>152</v>
      </c>
      <c r="W33" s="53">
        <v>381</v>
      </c>
      <c r="X33">
        <f>januari2025!W33</f>
        <v>372</v>
      </c>
      <c r="Y33">
        <f>Tabel24256789101112131415171618192120222326[[#This Row],[Stand Cappucino Plantaardig einde maand]]-Tabel24256789101112131415171618192120222326[[#This Row],[Stand Cappucino Plantaardig vorige maand]]</f>
        <v>9</v>
      </c>
      <c r="Z33" s="53">
        <v>67</v>
      </c>
      <c r="AA33">
        <f>januari2025!Z33</f>
        <v>63</v>
      </c>
      <c r="AB33">
        <f>Tabel24256789101112131415171618192120222326[[#This Row],[Stand Latte Macchiato Plantaardig einde maand]]-Tabel24256789101112131415171618192120222326[[#This Row],[Stand Latte Macchiato Plantaardig vorige maand]]</f>
        <v>4</v>
      </c>
      <c r="AC33" s="71">
        <f>Tabel24256789101112131415171618192120222326[[#This Row],[Verbruik Stand Latte Macchiato Plantaardig deze maand]]+Tabel24256789101112131415171618192120222326[[#This Row],[Verbruik  Cappucino Plantaardig deze maand]]+Tabel24256789101112131415171618192120222326[[#This Row],[Verbruik Cappucino deze maand]]+Tabel24256789101112131415171618192120222326[[#This Row],[Verbruik Hot Water deze maand]]+Tabel24256789101112131415171618192120222326[[#This Row],[Verbruik Coffee Latte deze maand]]+Tabel24256789101112131415171618192120222326[[#This Row],[Verbruik Latte Macchiato deze maand]]+Tabel24256789101112131415171618192120222326[[#This Row],[Verbruik Espresso deze maand]]+Tabel24256789101112131415171618192120222326[[#This Row],[Verbruik Coffee deze maand]]</f>
        <v>1668</v>
      </c>
      <c r="AD33" s="69"/>
      <c r="AE33" s="41"/>
      <c r="AF33" s="5"/>
      <c r="AG33" s="5"/>
      <c r="AH33" s="75"/>
      <c r="AI33" s="41"/>
      <c r="AJ33" s="5"/>
      <c r="AK33" s="5"/>
      <c r="AL33" s="75"/>
      <c r="AM33" s="41"/>
      <c r="AN33" s="5"/>
      <c r="AO33" s="5"/>
      <c r="AP33" s="75"/>
      <c r="AQ33" s="41"/>
      <c r="AR33" s="5"/>
      <c r="AS33" s="5"/>
      <c r="AT33" s="75"/>
      <c r="AU33" s="41"/>
      <c r="AV33" s="5"/>
      <c r="AW33" s="5"/>
      <c r="AX33" s="79"/>
      <c r="AY33" s="95">
        <f>Tabel24256789101112131415171618192120222326[[#This Row],[Subtotaal waterbar in consumpties]]+Tabel24256789101112131415171618192120222326[[#This Row],[Subtotaal koffieautomaten]]</f>
        <v>1668</v>
      </c>
    </row>
    <row r="34" spans="1:130" x14ac:dyDescent="0.25">
      <c r="A34" s="65" t="s">
        <v>50</v>
      </c>
      <c r="B34" t="s">
        <v>82</v>
      </c>
      <c r="C34" t="s">
        <v>47</v>
      </c>
      <c r="E34">
        <v>7348</v>
      </c>
      <c r="F34">
        <f>januari2025!E34</f>
        <v>7065</v>
      </c>
      <c r="G34">
        <f>Tabel24256789101112131415171618192120222326[[#This Row],[Stand Coffee einde maand]]-Tabel24256789101112131415171618192120222326[[#This Row],[Coffee vorige maand]]</f>
        <v>283</v>
      </c>
      <c r="H34" s="53">
        <v>1318</v>
      </c>
      <c r="I34">
        <f>januari2025!H34</f>
        <v>1242</v>
      </c>
      <c r="J34">
        <f>Tabel24256789101112131415171618192120222326[[#This Row],[Stand Espresso Einde maand]]-Tabel24256789101112131415171618192120222326[[#This Row],[Espresso vorige maand]]</f>
        <v>76</v>
      </c>
      <c r="K34" s="53">
        <v>1826</v>
      </c>
      <c r="L34">
        <f>januari2025!K34</f>
        <v>1729</v>
      </c>
      <c r="M34">
        <f>Tabel24256789101112131415171618192120222326[[#This Row],[Stand Latte Macchiato einde maand]]-Tabel24256789101112131415171618192120222326[[#This Row],[Latte Macchiato vorige maand]]</f>
        <v>97</v>
      </c>
      <c r="N34" s="53">
        <v>1718</v>
      </c>
      <c r="O34">
        <f>januari2025!N34</f>
        <v>1584</v>
      </c>
      <c r="P34">
        <f>Tabel24256789101112131415171618192120222326[[#This Row],[Stand Coffee Latte einde maand]]-Tabel24256789101112131415171618192120222326[[#This Row],[Coffee Latte vorige maand]]</f>
        <v>134</v>
      </c>
      <c r="Q34" s="53">
        <v>1</v>
      </c>
      <c r="R34">
        <f>januari2025!Q34</f>
        <v>1</v>
      </c>
      <c r="S34">
        <f>Tabel24256789101112131415171618192120222326[[#This Row],[Stand Hot Water einde maand]]-Tabel24256789101112131415171618192120222326[[#This Row],[Hot Water vorige maand]]</f>
        <v>0</v>
      </c>
      <c r="T34" s="53">
        <v>4043</v>
      </c>
      <c r="U34">
        <f>januari2025!T34</f>
        <v>3926</v>
      </c>
      <c r="V34">
        <f>Tabel24256789101112131415171618192120222326[[#This Row],[Stand Cappucino einde maand]]-Tabel24256789101112131415171618192120222326[[#This Row],[Stand Cappucino vorige maand]]</f>
        <v>117</v>
      </c>
      <c r="W34" s="53">
        <v>734</v>
      </c>
      <c r="X34">
        <f>januari2025!W34</f>
        <v>682</v>
      </c>
      <c r="Y34">
        <f>Tabel24256789101112131415171618192120222326[[#This Row],[Stand Cappucino Plantaardig einde maand]]-Tabel24256789101112131415171618192120222326[[#This Row],[Stand Cappucino Plantaardig vorige maand]]</f>
        <v>52</v>
      </c>
      <c r="Z34" s="53">
        <v>100</v>
      </c>
      <c r="AA34">
        <f>januari2025!Z34</f>
        <v>100</v>
      </c>
      <c r="AB34">
        <f>Tabel24256789101112131415171618192120222326[[#This Row],[Stand Latte Macchiato Plantaardig einde maand]]-Tabel24256789101112131415171618192120222326[[#This Row],[Stand Latte Macchiato Plantaardig vorige maand]]</f>
        <v>0</v>
      </c>
      <c r="AC34" s="71">
        <f>Tabel24256789101112131415171618192120222326[[#This Row],[Verbruik Stand Latte Macchiato Plantaardig deze maand]]+Tabel24256789101112131415171618192120222326[[#This Row],[Verbruik  Cappucino Plantaardig deze maand]]+Tabel24256789101112131415171618192120222326[[#This Row],[Verbruik Cappucino deze maand]]+Tabel24256789101112131415171618192120222326[[#This Row],[Verbruik Hot Water deze maand]]+Tabel24256789101112131415171618192120222326[[#This Row],[Verbruik Coffee Latte deze maand]]+Tabel24256789101112131415171618192120222326[[#This Row],[Verbruik Latte Macchiato deze maand]]+Tabel24256789101112131415171618192120222326[[#This Row],[Verbruik Espresso deze maand]]+Tabel24256789101112131415171618192120222326[[#This Row],[Verbruik Coffee deze maand]]</f>
        <v>759</v>
      </c>
      <c r="AD34" s="53">
        <v>49.6</v>
      </c>
      <c r="AE34">
        <f>januari2025!AD34</f>
        <v>40.799999999999997</v>
      </c>
      <c r="AF34">
        <f>Tabel24256789101112131415171618192120222326[[#This Row],[Stand Kamertemp liter einde maand]]-Tabel24256789101112131415171618192120222326[[#This Row],[Stand Kamertemp liter vorige maand]]</f>
        <v>8.8000000000000043</v>
      </c>
      <c r="AG34" s="2">
        <f>Tabel24256789101112131415171618192120222326[[#This Row],[Verbruik Kamertemp liter deze maand]]/0.15</f>
        <v>58.6666666666667</v>
      </c>
      <c r="AH34" s="53">
        <v>169.3</v>
      </c>
      <c r="AI34">
        <f>januari2025!AH34</f>
        <v>132.69999999999999</v>
      </c>
      <c r="AJ34">
        <f>Tabel24256789101112131415171618192120222326[[#This Row],[Stand Gekoeld liter einde maand]]-Tabel24256789101112131415171618192120222326[[#This Row],[Stand Gekoeld liter vorige maand]]</f>
        <v>36.600000000000023</v>
      </c>
      <c r="AK34" s="2">
        <f>Tabel24256789101112131415171618192120222326[[#This Row],[Verbruik Gekoeld liter deze maand]]/0.15</f>
        <v>244.00000000000017</v>
      </c>
      <c r="AL34" s="53">
        <v>118.1</v>
      </c>
      <c r="AM34">
        <f>januari2025!AL34</f>
        <v>86</v>
      </c>
      <c r="AN34">
        <f>Tabel24256789101112131415171618192120222326[[#This Row],[Stand Bruisend liter einde maand]]-Tabel24256789101112131415171618192120222326[[#This Row],[Stand Bruisend liter vorige maand]]</f>
        <v>32.099999999999994</v>
      </c>
      <c r="AO34" s="2">
        <f>Tabel24256789101112131415171618192120222326[[#This Row],[Verbruik Bruisend liter deze maand]]/0.15</f>
        <v>213.99999999999997</v>
      </c>
      <c r="AP34" s="53">
        <v>46.1</v>
      </c>
      <c r="AQ34">
        <f>januari2025!AP34</f>
        <v>33.5</v>
      </c>
      <c r="AR34">
        <f>Tabel24256789101112131415171618192120222326[[#This Row],[Stand licht bruisend liter einde maand]]-Tabel24256789101112131415171618192120222326[[#This Row],[Stand licht bruisend liter vorige maand]]</f>
        <v>12.600000000000001</v>
      </c>
      <c r="AS34" s="2">
        <f>Tabel24256789101112131415171618192120222326[[#This Row],[Verbruik licht bruisend liter deze maand]]/0.15</f>
        <v>84.000000000000014</v>
      </c>
      <c r="AT34" s="53">
        <v>758.9</v>
      </c>
      <c r="AU34">
        <f>januari2025!AT34</f>
        <v>579.1</v>
      </c>
      <c r="AV34">
        <f>Tabel24256789101112131415171618192120222326[[#This Row],[Stand heet water liter einde maand]]-Tabel24256789101112131415171618192120222326[[#This Row],[Stand heet water liter vorige maand]]</f>
        <v>179.79999999999995</v>
      </c>
      <c r="AW34" s="2">
        <f>Tabel24256789101112131415171618192120222326[[#This Row],[Verbruik heet Water liter deze maand ]]/0.15</f>
        <v>1198.6666666666665</v>
      </c>
      <c r="AX34" s="77">
        <f>Tabel24256789101112131415171618192120222326[[#This Row],[Aantal consumpties heet water deze maand]]+Tabel24256789101112131415171618192120222326[[#This Row],[Aantal consumpties licht bruisend water deze maand]]+Tabel24256789101112131415171618192120222326[[#This Row],[aantal consumpties Bruisend water deze maand]]+Tabel24256789101112131415171618192120222326[[#This Row],[Aantal consumpties gekoeld water deze maand]]+Tabel24256789101112131415171618192120222326[[#This Row],[Aantal consumpties Kamertemp deze maand]]</f>
        <v>1799.3333333333335</v>
      </c>
      <c r="AY34" s="95">
        <f>Tabel24256789101112131415171618192120222326[[#This Row],[Subtotaal waterbar in consumpties]]+Tabel24256789101112131415171618192120222326[[#This Row],[Subtotaal koffieautomaten]]</f>
        <v>2558.3333333333335</v>
      </c>
    </row>
    <row r="35" spans="1:130" x14ac:dyDescent="0.25">
      <c r="A35" s="65" t="s">
        <v>52</v>
      </c>
      <c r="B35" t="s">
        <v>83</v>
      </c>
      <c r="C35" t="s">
        <v>47</v>
      </c>
      <c r="E35">
        <v>7840</v>
      </c>
      <c r="F35">
        <f>januari2025!E35</f>
        <v>7477</v>
      </c>
      <c r="G35">
        <f>Tabel24256789101112131415171618192120222326[[#This Row],[Stand Coffee einde maand]]-Tabel24256789101112131415171618192120222326[[#This Row],[Coffee vorige maand]]</f>
        <v>363</v>
      </c>
      <c r="H35" s="53">
        <v>2926</v>
      </c>
      <c r="I35">
        <f>januari2025!H35</f>
        <v>2809</v>
      </c>
      <c r="J35">
        <f>Tabel24256789101112131415171618192120222326[[#This Row],[Stand Espresso Einde maand]]-Tabel24256789101112131415171618192120222326[[#This Row],[Espresso vorige maand]]</f>
        <v>117</v>
      </c>
      <c r="K35" s="53">
        <v>1354</v>
      </c>
      <c r="L35">
        <f>januari2025!K35</f>
        <v>1300</v>
      </c>
      <c r="M35">
        <f>Tabel24256789101112131415171618192120222326[[#This Row],[Stand Latte Macchiato einde maand]]-Tabel24256789101112131415171618192120222326[[#This Row],[Latte Macchiato vorige maand]]</f>
        <v>54</v>
      </c>
      <c r="N35" s="53">
        <v>269</v>
      </c>
      <c r="O35">
        <f>januari2025!N35</f>
        <v>264</v>
      </c>
      <c r="P35">
        <f>Tabel24256789101112131415171618192120222326[[#This Row],[Stand Coffee Latte einde maand]]-Tabel24256789101112131415171618192120222326[[#This Row],[Coffee Latte vorige maand]]</f>
        <v>5</v>
      </c>
      <c r="Q35" s="53">
        <v>1</v>
      </c>
      <c r="R35">
        <f>januari2025!Q35</f>
        <v>1</v>
      </c>
      <c r="S35">
        <f>Tabel24256789101112131415171618192120222326[[#This Row],[Stand Hot Water einde maand]]-Tabel24256789101112131415171618192120222326[[#This Row],[Hot Water vorige maand]]</f>
        <v>0</v>
      </c>
      <c r="T35" s="53">
        <v>2777</v>
      </c>
      <c r="U35">
        <f>januari2025!T35</f>
        <v>2615</v>
      </c>
      <c r="V35">
        <f>Tabel24256789101112131415171618192120222326[[#This Row],[Stand Cappucino einde maand]]-Tabel24256789101112131415171618192120222326[[#This Row],[Stand Cappucino vorige maand]]</f>
        <v>162</v>
      </c>
      <c r="W35" s="53">
        <v>870</v>
      </c>
      <c r="X35">
        <f>januari2025!W35</f>
        <v>826</v>
      </c>
      <c r="Y35">
        <f>Tabel24256789101112131415171618192120222326[[#This Row],[Stand Cappucino Plantaardig einde maand]]-Tabel24256789101112131415171618192120222326[[#This Row],[Stand Cappucino Plantaardig vorige maand]]</f>
        <v>44</v>
      </c>
      <c r="Z35" s="53">
        <v>566</v>
      </c>
      <c r="AA35">
        <f>januari2025!Z35</f>
        <v>564</v>
      </c>
      <c r="AB35">
        <f>Tabel24256789101112131415171618192120222326[[#This Row],[Stand Latte Macchiato Plantaardig einde maand]]-Tabel24256789101112131415171618192120222326[[#This Row],[Stand Latte Macchiato Plantaardig vorige maand]]</f>
        <v>2</v>
      </c>
      <c r="AC35" s="71">
        <f>Tabel24256789101112131415171618192120222326[[#This Row],[Verbruik Stand Latte Macchiato Plantaardig deze maand]]+Tabel24256789101112131415171618192120222326[[#This Row],[Verbruik  Cappucino Plantaardig deze maand]]+Tabel24256789101112131415171618192120222326[[#This Row],[Verbruik Cappucino deze maand]]+Tabel24256789101112131415171618192120222326[[#This Row],[Verbruik Hot Water deze maand]]+Tabel24256789101112131415171618192120222326[[#This Row],[Verbruik Coffee Latte deze maand]]+Tabel24256789101112131415171618192120222326[[#This Row],[Verbruik Latte Macchiato deze maand]]+Tabel24256789101112131415171618192120222326[[#This Row],[Verbruik Espresso deze maand]]+Tabel24256789101112131415171618192120222326[[#This Row],[Verbruik Coffee deze maand]]</f>
        <v>747</v>
      </c>
      <c r="AD35" s="53">
        <v>190.4</v>
      </c>
      <c r="AE35">
        <f>januari2025!AD35</f>
        <v>186</v>
      </c>
      <c r="AF35">
        <f>Tabel24256789101112131415171618192120222326[[#This Row],[Stand Kamertemp liter einde maand]]-Tabel24256789101112131415171618192120222326[[#This Row],[Stand Kamertemp liter vorige maand]]</f>
        <v>4.4000000000000057</v>
      </c>
      <c r="AG35" s="2">
        <f>Tabel24256789101112131415171618192120222326[[#This Row],[Verbruik Kamertemp liter deze maand]]/0.15</f>
        <v>29.333333333333371</v>
      </c>
      <c r="AH35" s="53">
        <v>875.7</v>
      </c>
      <c r="AI35">
        <f>januari2025!AH35</f>
        <v>850.8</v>
      </c>
      <c r="AJ35">
        <f>Tabel24256789101112131415171618192120222326[[#This Row],[Stand Gekoeld liter einde maand]]-Tabel24256789101112131415171618192120222326[[#This Row],[Stand Gekoeld liter vorige maand]]</f>
        <v>24.900000000000091</v>
      </c>
      <c r="AK35" s="2">
        <f>Tabel24256789101112131415171618192120222326[[#This Row],[Verbruik Gekoeld liter deze maand]]/0.15</f>
        <v>166.00000000000063</v>
      </c>
      <c r="AL35" s="53">
        <v>863.9</v>
      </c>
      <c r="AM35">
        <f>januari2025!AL35</f>
        <v>828.3</v>
      </c>
      <c r="AN35">
        <f>Tabel24256789101112131415171618192120222326[[#This Row],[Stand Bruisend liter einde maand]]-Tabel24256789101112131415171618192120222326[[#This Row],[Stand Bruisend liter vorige maand]]</f>
        <v>35.600000000000023</v>
      </c>
      <c r="AO35" s="2">
        <f>Tabel24256789101112131415171618192120222326[[#This Row],[Verbruik Bruisend liter deze maand]]/0.15</f>
        <v>237.33333333333348</v>
      </c>
      <c r="AP35" s="53">
        <v>319.3</v>
      </c>
      <c r="AQ35">
        <f>januari2025!AP35</f>
        <v>299.3</v>
      </c>
      <c r="AR35">
        <f>Tabel24256789101112131415171618192120222326[[#This Row],[Stand licht bruisend liter einde maand]]-Tabel24256789101112131415171618192120222326[[#This Row],[Stand licht bruisend liter vorige maand]]</f>
        <v>20</v>
      </c>
      <c r="AS35" s="2">
        <f>Tabel24256789101112131415171618192120222326[[#This Row],[Verbruik licht bruisend liter deze maand]]/0.15</f>
        <v>133.33333333333334</v>
      </c>
      <c r="AT35" s="53">
        <v>5780.1</v>
      </c>
      <c r="AU35">
        <f>januari2025!AT35</f>
        <v>5470.1</v>
      </c>
      <c r="AV35">
        <f>Tabel24256789101112131415171618192120222326[[#This Row],[Stand heet water liter einde maand]]-Tabel24256789101112131415171618192120222326[[#This Row],[Stand heet water liter vorige maand]]</f>
        <v>310</v>
      </c>
      <c r="AW35" s="2">
        <f>Tabel24256789101112131415171618192120222326[[#This Row],[Verbruik heet Water liter deze maand ]]/0.15</f>
        <v>2066.666666666667</v>
      </c>
      <c r="AX35" s="77">
        <f>Tabel24256789101112131415171618192120222326[[#This Row],[Aantal consumpties heet water deze maand]]+Tabel24256789101112131415171618192120222326[[#This Row],[Aantal consumpties licht bruisend water deze maand]]+Tabel24256789101112131415171618192120222326[[#This Row],[aantal consumpties Bruisend water deze maand]]+Tabel24256789101112131415171618192120222326[[#This Row],[Aantal consumpties gekoeld water deze maand]]+Tabel24256789101112131415171618192120222326[[#This Row],[Aantal consumpties Kamertemp deze maand]]</f>
        <v>2632.6666666666679</v>
      </c>
      <c r="AY35" s="95">
        <f>Tabel24256789101112131415171618192120222326[[#This Row],[Subtotaal waterbar in consumpties]]+Tabel24256789101112131415171618192120222326[[#This Row],[Subtotaal koffieautomaten]]</f>
        <v>3379.6666666666679</v>
      </c>
    </row>
    <row r="36" spans="1:130" x14ac:dyDescent="0.25">
      <c r="A36" s="65" t="s">
        <v>54</v>
      </c>
      <c r="B36" t="s">
        <v>84</v>
      </c>
      <c r="C36" t="s">
        <v>31</v>
      </c>
      <c r="E36">
        <v>11726</v>
      </c>
      <c r="F36">
        <f>januari2025!E36</f>
        <v>11126</v>
      </c>
      <c r="G36">
        <f>Tabel24256789101112131415171618192120222326[[#This Row],[Stand Coffee einde maand]]-Tabel24256789101112131415171618192120222326[[#This Row],[Coffee vorige maand]]</f>
        <v>600</v>
      </c>
      <c r="H36" s="53">
        <v>1942</v>
      </c>
      <c r="I36">
        <f>januari2025!H36</f>
        <v>1880</v>
      </c>
      <c r="J36">
        <f>Tabel24256789101112131415171618192120222326[[#This Row],[Stand Espresso Einde maand]]-Tabel24256789101112131415171618192120222326[[#This Row],[Espresso vorige maand]]</f>
        <v>62</v>
      </c>
      <c r="K36" s="53">
        <v>1119</v>
      </c>
      <c r="L36">
        <f>januari2025!K36</f>
        <v>1053</v>
      </c>
      <c r="M36">
        <f>Tabel24256789101112131415171618192120222326[[#This Row],[Stand Latte Macchiato einde maand]]-Tabel24256789101112131415171618192120222326[[#This Row],[Latte Macchiato vorige maand]]</f>
        <v>66</v>
      </c>
      <c r="N36" s="53">
        <v>344</v>
      </c>
      <c r="O36">
        <f>januari2025!N36</f>
        <v>333</v>
      </c>
      <c r="P36">
        <f>Tabel24256789101112131415171618192120222326[[#This Row],[Stand Coffee Latte einde maand]]-Tabel24256789101112131415171618192120222326[[#This Row],[Coffee Latte vorige maand]]</f>
        <v>11</v>
      </c>
      <c r="Q36" s="53">
        <v>16799</v>
      </c>
      <c r="R36">
        <f>januari2025!Q36</f>
        <v>16070</v>
      </c>
      <c r="S36">
        <f>Tabel24256789101112131415171618192120222326[[#This Row],[Stand Hot Water einde maand]]-Tabel24256789101112131415171618192120222326[[#This Row],[Hot Water vorige maand]]</f>
        <v>729</v>
      </c>
      <c r="T36" s="53">
        <v>3849</v>
      </c>
      <c r="U36">
        <f>januari2025!T36</f>
        <v>3661</v>
      </c>
      <c r="V36">
        <f>Tabel24256789101112131415171618192120222326[[#This Row],[Stand Cappucino einde maand]]-Tabel24256789101112131415171618192120222326[[#This Row],[Stand Cappucino vorige maand]]</f>
        <v>188</v>
      </c>
      <c r="W36" s="53">
        <v>563</v>
      </c>
      <c r="X36">
        <f>januari2025!W36</f>
        <v>547</v>
      </c>
      <c r="Y36">
        <f>Tabel24256789101112131415171618192120222326[[#This Row],[Stand Cappucino Plantaardig einde maand]]-Tabel24256789101112131415171618192120222326[[#This Row],[Stand Cappucino Plantaardig vorige maand]]</f>
        <v>16</v>
      </c>
      <c r="Z36" s="53">
        <v>720</v>
      </c>
      <c r="AA36">
        <f>januari2025!Z36</f>
        <v>667</v>
      </c>
      <c r="AB36">
        <f>Tabel24256789101112131415171618192120222326[[#This Row],[Stand Latte Macchiato Plantaardig einde maand]]-Tabel24256789101112131415171618192120222326[[#This Row],[Stand Latte Macchiato Plantaardig vorige maand]]</f>
        <v>53</v>
      </c>
      <c r="AC36" s="71">
        <f>Tabel24256789101112131415171618192120222326[[#This Row],[Verbruik Stand Latte Macchiato Plantaardig deze maand]]+Tabel24256789101112131415171618192120222326[[#This Row],[Verbruik  Cappucino Plantaardig deze maand]]+Tabel24256789101112131415171618192120222326[[#This Row],[Verbruik Cappucino deze maand]]+Tabel24256789101112131415171618192120222326[[#This Row],[Verbruik Hot Water deze maand]]+Tabel24256789101112131415171618192120222326[[#This Row],[Verbruik Coffee Latte deze maand]]+Tabel24256789101112131415171618192120222326[[#This Row],[Verbruik Latte Macchiato deze maand]]+Tabel24256789101112131415171618192120222326[[#This Row],[Verbruik Espresso deze maand]]+Tabel24256789101112131415171618192120222326[[#This Row],[Verbruik Coffee deze maand]]</f>
        <v>1725</v>
      </c>
      <c r="AD36" s="69"/>
      <c r="AE36" s="41"/>
      <c r="AF36" s="5"/>
      <c r="AG36" s="5"/>
      <c r="AH36" s="75"/>
      <c r="AI36" s="41"/>
      <c r="AJ36" s="5"/>
      <c r="AK36" s="5"/>
      <c r="AL36" s="75"/>
      <c r="AM36" s="41"/>
      <c r="AN36" s="5"/>
      <c r="AO36" s="5"/>
      <c r="AP36" s="75"/>
      <c r="AQ36" s="41"/>
      <c r="AR36" s="5"/>
      <c r="AS36" s="5"/>
      <c r="AT36" s="75"/>
      <c r="AU36" s="41"/>
      <c r="AV36" s="5"/>
      <c r="AW36" s="5"/>
      <c r="AX36" s="79"/>
      <c r="AY36" s="95">
        <f>Tabel24256789101112131415171618192120222326[[#This Row],[Subtotaal waterbar in consumpties]]+Tabel24256789101112131415171618192120222326[[#This Row],[Subtotaal koffieautomaten]]</f>
        <v>1725</v>
      </c>
    </row>
    <row r="37" spans="1:130" x14ac:dyDescent="0.25">
      <c r="A37" s="65" t="s">
        <v>56</v>
      </c>
      <c r="B37" t="s">
        <v>85</v>
      </c>
      <c r="C37" t="s">
        <v>36</v>
      </c>
      <c r="E37" s="46"/>
      <c r="F37" s="46"/>
      <c r="G37" s="47"/>
      <c r="H37" s="54"/>
      <c r="I37" s="46"/>
      <c r="J37" s="47"/>
      <c r="K37" s="54"/>
      <c r="L37" s="46"/>
      <c r="M37" s="47"/>
      <c r="N37" s="54"/>
      <c r="O37" s="46"/>
      <c r="P37" s="47"/>
      <c r="Q37" s="54"/>
      <c r="R37" s="46"/>
      <c r="S37" s="47"/>
      <c r="T37" s="54"/>
      <c r="U37" s="46"/>
      <c r="V37" s="47"/>
      <c r="W37" s="54"/>
      <c r="X37" s="46"/>
      <c r="Y37" s="47"/>
      <c r="Z37" s="54"/>
      <c r="AA37" s="46"/>
      <c r="AB37" s="47"/>
      <c r="AC37" s="72"/>
      <c r="AD37" s="53">
        <v>114.2</v>
      </c>
      <c r="AE37">
        <f>januari2025!AD37</f>
        <v>96.9</v>
      </c>
      <c r="AF37">
        <f>Tabel24256789101112131415171618192120222326[[#This Row],[Stand Kamertemp liter einde maand]]-Tabel24256789101112131415171618192120222326[[#This Row],[Stand Kamertemp liter vorige maand]]</f>
        <v>17.299999999999997</v>
      </c>
      <c r="AG37" s="2">
        <f>Tabel24256789101112131415171618192120222326[[#This Row],[Verbruik Kamertemp liter deze maand]]/0.15</f>
        <v>115.33333333333331</v>
      </c>
      <c r="AH37" s="53">
        <v>634.20000000000005</v>
      </c>
      <c r="AI37">
        <f>januari2025!AH37</f>
        <v>599.4</v>
      </c>
      <c r="AJ37">
        <f>Tabel24256789101112131415171618192120222326[[#This Row],[Stand Gekoeld liter einde maand]]-Tabel24256789101112131415171618192120222326[[#This Row],[Stand Gekoeld liter vorige maand]]</f>
        <v>34.800000000000068</v>
      </c>
      <c r="AK37" s="2">
        <f>Tabel24256789101112131415171618192120222326[[#This Row],[Verbruik Gekoeld liter deze maand]]/0.15</f>
        <v>232.00000000000045</v>
      </c>
      <c r="AL37" s="53">
        <v>395</v>
      </c>
      <c r="AM37">
        <f>januari2025!AL37</f>
        <v>366.7</v>
      </c>
      <c r="AN37">
        <f>Tabel24256789101112131415171618192120222326[[#This Row],[Stand Bruisend liter einde maand]]-Tabel24256789101112131415171618192120222326[[#This Row],[Stand Bruisend liter vorige maand]]</f>
        <v>28.300000000000011</v>
      </c>
      <c r="AO37" s="2">
        <f>Tabel24256789101112131415171618192120222326[[#This Row],[Verbruik Bruisend liter deze maand]]/0.15</f>
        <v>188.66666666666674</v>
      </c>
      <c r="AP37" s="53">
        <v>258.3</v>
      </c>
      <c r="AQ37">
        <f>januari2025!AP37</f>
        <v>248.7</v>
      </c>
      <c r="AR37">
        <f>Tabel24256789101112131415171618192120222326[[#This Row],[Stand licht bruisend liter einde maand]]-Tabel24256789101112131415171618192120222326[[#This Row],[Stand licht bruisend liter vorige maand]]</f>
        <v>9.6000000000000227</v>
      </c>
      <c r="AS37" s="2">
        <f>Tabel24256789101112131415171618192120222326[[#This Row],[Verbruik licht bruisend liter deze maand]]/0.15</f>
        <v>64.000000000000156</v>
      </c>
      <c r="AT37" s="53">
        <v>1896.2</v>
      </c>
      <c r="AU37">
        <f>januari2025!AT37</f>
        <v>1709</v>
      </c>
      <c r="AV37">
        <f>Tabel24256789101112131415171618192120222326[[#This Row],[Stand heet water liter einde maand]]-Tabel24256789101112131415171618192120222326[[#This Row],[Stand heet water liter vorige maand]]</f>
        <v>187.20000000000005</v>
      </c>
      <c r="AW37" s="2">
        <f>Tabel24256789101112131415171618192120222326[[#This Row],[Verbruik heet Water liter deze maand ]]/0.15</f>
        <v>1248.0000000000005</v>
      </c>
      <c r="AX37" s="77">
        <f>Tabel24256789101112131415171618192120222326[[#This Row],[Aantal consumpties heet water deze maand]]+Tabel24256789101112131415171618192120222326[[#This Row],[Aantal consumpties licht bruisend water deze maand]]+Tabel24256789101112131415171618192120222326[[#This Row],[aantal consumpties Bruisend water deze maand]]+Tabel24256789101112131415171618192120222326[[#This Row],[Aantal consumpties gekoeld water deze maand]]+Tabel24256789101112131415171618192120222326[[#This Row],[Aantal consumpties Kamertemp deze maand]]</f>
        <v>1848.0000000000011</v>
      </c>
      <c r="AY37" s="95">
        <f>Tabel24256789101112131415171618192120222326[[#This Row],[Subtotaal waterbar in consumpties]]+Tabel24256789101112131415171618192120222326[[#This Row],[Subtotaal koffieautomaten]]</f>
        <v>1848.0000000000011</v>
      </c>
    </row>
    <row r="38" spans="1:130" x14ac:dyDescent="0.25">
      <c r="A38" s="65" t="s">
        <v>58</v>
      </c>
      <c r="B38" t="s">
        <v>86</v>
      </c>
      <c r="C38" t="s">
        <v>47</v>
      </c>
      <c r="E38">
        <v>11510</v>
      </c>
      <c r="F38">
        <f>januari2025!E38</f>
        <v>11120</v>
      </c>
      <c r="G38">
        <f>Tabel24256789101112131415171618192120222326[[#This Row],[Stand Coffee einde maand]]-Tabel24256789101112131415171618192120222326[[#This Row],[Coffee vorige maand]]</f>
        <v>390</v>
      </c>
      <c r="H38" s="53">
        <v>3469</v>
      </c>
      <c r="I38">
        <f>januari2025!H38</f>
        <v>3442</v>
      </c>
      <c r="J38">
        <f>Tabel24256789101112131415171618192120222326[[#This Row],[Stand Espresso Einde maand]]-Tabel24256789101112131415171618192120222326[[#This Row],[Espresso vorige maand]]</f>
        <v>27</v>
      </c>
      <c r="K38" s="53">
        <v>1874</v>
      </c>
      <c r="L38">
        <f>januari2025!K38</f>
        <v>1791</v>
      </c>
      <c r="M38">
        <f>Tabel24256789101112131415171618192120222326[[#This Row],[Stand Latte Macchiato einde maand]]-Tabel24256789101112131415171618192120222326[[#This Row],[Latte Macchiato vorige maand]]</f>
        <v>83</v>
      </c>
      <c r="N38" s="53">
        <v>977</v>
      </c>
      <c r="O38">
        <f>januari2025!N38</f>
        <v>948</v>
      </c>
      <c r="P38">
        <f>Tabel24256789101112131415171618192120222326[[#This Row],[Stand Coffee Latte einde maand]]-Tabel24256789101112131415171618192120222326[[#This Row],[Coffee Latte vorige maand]]</f>
        <v>29</v>
      </c>
      <c r="Q38" s="53">
        <v>1088</v>
      </c>
      <c r="R38">
        <f>januari2025!Q38</f>
        <v>991</v>
      </c>
      <c r="S38">
        <f>Tabel24256789101112131415171618192120222326[[#This Row],[Stand Hot Water einde maand]]-Tabel24256789101112131415171618192120222326[[#This Row],[Hot Water vorige maand]]</f>
        <v>97</v>
      </c>
      <c r="T38" s="53">
        <v>6099</v>
      </c>
      <c r="U38">
        <f>januari2025!T38</f>
        <v>5911</v>
      </c>
      <c r="V38">
        <f>Tabel24256789101112131415171618192120222326[[#This Row],[Stand Cappucino einde maand]]-Tabel24256789101112131415171618192120222326[[#This Row],[Stand Cappucino vorige maand]]</f>
        <v>188</v>
      </c>
      <c r="W38" s="53">
        <v>886</v>
      </c>
      <c r="X38">
        <f>januari2025!W38</f>
        <v>861</v>
      </c>
      <c r="Y38">
        <f>Tabel24256789101112131415171618192120222326[[#This Row],[Stand Cappucino Plantaardig einde maand]]-Tabel24256789101112131415171618192120222326[[#This Row],[Stand Cappucino Plantaardig vorige maand]]</f>
        <v>25</v>
      </c>
      <c r="Z38" s="53">
        <v>736</v>
      </c>
      <c r="AA38">
        <f>januari2025!Z38</f>
        <v>712</v>
      </c>
      <c r="AB38">
        <f>Tabel24256789101112131415171618192120222326[[#This Row],[Stand Latte Macchiato Plantaardig einde maand]]-Tabel24256789101112131415171618192120222326[[#This Row],[Stand Latte Macchiato Plantaardig vorige maand]]</f>
        <v>24</v>
      </c>
      <c r="AC38" s="71">
        <f>Tabel24256789101112131415171618192120222326[[#This Row],[Verbruik Stand Latte Macchiato Plantaardig deze maand]]+Tabel24256789101112131415171618192120222326[[#This Row],[Verbruik  Cappucino Plantaardig deze maand]]+Tabel24256789101112131415171618192120222326[[#This Row],[Verbruik Cappucino deze maand]]+Tabel24256789101112131415171618192120222326[[#This Row],[Verbruik Hot Water deze maand]]+Tabel24256789101112131415171618192120222326[[#This Row],[Verbruik Coffee Latte deze maand]]+Tabel24256789101112131415171618192120222326[[#This Row],[Verbruik Latte Macchiato deze maand]]+Tabel24256789101112131415171618192120222326[[#This Row],[Verbruik Espresso deze maand]]+Tabel24256789101112131415171618192120222326[[#This Row],[Verbruik Coffee deze maand]]</f>
        <v>863</v>
      </c>
      <c r="AD38" s="53">
        <v>97.7</v>
      </c>
      <c r="AE38">
        <f>januari2025!AD38</f>
        <v>83</v>
      </c>
      <c r="AF38">
        <f>Tabel24256789101112131415171618192120222326[[#This Row],[Stand Kamertemp liter einde maand]]-Tabel24256789101112131415171618192120222326[[#This Row],[Stand Kamertemp liter vorige maand]]</f>
        <v>14.700000000000003</v>
      </c>
      <c r="AG38" s="2">
        <f>Tabel24256789101112131415171618192120222326[[#This Row],[Verbruik Kamertemp liter deze maand]]/0.15</f>
        <v>98.000000000000028</v>
      </c>
      <c r="AH38" s="53">
        <v>416.6</v>
      </c>
      <c r="AI38">
        <f>januari2025!AH38</f>
        <v>378.1</v>
      </c>
      <c r="AJ38">
        <f>Tabel24256789101112131415171618192120222326[[#This Row],[Stand Gekoeld liter einde maand]]-Tabel24256789101112131415171618192120222326[[#This Row],[Stand Gekoeld liter vorige maand]]</f>
        <v>38.5</v>
      </c>
      <c r="AK38" s="2">
        <f>Tabel24256789101112131415171618192120222326[[#This Row],[Verbruik Gekoeld liter deze maand]]/0.15</f>
        <v>256.66666666666669</v>
      </c>
      <c r="AL38" s="53">
        <v>351.7</v>
      </c>
      <c r="AM38">
        <f>januari2025!AL38</f>
        <v>315.10000000000002</v>
      </c>
      <c r="AN38">
        <f>Tabel24256789101112131415171618192120222326[[#This Row],[Stand Bruisend liter einde maand]]-Tabel24256789101112131415171618192120222326[[#This Row],[Stand Bruisend liter vorige maand]]</f>
        <v>36.599999999999966</v>
      </c>
      <c r="AO38" s="2">
        <f>Tabel24256789101112131415171618192120222326[[#This Row],[Verbruik Bruisend liter deze maand]]/0.15</f>
        <v>243.99999999999977</v>
      </c>
      <c r="AP38" s="53">
        <v>113</v>
      </c>
      <c r="AQ38">
        <f>januari2025!AP38</f>
        <v>107.8</v>
      </c>
      <c r="AR38">
        <f>Tabel24256789101112131415171618192120222326[[#This Row],[Stand licht bruisend liter einde maand]]-Tabel24256789101112131415171618192120222326[[#This Row],[Stand licht bruisend liter vorige maand]]</f>
        <v>5.2000000000000028</v>
      </c>
      <c r="AS38" s="2">
        <f>Tabel24256789101112131415171618192120222326[[#This Row],[Verbruik licht bruisend liter deze maand]]/0.15</f>
        <v>34.666666666666686</v>
      </c>
      <c r="AT38" s="53">
        <v>1367.7</v>
      </c>
      <c r="AU38">
        <f>januari2025!AT38</f>
        <v>1170.0999999999999</v>
      </c>
      <c r="AV38">
        <f>Tabel24256789101112131415171618192120222326[[#This Row],[Stand heet water liter einde maand]]-Tabel24256789101112131415171618192120222326[[#This Row],[Stand heet water liter vorige maand]]</f>
        <v>197.60000000000014</v>
      </c>
      <c r="AW38" s="2">
        <f>Tabel24256789101112131415171618192120222326[[#This Row],[Verbruik heet Water liter deze maand ]]/0.15</f>
        <v>1317.3333333333344</v>
      </c>
      <c r="AX38" s="77">
        <f>Tabel24256789101112131415171618192120222326[[#This Row],[Aantal consumpties heet water deze maand]]+Tabel24256789101112131415171618192120222326[[#This Row],[Aantal consumpties licht bruisend water deze maand]]+Tabel24256789101112131415171618192120222326[[#This Row],[aantal consumpties Bruisend water deze maand]]+Tabel24256789101112131415171618192120222326[[#This Row],[Aantal consumpties gekoeld water deze maand]]+Tabel24256789101112131415171618192120222326[[#This Row],[Aantal consumpties Kamertemp deze maand]]</f>
        <v>1950.6666666666677</v>
      </c>
      <c r="AY38" s="95">
        <f>Tabel24256789101112131415171618192120222326[[#This Row],[Subtotaal waterbar in consumpties]]+Tabel24256789101112131415171618192120222326[[#This Row],[Subtotaal koffieautomaten]]</f>
        <v>2813.6666666666679</v>
      </c>
    </row>
    <row r="39" spans="1:130" x14ac:dyDescent="0.25">
      <c r="A39" s="65" t="s">
        <v>60</v>
      </c>
      <c r="B39" t="s">
        <v>87</v>
      </c>
      <c r="C39" t="s">
        <v>31</v>
      </c>
      <c r="E39">
        <v>6085</v>
      </c>
      <c r="F39">
        <f>januari2025!E39</f>
        <v>5816</v>
      </c>
      <c r="G39">
        <f>Tabel24256789101112131415171618192120222326[[#This Row],[Stand Coffee einde maand]]-Tabel24256789101112131415171618192120222326[[#This Row],[Coffee vorige maand]]</f>
        <v>269</v>
      </c>
      <c r="H39" s="53">
        <v>1000</v>
      </c>
      <c r="I39">
        <f>januari2025!H39</f>
        <v>973</v>
      </c>
      <c r="J39">
        <f>Tabel24256789101112131415171618192120222326[[#This Row],[Stand Espresso Einde maand]]-Tabel24256789101112131415171618192120222326[[#This Row],[Espresso vorige maand]]</f>
        <v>27</v>
      </c>
      <c r="K39" s="53">
        <v>655</v>
      </c>
      <c r="L39">
        <f>januari2025!K39</f>
        <v>643</v>
      </c>
      <c r="M39">
        <f>Tabel24256789101112131415171618192120222326[[#This Row],[Stand Latte Macchiato einde maand]]-Tabel24256789101112131415171618192120222326[[#This Row],[Latte Macchiato vorige maand]]</f>
        <v>12</v>
      </c>
      <c r="N39" s="53">
        <v>760</v>
      </c>
      <c r="O39">
        <f>januari2025!N39</f>
        <v>720</v>
      </c>
      <c r="P39">
        <f>Tabel24256789101112131415171618192120222326[[#This Row],[Stand Coffee Latte einde maand]]-Tabel24256789101112131415171618192120222326[[#This Row],[Coffee Latte vorige maand]]</f>
        <v>40</v>
      </c>
      <c r="Q39" s="53">
        <v>16718</v>
      </c>
      <c r="R39">
        <f>januari2025!Q39</f>
        <v>15983</v>
      </c>
      <c r="S39">
        <f>Tabel24256789101112131415171618192120222326[[#This Row],[Stand Hot Water einde maand]]-Tabel24256789101112131415171618192120222326[[#This Row],[Hot Water vorige maand]]</f>
        <v>735</v>
      </c>
      <c r="T39" s="53">
        <v>3976</v>
      </c>
      <c r="U39">
        <f>januari2025!T39</f>
        <v>3824</v>
      </c>
      <c r="V39">
        <f>Tabel24256789101112131415171618192120222326[[#This Row],[Stand Cappucino einde maand]]-Tabel24256789101112131415171618192120222326[[#This Row],[Stand Cappucino vorige maand]]</f>
        <v>152</v>
      </c>
      <c r="W39" s="53">
        <v>329</v>
      </c>
      <c r="X39">
        <f>januari2025!W39</f>
        <v>322</v>
      </c>
      <c r="Y39">
        <f>Tabel24256789101112131415171618192120222326[[#This Row],[Stand Cappucino Plantaardig einde maand]]-Tabel24256789101112131415171618192120222326[[#This Row],[Stand Cappucino Plantaardig vorige maand]]</f>
        <v>7</v>
      </c>
      <c r="Z39" s="53">
        <v>211</v>
      </c>
      <c r="AA39">
        <f>januari2025!Z39</f>
        <v>209</v>
      </c>
      <c r="AB39">
        <f>Tabel24256789101112131415171618192120222326[[#This Row],[Stand Latte Macchiato Plantaardig einde maand]]-Tabel24256789101112131415171618192120222326[[#This Row],[Stand Latte Macchiato Plantaardig vorige maand]]</f>
        <v>2</v>
      </c>
      <c r="AC39" s="71">
        <f>Tabel24256789101112131415171618192120222326[[#This Row],[Verbruik Stand Latte Macchiato Plantaardig deze maand]]+Tabel24256789101112131415171618192120222326[[#This Row],[Verbruik  Cappucino Plantaardig deze maand]]+Tabel24256789101112131415171618192120222326[[#This Row],[Verbruik Cappucino deze maand]]+Tabel24256789101112131415171618192120222326[[#This Row],[Verbruik Hot Water deze maand]]+Tabel24256789101112131415171618192120222326[[#This Row],[Verbruik Coffee Latte deze maand]]+Tabel24256789101112131415171618192120222326[[#This Row],[Verbruik Latte Macchiato deze maand]]+Tabel24256789101112131415171618192120222326[[#This Row],[Verbruik Espresso deze maand]]+Tabel24256789101112131415171618192120222326[[#This Row],[Verbruik Coffee deze maand]]</f>
        <v>1244</v>
      </c>
      <c r="AD39" s="69"/>
      <c r="AE39" s="41"/>
      <c r="AF39" s="5"/>
      <c r="AG39" s="5"/>
      <c r="AH39" s="75"/>
      <c r="AI39" s="41"/>
      <c r="AJ39" s="5"/>
      <c r="AK39" s="5"/>
      <c r="AL39" s="75"/>
      <c r="AM39" s="41"/>
      <c r="AN39" s="5"/>
      <c r="AO39" s="5"/>
      <c r="AP39" s="75"/>
      <c r="AQ39" s="41"/>
      <c r="AR39" s="5"/>
      <c r="AS39" s="5"/>
      <c r="AT39" s="75"/>
      <c r="AU39" s="41"/>
      <c r="AV39" s="5"/>
      <c r="AW39" s="5"/>
      <c r="AX39" s="79"/>
      <c r="AY39" s="95">
        <f>Tabel24256789101112131415171618192120222326[[#This Row],[Subtotaal waterbar in consumpties]]+Tabel24256789101112131415171618192120222326[[#This Row],[Subtotaal koffieautomaten]]</f>
        <v>1244</v>
      </c>
    </row>
    <row r="40" spans="1:130" s="81" customFormat="1" x14ac:dyDescent="0.25">
      <c r="A40" s="80" t="s">
        <v>88</v>
      </c>
      <c r="D40" s="82"/>
      <c r="H40" s="86"/>
      <c r="K40" s="86"/>
      <c r="N40" s="86"/>
      <c r="Q40" s="86"/>
      <c r="T40" s="86"/>
      <c r="W40" s="86"/>
      <c r="Z40" s="86"/>
      <c r="AC40" s="85"/>
      <c r="AD40" s="86"/>
      <c r="AG40" s="87"/>
      <c r="AH40" s="86"/>
      <c r="AK40" s="87"/>
      <c r="AL40" s="86"/>
      <c r="AO40" s="87"/>
      <c r="AP40" s="86"/>
      <c r="AS40" s="87"/>
      <c r="AT40" s="86"/>
      <c r="AW40" s="87"/>
      <c r="AX40" s="88"/>
      <c r="AY40" s="94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</row>
    <row r="41" spans="1:130" x14ac:dyDescent="0.25">
      <c r="A41" s="65" t="s">
        <v>39</v>
      </c>
      <c r="B41" t="s">
        <v>89</v>
      </c>
      <c r="C41" t="s">
        <v>47</v>
      </c>
      <c r="E41">
        <v>7175</v>
      </c>
      <c r="F41">
        <f>januari2025!E41</f>
        <v>6648</v>
      </c>
      <c r="G41" s="40">
        <f>Tabel24256789101112131415171618192120222326[[#This Row],[Stand Coffee einde maand]]-Tabel24256789101112131415171618192120222326[[#This Row],[Coffee vorige maand]]</f>
        <v>527</v>
      </c>
      <c r="H41" s="53">
        <v>1729</v>
      </c>
      <c r="I41">
        <f>januari2025!H41</f>
        <v>1551</v>
      </c>
      <c r="J41" s="40">
        <f>Tabel24256789101112131415171618192120222326[[#This Row],[Stand Espresso Einde maand]]-Tabel24256789101112131415171618192120222326[[#This Row],[Espresso vorige maand]]</f>
        <v>178</v>
      </c>
      <c r="K41" s="53">
        <v>889</v>
      </c>
      <c r="L41">
        <f>januari2025!K41</f>
        <v>820</v>
      </c>
      <c r="M41" s="40">
        <f>Tabel24256789101112131415171618192120222326[[#This Row],[Stand Latte Macchiato einde maand]]-Tabel24256789101112131415171618192120222326[[#This Row],[Latte Macchiato vorige maand]]</f>
        <v>69</v>
      </c>
      <c r="N41" s="53">
        <v>504</v>
      </c>
      <c r="O41">
        <f>januari2025!N41</f>
        <v>486</v>
      </c>
      <c r="P41" s="40">
        <f>Tabel24256789101112131415171618192120222326[[#This Row],[Stand Coffee Latte einde maand]]-Tabel24256789101112131415171618192120222326[[#This Row],[Coffee Latte vorige maand]]</f>
        <v>18</v>
      </c>
      <c r="Q41" s="53">
        <v>3411</v>
      </c>
      <c r="R41">
        <f>januari2025!Q41</f>
        <v>3190</v>
      </c>
      <c r="S41" s="40">
        <f>Tabel24256789101112131415171618192120222326[[#This Row],[Stand Hot Water einde maand]]-Tabel24256789101112131415171618192120222326[[#This Row],[Hot Water vorige maand]]</f>
        <v>221</v>
      </c>
      <c r="T41" s="53">
        <v>5675</v>
      </c>
      <c r="U41">
        <f>januari2025!T41</f>
        <v>5211</v>
      </c>
      <c r="V41" s="40">
        <f>Tabel24256789101112131415171618192120222326[[#This Row],[Stand Cappucino einde maand]]-Tabel24256789101112131415171618192120222326[[#This Row],[Stand Cappucino vorige maand]]</f>
        <v>464</v>
      </c>
      <c r="W41" s="53">
        <v>467</v>
      </c>
      <c r="X41">
        <f>januari2025!W41</f>
        <v>430</v>
      </c>
      <c r="Y41" s="40">
        <f>Tabel24256789101112131415171618192120222326[[#This Row],[Stand Cappucino Plantaardig einde maand]]-Tabel24256789101112131415171618192120222326[[#This Row],[Stand Cappucino Plantaardig vorige maand]]</f>
        <v>37</v>
      </c>
      <c r="Z41" s="53">
        <v>169</v>
      </c>
      <c r="AA41">
        <f>januari2025!Z41</f>
        <v>157</v>
      </c>
      <c r="AB41" s="40">
        <f>Tabel24256789101112131415171618192120222326[[#This Row],[Stand Latte Macchiato Plantaardig einde maand]]-Tabel24256789101112131415171618192120222326[[#This Row],[Stand Latte Macchiato Plantaardig vorige maand]]</f>
        <v>12</v>
      </c>
      <c r="AC41" s="73">
        <f>Tabel24256789101112131415171618192120222326[[#This Row],[Verbruik Stand Latte Macchiato Plantaardig deze maand]]+Tabel24256789101112131415171618192120222326[[#This Row],[Verbruik  Cappucino Plantaardig deze maand]]+Tabel24256789101112131415171618192120222326[[#This Row],[Verbruik Cappucino deze maand]]+Tabel24256789101112131415171618192120222326[[#This Row],[Verbruik Hot Water deze maand]]+Tabel24256789101112131415171618192120222326[[#This Row],[Verbruik Coffee Latte deze maand]]+Tabel24256789101112131415171618192120222326[[#This Row],[Verbruik Latte Macchiato deze maand]]+Tabel24256789101112131415171618192120222326[[#This Row],[Verbruik Espresso deze maand]]+Tabel24256789101112131415171618192120222326[[#This Row],[Verbruik Coffee deze maand]]</f>
        <v>1526</v>
      </c>
      <c r="AD41" s="53">
        <v>125.4</v>
      </c>
      <c r="AE41">
        <f>januari2025!AD41</f>
        <v>110.3</v>
      </c>
      <c r="AF41">
        <f>Tabel24256789101112131415171618192120222326[[#This Row],[Stand Kamertemp liter einde maand]]-Tabel24256789101112131415171618192120222326[[#This Row],[Stand Kamertemp liter vorige maand]]</f>
        <v>15.100000000000009</v>
      </c>
      <c r="AG41" s="2">
        <f>Tabel24256789101112131415171618192120222326[[#This Row],[Verbruik Kamertemp liter deze maand]]/0.15</f>
        <v>100.66666666666673</v>
      </c>
      <c r="AH41" s="53">
        <v>780.1</v>
      </c>
      <c r="AI41">
        <f>januari2025!AH41</f>
        <v>668.3</v>
      </c>
      <c r="AJ41">
        <f>Tabel24256789101112131415171618192120222326[[#This Row],[Stand Gekoeld liter einde maand]]-Tabel24256789101112131415171618192120222326[[#This Row],[Stand Gekoeld liter vorige maand]]</f>
        <v>111.80000000000007</v>
      </c>
      <c r="AK41" s="2">
        <f>Tabel24256789101112131415171618192120222326[[#This Row],[Verbruik Gekoeld liter deze maand]]/0.15</f>
        <v>745.33333333333383</v>
      </c>
      <c r="AL41" s="53">
        <v>284.3</v>
      </c>
      <c r="AM41">
        <f>januari2025!AL41</f>
        <v>209.9</v>
      </c>
      <c r="AN41">
        <f>Tabel24256789101112131415171618192120222326[[#This Row],[Stand Bruisend liter einde maand]]-Tabel24256789101112131415171618192120222326[[#This Row],[Stand Bruisend liter vorige maand]]</f>
        <v>74.400000000000006</v>
      </c>
      <c r="AO41" s="2">
        <f>Tabel24256789101112131415171618192120222326[[#This Row],[Verbruik Bruisend liter deze maand]]/0.15</f>
        <v>496.00000000000006</v>
      </c>
      <c r="AP41" s="53">
        <v>109.6</v>
      </c>
      <c r="AQ41">
        <f>januari2025!AP41</f>
        <v>84.6</v>
      </c>
      <c r="AR41">
        <f>Tabel24256789101112131415171618192120222326[[#This Row],[Stand licht bruisend liter einde maand]]-Tabel24256789101112131415171618192120222326[[#This Row],[Stand licht bruisend liter vorige maand]]</f>
        <v>25</v>
      </c>
      <c r="AS41" s="2">
        <f>Tabel24256789101112131415171618192120222326[[#This Row],[Verbruik licht bruisend liter deze maand]]/0.15</f>
        <v>166.66666666666669</v>
      </c>
      <c r="AT41" s="53">
        <v>364.7</v>
      </c>
      <c r="AU41">
        <f>januari2025!AT41</f>
        <v>298.89999999999998</v>
      </c>
      <c r="AV41">
        <f>Tabel24256789101112131415171618192120222326[[#This Row],[Stand heet water liter einde maand]]-Tabel24256789101112131415171618192120222326[[#This Row],[Stand heet water liter vorige maand]]</f>
        <v>65.800000000000011</v>
      </c>
      <c r="AW41" s="2">
        <f>Tabel24256789101112131415171618192120222326[[#This Row],[Verbruik heet Water liter deze maand ]]/0.15</f>
        <v>438.66666666666674</v>
      </c>
      <c r="AX41" s="77">
        <f>Tabel24256789101112131415171618192120222326[[#This Row],[Aantal consumpties heet water deze maand]]+Tabel24256789101112131415171618192120222326[[#This Row],[Aantal consumpties licht bruisend water deze maand]]+Tabel24256789101112131415171618192120222326[[#This Row],[aantal consumpties Bruisend water deze maand]]+Tabel24256789101112131415171618192120222326[[#This Row],[Aantal consumpties gekoeld water deze maand]]+Tabel24256789101112131415171618192120222326[[#This Row],[Aantal consumpties Kamertemp deze maand]]</f>
        <v>1947.3333333333342</v>
      </c>
      <c r="AY41" s="95">
        <f>Tabel24256789101112131415171618192120222326[[#This Row],[Subtotaal waterbar in consumpties]]+Tabel24256789101112131415171618192120222326[[#This Row],[Subtotaal koffieautomaten]]</f>
        <v>3473.3333333333339</v>
      </c>
    </row>
    <row r="42" spans="1:130" x14ac:dyDescent="0.25">
      <c r="A42" s="65" t="s">
        <v>41</v>
      </c>
      <c r="B42" t="s">
        <v>90</v>
      </c>
      <c r="C42" t="s">
        <v>31</v>
      </c>
      <c r="E42">
        <v>12592</v>
      </c>
      <c r="F42">
        <f>januari2025!E42</f>
        <v>12176</v>
      </c>
      <c r="G42">
        <f>Tabel24256789101112131415171618192120222326[[#This Row],[Stand Coffee einde maand]]-Tabel24256789101112131415171618192120222326[[#This Row],[Coffee vorige maand]]</f>
        <v>416</v>
      </c>
      <c r="H42" s="53">
        <v>4233</v>
      </c>
      <c r="I42">
        <f>januari2025!H42</f>
        <v>4123</v>
      </c>
      <c r="J42">
        <f>Tabel24256789101112131415171618192120222326[[#This Row],[Stand Espresso Einde maand]]-Tabel24256789101112131415171618192120222326[[#This Row],[Espresso vorige maand]]</f>
        <v>110</v>
      </c>
      <c r="K42" s="53">
        <v>1088</v>
      </c>
      <c r="L42">
        <f>januari2025!K42</f>
        <v>1073</v>
      </c>
      <c r="M42">
        <f>Tabel24256789101112131415171618192120222326[[#This Row],[Stand Latte Macchiato einde maand]]-Tabel24256789101112131415171618192120222326[[#This Row],[Latte Macchiato vorige maand]]</f>
        <v>15</v>
      </c>
      <c r="N42" s="53">
        <v>1968</v>
      </c>
      <c r="O42">
        <f>januari2025!N42</f>
        <v>1854</v>
      </c>
      <c r="P42">
        <f>Tabel24256789101112131415171618192120222326[[#This Row],[Stand Coffee Latte einde maand]]-Tabel24256789101112131415171618192120222326[[#This Row],[Coffee Latte vorige maand]]</f>
        <v>114</v>
      </c>
      <c r="Q42" s="53">
        <v>36456</v>
      </c>
      <c r="R42">
        <f>januari2025!Q42</f>
        <v>34737</v>
      </c>
      <c r="S42">
        <f>Tabel24256789101112131415171618192120222326[[#This Row],[Stand Hot Water einde maand]]-Tabel24256789101112131415171618192120222326[[#This Row],[Hot Water vorige maand]]</f>
        <v>1719</v>
      </c>
      <c r="T42" s="53">
        <v>5550</v>
      </c>
      <c r="U42">
        <f>januari2025!T42</f>
        <v>5320</v>
      </c>
      <c r="V42">
        <f>Tabel24256789101112131415171618192120222326[[#This Row],[Stand Cappucino einde maand]]-Tabel24256789101112131415171618192120222326[[#This Row],[Stand Cappucino vorige maand]]</f>
        <v>230</v>
      </c>
      <c r="W42" s="53">
        <v>435</v>
      </c>
      <c r="X42">
        <f>januari2025!W42</f>
        <v>423</v>
      </c>
      <c r="Y42">
        <f>Tabel24256789101112131415171618192120222326[[#This Row],[Stand Cappucino Plantaardig einde maand]]-Tabel24256789101112131415171618192120222326[[#This Row],[Stand Cappucino Plantaardig vorige maand]]</f>
        <v>12</v>
      </c>
      <c r="Z42" s="53">
        <v>323</v>
      </c>
      <c r="AA42">
        <f>januari2025!Z42</f>
        <v>275</v>
      </c>
      <c r="AB42">
        <f>Tabel24256789101112131415171618192120222326[[#This Row],[Stand Latte Macchiato Plantaardig einde maand]]-Tabel24256789101112131415171618192120222326[[#This Row],[Stand Latte Macchiato Plantaardig vorige maand]]</f>
        <v>48</v>
      </c>
      <c r="AC42" s="71">
        <f>Tabel24256789101112131415171618192120222326[[#This Row],[Verbruik Stand Latte Macchiato Plantaardig deze maand]]+Tabel24256789101112131415171618192120222326[[#This Row],[Verbruik  Cappucino Plantaardig deze maand]]+Tabel24256789101112131415171618192120222326[[#This Row],[Verbruik Cappucino deze maand]]+Tabel24256789101112131415171618192120222326[[#This Row],[Verbruik Hot Water deze maand]]+Tabel24256789101112131415171618192120222326[[#This Row],[Verbruik Coffee Latte deze maand]]+Tabel24256789101112131415171618192120222326[[#This Row],[Verbruik Latte Macchiato deze maand]]+Tabel24256789101112131415171618192120222326[[#This Row],[Verbruik Espresso deze maand]]+Tabel24256789101112131415171618192120222326[[#This Row],[Verbruik Coffee deze maand]]</f>
        <v>2664</v>
      </c>
      <c r="AD42" s="69"/>
      <c r="AE42" s="41"/>
      <c r="AF42" s="5"/>
      <c r="AG42" s="5"/>
      <c r="AH42" s="75"/>
      <c r="AI42" s="41"/>
      <c r="AJ42" s="5"/>
      <c r="AK42" s="5"/>
      <c r="AL42" s="75"/>
      <c r="AM42" s="41"/>
      <c r="AN42" s="5"/>
      <c r="AO42" s="5"/>
      <c r="AP42" s="75"/>
      <c r="AQ42" s="41"/>
      <c r="AR42" s="5"/>
      <c r="AS42" s="5"/>
      <c r="AT42" s="75"/>
      <c r="AU42" s="41"/>
      <c r="AV42" s="5"/>
      <c r="AW42" s="5"/>
      <c r="AX42" s="79"/>
      <c r="AY42" s="95">
        <f>Tabel24256789101112131415171618192120222326[[#This Row],[Subtotaal waterbar in consumpties]]+Tabel24256789101112131415171618192120222326[[#This Row],[Subtotaal koffieautomaten]]</f>
        <v>2664</v>
      </c>
    </row>
    <row r="43" spans="1:130" x14ac:dyDescent="0.25">
      <c r="A43" s="65" t="s">
        <v>43</v>
      </c>
      <c r="B43" t="s">
        <v>91</v>
      </c>
      <c r="C43" t="s">
        <v>47</v>
      </c>
      <c r="E43">
        <v>13858</v>
      </c>
      <c r="F43">
        <f>januari2025!E43</f>
        <v>13266</v>
      </c>
      <c r="G43">
        <f>Tabel24256789101112131415171618192120222326[[#This Row],[Stand Coffee einde maand]]-Tabel24256789101112131415171618192120222326[[#This Row],[Coffee vorige maand]]</f>
        <v>592</v>
      </c>
      <c r="H43" s="53">
        <v>2762</v>
      </c>
      <c r="I43">
        <f>januari2025!H43</f>
        <v>2636</v>
      </c>
      <c r="J43">
        <f>Tabel24256789101112131415171618192120222326[[#This Row],[Stand Espresso Einde maand]]-Tabel24256789101112131415171618192120222326[[#This Row],[Espresso vorige maand]]</f>
        <v>126</v>
      </c>
      <c r="K43" s="53">
        <v>582</v>
      </c>
      <c r="L43">
        <f>januari2025!K43</f>
        <v>574</v>
      </c>
      <c r="M43">
        <f>Tabel24256789101112131415171618192120222326[[#This Row],[Stand Latte Macchiato einde maand]]-Tabel24256789101112131415171618192120222326[[#This Row],[Latte Macchiato vorige maand]]</f>
        <v>8</v>
      </c>
      <c r="N43" s="53">
        <v>1178</v>
      </c>
      <c r="O43">
        <f>januari2025!N43</f>
        <v>1144</v>
      </c>
      <c r="P43">
        <f>Tabel24256789101112131415171618192120222326[[#This Row],[Stand Coffee Latte einde maand]]-Tabel24256789101112131415171618192120222326[[#This Row],[Coffee Latte vorige maand]]</f>
        <v>34</v>
      </c>
      <c r="Q43" s="53">
        <v>1479</v>
      </c>
      <c r="R43">
        <f>januari2025!Q43</f>
        <v>1433</v>
      </c>
      <c r="S43">
        <f>Tabel24256789101112131415171618192120222326[[#This Row],[Stand Hot Water einde maand]]-Tabel24256789101112131415171618192120222326[[#This Row],[Hot Water vorige maand]]</f>
        <v>46</v>
      </c>
      <c r="T43" s="53">
        <v>4286</v>
      </c>
      <c r="U43">
        <f>januari2025!T43</f>
        <v>4104</v>
      </c>
      <c r="V43">
        <f>Tabel24256789101112131415171618192120222326[[#This Row],[Stand Cappucino einde maand]]-Tabel24256789101112131415171618192120222326[[#This Row],[Stand Cappucino vorige maand]]</f>
        <v>182</v>
      </c>
      <c r="W43" s="53">
        <v>3243</v>
      </c>
      <c r="X43">
        <f>januari2025!W43</f>
        <v>3178</v>
      </c>
      <c r="Y43">
        <f>Tabel24256789101112131415171618192120222326[[#This Row],[Stand Cappucino Plantaardig einde maand]]-Tabel24256789101112131415171618192120222326[[#This Row],[Stand Cappucino Plantaardig vorige maand]]</f>
        <v>65</v>
      </c>
      <c r="Z43" s="53">
        <v>379</v>
      </c>
      <c r="AA43">
        <f>januari2025!Z43</f>
        <v>363</v>
      </c>
      <c r="AB43">
        <f>Tabel24256789101112131415171618192120222326[[#This Row],[Stand Latte Macchiato Plantaardig einde maand]]-Tabel24256789101112131415171618192120222326[[#This Row],[Stand Latte Macchiato Plantaardig vorige maand]]</f>
        <v>16</v>
      </c>
      <c r="AC43" s="71">
        <f>Tabel24256789101112131415171618192120222326[[#This Row],[Verbruik Stand Latte Macchiato Plantaardig deze maand]]+Tabel24256789101112131415171618192120222326[[#This Row],[Verbruik  Cappucino Plantaardig deze maand]]+Tabel24256789101112131415171618192120222326[[#This Row],[Verbruik Cappucino deze maand]]+Tabel24256789101112131415171618192120222326[[#This Row],[Verbruik Hot Water deze maand]]+Tabel24256789101112131415171618192120222326[[#This Row],[Verbruik Coffee Latte deze maand]]+Tabel24256789101112131415171618192120222326[[#This Row],[Verbruik Latte Macchiato deze maand]]+Tabel24256789101112131415171618192120222326[[#This Row],[Verbruik Espresso deze maand]]+Tabel24256789101112131415171618192120222326[[#This Row],[Verbruik Coffee deze maand]]</f>
        <v>1069</v>
      </c>
      <c r="AD43" s="53">
        <v>170</v>
      </c>
      <c r="AE43">
        <f>januari2025!AD43</f>
        <v>135.19999999999999</v>
      </c>
      <c r="AF43">
        <f>Tabel24256789101112131415171618192120222326[[#This Row],[Stand Kamertemp liter einde maand]]-Tabel24256789101112131415171618192120222326[[#This Row],[Stand Kamertemp liter vorige maand]]</f>
        <v>34.800000000000011</v>
      </c>
      <c r="AG43" s="2">
        <f>Tabel24256789101112131415171618192120222326[[#This Row],[Verbruik Kamertemp liter deze maand]]/0.15</f>
        <v>232.00000000000009</v>
      </c>
      <c r="AH43" s="53">
        <v>1150.5</v>
      </c>
      <c r="AI43">
        <f>januari2025!AH43</f>
        <v>981.5</v>
      </c>
      <c r="AJ43">
        <f>Tabel24256789101112131415171618192120222326[[#This Row],[Stand Gekoeld liter einde maand]]-Tabel24256789101112131415171618192120222326[[#This Row],[Stand Gekoeld liter vorige maand]]</f>
        <v>169</v>
      </c>
      <c r="AK43" s="2">
        <f>Tabel24256789101112131415171618192120222326[[#This Row],[Verbruik Gekoeld liter deze maand]]/0.15</f>
        <v>1126.6666666666667</v>
      </c>
      <c r="AL43" s="53">
        <v>804</v>
      </c>
      <c r="AM43">
        <f>januari2025!AL43</f>
        <v>713.1</v>
      </c>
      <c r="AN43">
        <f>Tabel24256789101112131415171618192120222326[[#This Row],[Stand Bruisend liter einde maand]]-Tabel24256789101112131415171618192120222326[[#This Row],[Stand Bruisend liter vorige maand]]</f>
        <v>90.899999999999977</v>
      </c>
      <c r="AO43" s="2">
        <f>Tabel24256789101112131415171618192120222326[[#This Row],[Verbruik Bruisend liter deze maand]]/0.15</f>
        <v>605.99999999999989</v>
      </c>
      <c r="AP43" s="53">
        <v>292</v>
      </c>
      <c r="AQ43">
        <f>januari2025!AP43</f>
        <v>237.2</v>
      </c>
      <c r="AR43">
        <f>Tabel24256789101112131415171618192120222326[[#This Row],[Stand licht bruisend liter einde maand]]-Tabel24256789101112131415171618192120222326[[#This Row],[Stand licht bruisend liter vorige maand]]</f>
        <v>54.800000000000011</v>
      </c>
      <c r="AS43" s="2">
        <f>Tabel24256789101112131415171618192120222326[[#This Row],[Verbruik licht bruisend liter deze maand]]/0.15</f>
        <v>365.33333333333343</v>
      </c>
      <c r="AT43" s="53">
        <v>3153.7</v>
      </c>
      <c r="AU43">
        <f>januari2025!AT43</f>
        <v>2672.2</v>
      </c>
      <c r="AV43">
        <f>Tabel24256789101112131415171618192120222326[[#This Row],[Stand heet water liter einde maand]]-Tabel24256789101112131415171618192120222326[[#This Row],[Stand heet water liter vorige maand]]</f>
        <v>481.5</v>
      </c>
      <c r="AW43" s="2">
        <f>Tabel24256789101112131415171618192120222326[[#This Row],[Verbruik heet Water liter deze maand ]]/0.15</f>
        <v>3210</v>
      </c>
      <c r="AX43" s="77">
        <f>Tabel24256789101112131415171618192120222326[[#This Row],[Aantal consumpties heet water deze maand]]+Tabel24256789101112131415171618192120222326[[#This Row],[Aantal consumpties licht bruisend water deze maand]]+Tabel24256789101112131415171618192120222326[[#This Row],[aantal consumpties Bruisend water deze maand]]+Tabel24256789101112131415171618192120222326[[#This Row],[Aantal consumpties gekoeld water deze maand]]+Tabel24256789101112131415171618192120222326[[#This Row],[Aantal consumpties Kamertemp deze maand]]</f>
        <v>5540</v>
      </c>
      <c r="AY43" s="95">
        <f>Tabel24256789101112131415171618192120222326[[#This Row],[Subtotaal waterbar in consumpties]]+Tabel24256789101112131415171618192120222326[[#This Row],[Subtotaal koffieautomaten]]</f>
        <v>6609</v>
      </c>
    </row>
    <row r="44" spans="1:130" x14ac:dyDescent="0.25">
      <c r="A44" s="65" t="s">
        <v>45</v>
      </c>
      <c r="B44" t="s">
        <v>92</v>
      </c>
      <c r="C44" t="s">
        <v>36</v>
      </c>
      <c r="E44" s="46"/>
      <c r="F44" s="46"/>
      <c r="G44" s="47"/>
      <c r="H44" s="54"/>
      <c r="I44" s="46"/>
      <c r="J44" s="47"/>
      <c r="K44" s="54"/>
      <c r="L44" s="46"/>
      <c r="M44" s="47"/>
      <c r="N44" s="54"/>
      <c r="O44" s="46"/>
      <c r="P44" s="47"/>
      <c r="Q44" s="54"/>
      <c r="R44" s="46"/>
      <c r="S44" s="47"/>
      <c r="T44" s="54"/>
      <c r="U44" s="46"/>
      <c r="V44" s="47"/>
      <c r="W44" s="54"/>
      <c r="X44" s="46"/>
      <c r="Y44" s="47"/>
      <c r="Z44" s="54"/>
      <c r="AA44" s="46"/>
      <c r="AB44" s="47"/>
      <c r="AC44" s="72"/>
      <c r="AD44" s="53">
        <v>126.5</v>
      </c>
      <c r="AE44">
        <f>januari2025!AD44</f>
        <v>108.3</v>
      </c>
      <c r="AF44">
        <f>Tabel24256789101112131415171618192120222326[[#This Row],[Stand Kamertemp liter einde maand]]-Tabel24256789101112131415171618192120222326[[#This Row],[Stand Kamertemp liter vorige maand]]</f>
        <v>18.200000000000003</v>
      </c>
      <c r="AG44" s="2">
        <f>Tabel24256789101112131415171618192120222326[[#This Row],[Verbruik Kamertemp liter deze maand]]/0.15</f>
        <v>121.33333333333336</v>
      </c>
      <c r="AH44" s="53">
        <v>357</v>
      </c>
      <c r="AI44">
        <f>januari2025!AH44</f>
        <v>296.60000000000002</v>
      </c>
      <c r="AJ44">
        <f>Tabel24256789101112131415171618192120222326[[#This Row],[Stand Gekoeld liter einde maand]]-Tabel24256789101112131415171618192120222326[[#This Row],[Stand Gekoeld liter vorige maand]]</f>
        <v>60.399999999999977</v>
      </c>
      <c r="AK44" s="2">
        <f>Tabel24256789101112131415171618192120222326[[#This Row],[Verbruik Gekoeld liter deze maand]]/0.15</f>
        <v>402.66666666666652</v>
      </c>
      <c r="AL44" s="53">
        <v>378.7</v>
      </c>
      <c r="AM44">
        <f>januari2025!AL44</f>
        <v>306.89999999999998</v>
      </c>
      <c r="AN44">
        <f>Tabel24256789101112131415171618192120222326[[#This Row],[Stand Bruisend liter einde maand]]-Tabel24256789101112131415171618192120222326[[#This Row],[Stand Bruisend liter vorige maand]]</f>
        <v>71.800000000000011</v>
      </c>
      <c r="AO44" s="2">
        <f>Tabel24256789101112131415171618192120222326[[#This Row],[Verbruik Bruisend liter deze maand]]/0.15</f>
        <v>478.66666666666674</v>
      </c>
      <c r="AP44" s="53">
        <v>75.900000000000006</v>
      </c>
      <c r="AQ44">
        <f>januari2025!AP44</f>
        <v>61.6</v>
      </c>
      <c r="AR44">
        <f>Tabel24256789101112131415171618192120222326[[#This Row],[Stand licht bruisend liter einde maand]]-Tabel24256789101112131415171618192120222326[[#This Row],[Stand licht bruisend liter vorige maand]]</f>
        <v>14.300000000000004</v>
      </c>
      <c r="AS44" s="2">
        <f>Tabel24256789101112131415171618192120222326[[#This Row],[Verbruik licht bruisend liter deze maand]]/0.15</f>
        <v>95.333333333333371</v>
      </c>
      <c r="AT44" s="53">
        <v>1331.7</v>
      </c>
      <c r="AU44">
        <f>januari2025!AT44</f>
        <v>1086.5</v>
      </c>
      <c r="AV44">
        <f>Tabel24256789101112131415171618192120222326[[#This Row],[Stand heet water liter einde maand]]-Tabel24256789101112131415171618192120222326[[#This Row],[Stand heet water liter vorige maand]]</f>
        <v>245.20000000000005</v>
      </c>
      <c r="AW44" s="2">
        <f>Tabel24256789101112131415171618192120222326[[#This Row],[Verbruik heet Water liter deze maand ]]/0.15</f>
        <v>1634.666666666667</v>
      </c>
      <c r="AX44" s="77">
        <f>Tabel24256789101112131415171618192120222326[[#This Row],[Aantal consumpties heet water deze maand]]+Tabel24256789101112131415171618192120222326[[#This Row],[Aantal consumpties licht bruisend water deze maand]]+Tabel24256789101112131415171618192120222326[[#This Row],[aantal consumpties Bruisend water deze maand]]+Tabel24256789101112131415171618192120222326[[#This Row],[Aantal consumpties gekoeld water deze maand]]+Tabel24256789101112131415171618192120222326[[#This Row],[Aantal consumpties Kamertemp deze maand]]</f>
        <v>2732.666666666667</v>
      </c>
      <c r="AY44" s="95">
        <f>Tabel24256789101112131415171618192120222326[[#This Row],[Subtotaal waterbar in consumpties]]+Tabel24256789101112131415171618192120222326[[#This Row],[Subtotaal koffieautomaten]]</f>
        <v>2732.666666666667</v>
      </c>
    </row>
    <row r="45" spans="1:130" x14ac:dyDescent="0.25">
      <c r="A45" s="65" t="s">
        <v>48</v>
      </c>
      <c r="B45" t="s">
        <v>158</v>
      </c>
      <c r="C45" t="s">
        <v>31</v>
      </c>
      <c r="E45">
        <v>23380</v>
      </c>
      <c r="F45">
        <f>januari2025!E45</f>
        <v>22181</v>
      </c>
      <c r="G45">
        <f>Tabel24256789101112131415171618192120222326[[#This Row],[Stand Coffee einde maand]]-Tabel24256789101112131415171618192120222326[[#This Row],[Coffee vorige maand]]</f>
        <v>1199</v>
      </c>
      <c r="H45" s="53">
        <v>5976</v>
      </c>
      <c r="I45">
        <f>januari2025!H45</f>
        <v>5733</v>
      </c>
      <c r="J45">
        <f>Tabel24256789101112131415171618192120222326[[#This Row],[Stand Espresso Einde maand]]-Tabel24256789101112131415171618192120222326[[#This Row],[Espresso vorige maand]]</f>
        <v>243</v>
      </c>
      <c r="K45" s="53">
        <v>2321</v>
      </c>
      <c r="L45">
        <f>januari2025!K45</f>
        <v>2207</v>
      </c>
      <c r="M45">
        <f>Tabel24256789101112131415171618192120222326[[#This Row],[Stand Latte Macchiato einde maand]]-Tabel24256789101112131415171618192120222326[[#This Row],[Latte Macchiato vorige maand]]</f>
        <v>114</v>
      </c>
      <c r="N45" s="53">
        <v>519</v>
      </c>
      <c r="O45">
        <f>januari2025!N45</f>
        <v>496</v>
      </c>
      <c r="P45">
        <f>Tabel24256789101112131415171618192120222326[[#This Row],[Stand Coffee Latte einde maand]]-Tabel24256789101112131415171618192120222326[[#This Row],[Coffee Latte vorige maand]]</f>
        <v>23</v>
      </c>
      <c r="Q45" s="53">
        <v>22526</v>
      </c>
      <c r="R45">
        <f>januari2025!Q45</f>
        <v>21455</v>
      </c>
      <c r="S45">
        <f>Tabel24256789101112131415171618192120222326[[#This Row],[Stand Hot Water einde maand]]-Tabel24256789101112131415171618192120222326[[#This Row],[Hot Water vorige maand]]</f>
        <v>1071</v>
      </c>
      <c r="T45" s="53">
        <v>8530</v>
      </c>
      <c r="U45">
        <f>januari2025!T45</f>
        <v>8202</v>
      </c>
      <c r="V45">
        <f>Tabel24256789101112131415171618192120222326[[#This Row],[Stand Cappucino einde maand]]-Tabel24256789101112131415171618192120222326[[#This Row],[Stand Cappucino vorige maand]]</f>
        <v>328</v>
      </c>
      <c r="W45" s="53">
        <v>1473</v>
      </c>
      <c r="X45">
        <f>januari2025!W45</f>
        <v>1418</v>
      </c>
      <c r="Y45">
        <f>Tabel24256789101112131415171618192120222326[[#This Row],[Stand Cappucino Plantaardig einde maand]]-Tabel24256789101112131415171618192120222326[[#This Row],[Stand Cappucino Plantaardig vorige maand]]</f>
        <v>55</v>
      </c>
      <c r="Z45" s="53">
        <v>1071</v>
      </c>
      <c r="AA45">
        <f>januari2025!Z45</f>
        <v>1022</v>
      </c>
      <c r="AB45">
        <f>Tabel24256789101112131415171618192120222326[[#This Row],[Stand Latte Macchiato Plantaardig einde maand]]-Tabel24256789101112131415171618192120222326[[#This Row],[Stand Latte Macchiato Plantaardig vorige maand]]</f>
        <v>49</v>
      </c>
      <c r="AC45" s="71">
        <f>Tabel24256789101112131415171618192120222326[[#This Row],[Verbruik Stand Latte Macchiato Plantaardig deze maand]]+Tabel24256789101112131415171618192120222326[[#This Row],[Verbruik  Cappucino Plantaardig deze maand]]+Tabel24256789101112131415171618192120222326[[#This Row],[Verbruik Cappucino deze maand]]+Tabel24256789101112131415171618192120222326[[#This Row],[Verbruik Hot Water deze maand]]+Tabel24256789101112131415171618192120222326[[#This Row],[Verbruik Coffee Latte deze maand]]+Tabel24256789101112131415171618192120222326[[#This Row],[Verbruik Latte Macchiato deze maand]]+Tabel24256789101112131415171618192120222326[[#This Row],[Verbruik Espresso deze maand]]+Tabel24256789101112131415171618192120222326[[#This Row],[Verbruik Coffee deze maand]]</f>
        <v>3082</v>
      </c>
      <c r="AD45" s="69"/>
      <c r="AE45" s="41"/>
      <c r="AF45" s="5"/>
      <c r="AG45" s="5"/>
      <c r="AH45" s="75"/>
      <c r="AI45" s="41"/>
      <c r="AJ45" s="5"/>
      <c r="AK45" s="5"/>
      <c r="AL45" s="75"/>
      <c r="AM45" s="41"/>
      <c r="AN45" s="5"/>
      <c r="AO45" s="5"/>
      <c r="AP45" s="75"/>
      <c r="AQ45" s="41"/>
      <c r="AR45" s="5"/>
      <c r="AS45" s="5"/>
      <c r="AT45" s="75"/>
      <c r="AU45" s="41"/>
      <c r="AV45" s="5"/>
      <c r="AW45" s="5"/>
      <c r="AX45" s="79"/>
      <c r="AY45" s="95">
        <f>Tabel24256789101112131415171618192120222326[[#This Row],[Subtotaal waterbar in consumpties]]+Tabel24256789101112131415171618192120222326[[#This Row],[Subtotaal koffieautomaten]]</f>
        <v>3082</v>
      </c>
    </row>
    <row r="46" spans="1:130" x14ac:dyDescent="0.25">
      <c r="A46" s="65" t="s">
        <v>50</v>
      </c>
      <c r="B46" t="s">
        <v>93</v>
      </c>
      <c r="C46" t="s">
        <v>36</v>
      </c>
      <c r="E46" s="46"/>
      <c r="F46" s="46"/>
      <c r="G46" s="47"/>
      <c r="H46" s="54"/>
      <c r="I46" s="46"/>
      <c r="J46" s="47"/>
      <c r="K46" s="54"/>
      <c r="L46" s="46"/>
      <c r="M46" s="47"/>
      <c r="N46" s="54"/>
      <c r="O46" s="46"/>
      <c r="P46" s="47"/>
      <c r="Q46" s="54"/>
      <c r="R46" s="46"/>
      <c r="S46" s="47"/>
      <c r="T46" s="54"/>
      <c r="U46" s="46"/>
      <c r="V46" s="47"/>
      <c r="W46" s="54"/>
      <c r="X46" s="46"/>
      <c r="Y46" s="47"/>
      <c r="Z46" s="54"/>
      <c r="AA46" s="46"/>
      <c r="AB46" s="47"/>
      <c r="AC46" s="72"/>
      <c r="AD46" s="53">
        <v>57.7</v>
      </c>
      <c r="AE46">
        <f>januari2025!AD46</f>
        <v>50.1</v>
      </c>
      <c r="AF46">
        <f>Tabel24256789101112131415171618192120222326[[#This Row],[Stand Kamertemp liter einde maand]]-Tabel24256789101112131415171618192120222326[[#This Row],[Stand Kamertemp liter vorige maand]]</f>
        <v>7.6000000000000014</v>
      </c>
      <c r="AG46" s="2">
        <f>Tabel24256789101112131415171618192120222326[[#This Row],[Verbruik Kamertemp liter deze maand]]/0.15</f>
        <v>50.666666666666679</v>
      </c>
      <c r="AH46" s="53">
        <v>367.7</v>
      </c>
      <c r="AI46">
        <f>januari2025!AH46</f>
        <v>317.5</v>
      </c>
      <c r="AJ46">
        <f>Tabel24256789101112131415171618192120222326[[#This Row],[Stand Gekoeld liter einde maand]]-Tabel24256789101112131415171618192120222326[[#This Row],[Stand Gekoeld liter vorige maand]]</f>
        <v>50.199999999999989</v>
      </c>
      <c r="AK46" s="2">
        <f>Tabel24256789101112131415171618192120222326[[#This Row],[Verbruik Gekoeld liter deze maand]]/0.15</f>
        <v>334.66666666666663</v>
      </c>
      <c r="AL46" s="53">
        <v>191</v>
      </c>
      <c r="AM46">
        <f>januari2025!AL46</f>
        <v>170.5</v>
      </c>
      <c r="AN46">
        <f>Tabel24256789101112131415171618192120222326[[#This Row],[Stand Bruisend liter einde maand]]-Tabel24256789101112131415171618192120222326[[#This Row],[Stand Bruisend liter vorige maand]]</f>
        <v>20.5</v>
      </c>
      <c r="AO46" s="2">
        <f>Tabel24256789101112131415171618192120222326[[#This Row],[Verbruik Bruisend liter deze maand]]/0.15</f>
        <v>136.66666666666669</v>
      </c>
      <c r="AP46" s="53">
        <v>79.7</v>
      </c>
      <c r="AQ46">
        <f>januari2025!AP46</f>
        <v>74.3</v>
      </c>
      <c r="AR46">
        <f>Tabel24256789101112131415171618192120222326[[#This Row],[Stand licht bruisend liter einde maand]]-Tabel24256789101112131415171618192120222326[[#This Row],[Stand licht bruisend liter vorige maand]]</f>
        <v>5.4000000000000057</v>
      </c>
      <c r="AS46" s="2">
        <f>Tabel24256789101112131415171618192120222326[[#This Row],[Verbruik licht bruisend liter deze maand]]/0.15</f>
        <v>36.000000000000043</v>
      </c>
      <c r="AT46" s="53">
        <v>996.9</v>
      </c>
      <c r="AU46">
        <f>januari2025!AT46</f>
        <v>900</v>
      </c>
      <c r="AV46">
        <f>Tabel24256789101112131415171618192120222326[[#This Row],[Stand heet water liter einde maand]]-Tabel24256789101112131415171618192120222326[[#This Row],[Stand heet water liter vorige maand]]</f>
        <v>96.899999999999977</v>
      </c>
      <c r="AW46" s="2">
        <f>Tabel24256789101112131415171618192120222326[[#This Row],[Verbruik heet Water liter deze maand ]]/0.15</f>
        <v>645.99999999999989</v>
      </c>
      <c r="AX46" s="77">
        <f>Tabel24256789101112131415171618192120222326[[#This Row],[Aantal consumpties heet water deze maand]]+Tabel24256789101112131415171618192120222326[[#This Row],[Aantal consumpties licht bruisend water deze maand]]+Tabel24256789101112131415171618192120222326[[#This Row],[aantal consumpties Bruisend water deze maand]]+Tabel24256789101112131415171618192120222326[[#This Row],[Aantal consumpties gekoeld water deze maand]]+Tabel24256789101112131415171618192120222326[[#This Row],[Aantal consumpties Kamertemp deze maand]]</f>
        <v>1203.9999999999998</v>
      </c>
      <c r="AY46" s="95">
        <f>Tabel24256789101112131415171618192120222326[[#This Row],[Subtotaal waterbar in consumpties]]+Tabel24256789101112131415171618192120222326[[#This Row],[Subtotaal koffieautomaten]]</f>
        <v>1203.9999999999998</v>
      </c>
    </row>
    <row r="47" spans="1:130" x14ac:dyDescent="0.25">
      <c r="A47" s="67">
        <v>10</v>
      </c>
      <c r="B47" t="s">
        <v>94</v>
      </c>
      <c r="C47" t="s">
        <v>31</v>
      </c>
      <c r="E47">
        <v>8725</v>
      </c>
      <c r="F47">
        <f>januari2025!E47</f>
        <v>8377</v>
      </c>
      <c r="G47">
        <f>Tabel24256789101112131415171618192120222326[[#This Row],[Stand Coffee einde maand]]-Tabel24256789101112131415171618192120222326[[#This Row],[Coffee vorige maand]]</f>
        <v>348</v>
      </c>
      <c r="H47" s="53">
        <v>6735</v>
      </c>
      <c r="I47">
        <f>januari2025!H47</f>
        <v>6440</v>
      </c>
      <c r="J47">
        <f>Tabel24256789101112131415171618192120222326[[#This Row],[Stand Espresso Einde maand]]-Tabel24256789101112131415171618192120222326[[#This Row],[Espresso vorige maand]]</f>
        <v>295</v>
      </c>
      <c r="K47" s="53">
        <v>1134</v>
      </c>
      <c r="L47">
        <f>januari2025!K47</f>
        <v>1097</v>
      </c>
      <c r="M47">
        <f>Tabel24256789101112131415171618192120222326[[#This Row],[Stand Latte Macchiato einde maand]]-Tabel24256789101112131415171618192120222326[[#This Row],[Latte Macchiato vorige maand]]</f>
        <v>37</v>
      </c>
      <c r="N47" s="53">
        <v>819</v>
      </c>
      <c r="O47">
        <f>januari2025!N47</f>
        <v>760</v>
      </c>
      <c r="P47">
        <f>Tabel24256789101112131415171618192120222326[[#This Row],[Stand Coffee Latte einde maand]]-Tabel24256789101112131415171618192120222326[[#This Row],[Coffee Latte vorige maand]]</f>
        <v>59</v>
      </c>
      <c r="Q47" s="53">
        <v>17560</v>
      </c>
      <c r="R47">
        <f>januari2025!Q47</f>
        <v>16654</v>
      </c>
      <c r="S47">
        <f>Tabel24256789101112131415171618192120222326[[#This Row],[Stand Hot Water einde maand]]-Tabel24256789101112131415171618192120222326[[#This Row],[Hot Water vorige maand]]</f>
        <v>906</v>
      </c>
      <c r="T47" s="53">
        <v>7104</v>
      </c>
      <c r="U47">
        <f>januari2025!T47</f>
        <v>6954</v>
      </c>
      <c r="V47">
        <f>Tabel24256789101112131415171618192120222326[[#This Row],[Stand Cappucino einde maand]]-Tabel24256789101112131415171618192120222326[[#This Row],[Stand Cappucino vorige maand]]</f>
        <v>150</v>
      </c>
      <c r="W47" s="53">
        <v>986</v>
      </c>
      <c r="X47">
        <f>januari2025!W47</f>
        <v>973</v>
      </c>
      <c r="Y47">
        <f>Tabel24256789101112131415171618192120222326[[#This Row],[Stand Cappucino Plantaardig einde maand]]-Tabel24256789101112131415171618192120222326[[#This Row],[Stand Cappucino Plantaardig vorige maand]]</f>
        <v>13</v>
      </c>
      <c r="Z47" s="53">
        <v>183</v>
      </c>
      <c r="AA47">
        <f>januari2025!Z47</f>
        <v>174</v>
      </c>
      <c r="AB47">
        <f>Tabel24256789101112131415171618192120222326[[#This Row],[Stand Latte Macchiato Plantaardig einde maand]]-Tabel24256789101112131415171618192120222326[[#This Row],[Stand Latte Macchiato Plantaardig vorige maand]]</f>
        <v>9</v>
      </c>
      <c r="AC47" s="71">
        <f>Tabel24256789101112131415171618192120222326[[#This Row],[Verbruik Stand Latte Macchiato Plantaardig deze maand]]+Tabel24256789101112131415171618192120222326[[#This Row],[Verbruik  Cappucino Plantaardig deze maand]]+Tabel24256789101112131415171618192120222326[[#This Row],[Verbruik Cappucino deze maand]]+Tabel24256789101112131415171618192120222326[[#This Row],[Verbruik Hot Water deze maand]]+Tabel24256789101112131415171618192120222326[[#This Row],[Verbruik Coffee Latte deze maand]]+Tabel24256789101112131415171618192120222326[[#This Row],[Verbruik Latte Macchiato deze maand]]+Tabel24256789101112131415171618192120222326[[#This Row],[Verbruik Espresso deze maand]]+Tabel24256789101112131415171618192120222326[[#This Row],[Verbruik Coffee deze maand]]</f>
        <v>1817</v>
      </c>
      <c r="AD47" s="69"/>
      <c r="AE47" s="41"/>
      <c r="AF47" s="5"/>
      <c r="AG47" s="5"/>
      <c r="AH47" s="75"/>
      <c r="AI47" s="41"/>
      <c r="AJ47" s="5"/>
      <c r="AK47" s="5"/>
      <c r="AL47" s="75"/>
      <c r="AM47" s="41"/>
      <c r="AN47" s="5"/>
      <c r="AO47" s="5"/>
      <c r="AP47" s="75"/>
      <c r="AQ47" s="41"/>
      <c r="AR47" s="5"/>
      <c r="AS47" s="5"/>
      <c r="AT47" s="75"/>
      <c r="AU47" s="41"/>
      <c r="AV47" s="5"/>
      <c r="AW47" s="5"/>
      <c r="AX47" s="79"/>
      <c r="AY47" s="95">
        <f>Tabel24256789101112131415171618192120222326[[#This Row],[Subtotaal waterbar in consumpties]]+Tabel24256789101112131415171618192120222326[[#This Row],[Subtotaal koffieautomaten]]</f>
        <v>1817</v>
      </c>
    </row>
    <row r="48" spans="1:130" x14ac:dyDescent="0.25">
      <c r="A48" s="65" t="s">
        <v>54</v>
      </c>
      <c r="B48" t="s">
        <v>95</v>
      </c>
      <c r="C48" t="s">
        <v>47</v>
      </c>
      <c r="E48">
        <v>10766</v>
      </c>
      <c r="F48">
        <f>januari2025!E48</f>
        <v>10420</v>
      </c>
      <c r="G48">
        <f>Tabel24256789101112131415171618192120222326[[#This Row],[Stand Coffee einde maand]]-Tabel24256789101112131415171618192120222326[[#This Row],[Coffee vorige maand]]</f>
        <v>346</v>
      </c>
      <c r="H48" s="53">
        <v>3293</v>
      </c>
      <c r="I48">
        <f>januari2025!H48</f>
        <v>3157</v>
      </c>
      <c r="J48">
        <f>Tabel24256789101112131415171618192120222326[[#This Row],[Stand Espresso Einde maand]]-Tabel24256789101112131415171618192120222326[[#This Row],[Espresso vorige maand]]</f>
        <v>136</v>
      </c>
      <c r="K48" s="53">
        <v>1017</v>
      </c>
      <c r="L48">
        <f>januari2025!K48</f>
        <v>990</v>
      </c>
      <c r="M48">
        <f>Tabel24256789101112131415171618192120222326[[#This Row],[Stand Latte Macchiato einde maand]]-Tabel24256789101112131415171618192120222326[[#This Row],[Latte Macchiato vorige maand]]</f>
        <v>27</v>
      </c>
      <c r="N48" s="53">
        <v>502</v>
      </c>
      <c r="O48">
        <f>januari2025!N48</f>
        <v>490</v>
      </c>
      <c r="P48">
        <f>Tabel24256789101112131415171618192120222326[[#This Row],[Stand Coffee Latte einde maand]]-Tabel24256789101112131415171618192120222326[[#This Row],[Coffee Latte vorige maand]]</f>
        <v>12</v>
      </c>
      <c r="Q48" s="53">
        <v>0</v>
      </c>
      <c r="R48">
        <f>januari2025!Q48</f>
        <v>0</v>
      </c>
      <c r="S48">
        <v>0</v>
      </c>
      <c r="T48" s="53">
        <v>4926</v>
      </c>
      <c r="U48">
        <f>januari2025!T48</f>
        <v>4751</v>
      </c>
      <c r="V48">
        <f>Tabel24256789101112131415171618192120222326[[#This Row],[Stand Cappucino einde maand]]-Tabel24256789101112131415171618192120222326[[#This Row],[Stand Cappucino vorige maand]]</f>
        <v>175</v>
      </c>
      <c r="W48" s="53">
        <v>1224</v>
      </c>
      <c r="X48">
        <f>januari2025!W48</f>
        <v>1172</v>
      </c>
      <c r="Y48">
        <f>Tabel24256789101112131415171618192120222326[[#This Row],[Stand Cappucino Plantaardig einde maand]]-Tabel24256789101112131415171618192120222326[[#This Row],[Stand Cappucino Plantaardig vorige maand]]</f>
        <v>52</v>
      </c>
      <c r="Z48" s="53">
        <v>693</v>
      </c>
      <c r="AA48">
        <f>januari2025!Z48</f>
        <v>650</v>
      </c>
      <c r="AB48">
        <f>Tabel24256789101112131415171618192120222326[[#This Row],[Stand Latte Macchiato Plantaardig einde maand]]-Tabel24256789101112131415171618192120222326[[#This Row],[Stand Latte Macchiato Plantaardig vorige maand]]</f>
        <v>43</v>
      </c>
      <c r="AC48" s="71">
        <f>Tabel24256789101112131415171618192120222326[[#This Row],[Verbruik Stand Latte Macchiato Plantaardig deze maand]]+Tabel24256789101112131415171618192120222326[[#This Row],[Verbruik  Cappucino Plantaardig deze maand]]+Tabel24256789101112131415171618192120222326[[#This Row],[Verbruik Cappucino deze maand]]+Tabel24256789101112131415171618192120222326[[#This Row],[Verbruik Hot Water deze maand]]+Tabel24256789101112131415171618192120222326[[#This Row],[Verbruik Coffee Latte deze maand]]+Tabel24256789101112131415171618192120222326[[#This Row],[Verbruik Latte Macchiato deze maand]]+Tabel24256789101112131415171618192120222326[[#This Row],[Verbruik Espresso deze maand]]+Tabel24256789101112131415171618192120222326[[#This Row],[Verbruik Coffee deze maand]]</f>
        <v>791</v>
      </c>
      <c r="AD48" s="53">
        <v>99.6</v>
      </c>
      <c r="AE48">
        <f>januari2025!AD48</f>
        <v>86.1</v>
      </c>
      <c r="AF48">
        <f>Tabel24256789101112131415171618192120222326[[#This Row],[Stand Kamertemp liter einde maand]]-Tabel24256789101112131415171618192120222326[[#This Row],[Stand Kamertemp liter vorige maand]]</f>
        <v>13.5</v>
      </c>
      <c r="AG48" s="2">
        <f>Tabel24256789101112131415171618192120222326[[#This Row],[Verbruik Kamertemp liter deze maand]]/0.15</f>
        <v>90</v>
      </c>
      <c r="AH48" s="53">
        <v>973.9</v>
      </c>
      <c r="AI48">
        <f>januari2025!AH48</f>
        <v>891.5</v>
      </c>
      <c r="AJ48">
        <f>Tabel24256789101112131415171618192120222326[[#This Row],[Stand Gekoeld liter einde maand]]-Tabel24256789101112131415171618192120222326[[#This Row],[Stand Gekoeld liter vorige maand]]</f>
        <v>82.399999999999977</v>
      </c>
      <c r="AK48" s="2">
        <f>Tabel24256789101112131415171618192120222326[[#This Row],[Verbruik Gekoeld liter deze maand]]/0.15</f>
        <v>549.33333333333326</v>
      </c>
      <c r="AL48" s="53">
        <v>443.1</v>
      </c>
      <c r="AM48">
        <f>januari2025!AL48</f>
        <v>391.2</v>
      </c>
      <c r="AN48">
        <f>Tabel24256789101112131415171618192120222326[[#This Row],[Stand Bruisend liter einde maand]]-Tabel24256789101112131415171618192120222326[[#This Row],[Stand Bruisend liter vorige maand]]</f>
        <v>51.900000000000034</v>
      </c>
      <c r="AO48" s="2">
        <f>Tabel24256789101112131415171618192120222326[[#This Row],[Verbruik Bruisend liter deze maand]]/0.15</f>
        <v>346.00000000000023</v>
      </c>
      <c r="AP48" s="53">
        <v>184.6</v>
      </c>
      <c r="AQ48">
        <f>januari2025!AP48</f>
        <v>159.19999999999999</v>
      </c>
      <c r="AR48">
        <f>Tabel24256789101112131415171618192120222326[[#This Row],[Stand licht bruisend liter einde maand]]-Tabel24256789101112131415171618192120222326[[#This Row],[Stand licht bruisend liter vorige maand]]</f>
        <v>25.400000000000006</v>
      </c>
      <c r="AS48" s="2">
        <f>Tabel24256789101112131415171618192120222326[[#This Row],[Verbruik licht bruisend liter deze maand]]/0.15</f>
        <v>169.33333333333337</v>
      </c>
      <c r="AT48" s="53">
        <v>1785.4</v>
      </c>
      <c r="AU48">
        <f>januari2025!AT48</f>
        <v>1565.6</v>
      </c>
      <c r="AV48">
        <f>Tabel24256789101112131415171618192120222326[[#This Row],[Stand heet water liter einde maand]]-Tabel24256789101112131415171618192120222326[[#This Row],[Stand heet water liter vorige maand]]</f>
        <v>219.80000000000018</v>
      </c>
      <c r="AW48" s="2">
        <f>Tabel24256789101112131415171618192120222326[[#This Row],[Verbruik heet Water liter deze maand ]]/0.15</f>
        <v>1465.3333333333346</v>
      </c>
      <c r="AX48" s="77">
        <f>Tabel24256789101112131415171618192120222326[[#This Row],[Aantal consumpties heet water deze maand]]+Tabel24256789101112131415171618192120222326[[#This Row],[Aantal consumpties licht bruisend water deze maand]]+Tabel24256789101112131415171618192120222326[[#This Row],[aantal consumpties Bruisend water deze maand]]+Tabel24256789101112131415171618192120222326[[#This Row],[Aantal consumpties gekoeld water deze maand]]+Tabel24256789101112131415171618192120222326[[#This Row],[Aantal consumpties Kamertemp deze maand]]</f>
        <v>2620.0000000000014</v>
      </c>
      <c r="AY48" s="95">
        <f>Tabel24256789101112131415171618192120222326[[#This Row],[Subtotaal waterbar in consumpties]]+Tabel24256789101112131415171618192120222326[[#This Row],[Subtotaal koffieautomaten]]</f>
        <v>3411.0000000000014</v>
      </c>
    </row>
    <row r="49" spans="1:130" x14ac:dyDescent="0.25">
      <c r="A49" s="65" t="s">
        <v>56</v>
      </c>
      <c r="B49" t="s">
        <v>96</v>
      </c>
      <c r="C49" t="s">
        <v>36</v>
      </c>
      <c r="E49" s="46"/>
      <c r="F49" s="46"/>
      <c r="G49" s="47"/>
      <c r="H49" s="54"/>
      <c r="I49" s="46"/>
      <c r="J49" s="47"/>
      <c r="K49" s="54"/>
      <c r="L49" s="46"/>
      <c r="M49" s="47"/>
      <c r="N49" s="54"/>
      <c r="O49" s="46"/>
      <c r="P49" s="47"/>
      <c r="Q49" s="54"/>
      <c r="R49" s="46"/>
      <c r="S49" s="47"/>
      <c r="T49" s="54"/>
      <c r="U49" s="46"/>
      <c r="V49" s="47"/>
      <c r="W49" s="54"/>
      <c r="X49" s="46"/>
      <c r="Y49" s="47"/>
      <c r="Z49" s="54"/>
      <c r="AA49" s="46"/>
      <c r="AB49" s="47"/>
      <c r="AC49" s="72"/>
      <c r="AD49" s="53">
        <v>80.5</v>
      </c>
      <c r="AE49">
        <f>januari2025!AD49</f>
        <v>68.099999999999994</v>
      </c>
      <c r="AF49">
        <f>Tabel24256789101112131415171618192120222326[[#This Row],[Stand Kamertemp liter einde maand]]-Tabel24256789101112131415171618192120222326[[#This Row],[Stand Kamertemp liter vorige maand]]</f>
        <v>12.400000000000006</v>
      </c>
      <c r="AG49" s="2">
        <f>Tabel24256789101112131415171618192120222326[[#This Row],[Verbruik Kamertemp liter deze maand]]/0.15</f>
        <v>82.666666666666714</v>
      </c>
      <c r="AH49" s="53">
        <v>559.29999999999995</v>
      </c>
      <c r="AI49">
        <f>januari2025!AH49</f>
        <v>487.8</v>
      </c>
      <c r="AJ49">
        <f>Tabel24256789101112131415171618192120222326[[#This Row],[Stand Gekoeld liter einde maand]]-Tabel24256789101112131415171618192120222326[[#This Row],[Stand Gekoeld liter vorige maand]]</f>
        <v>71.499999999999943</v>
      </c>
      <c r="AK49" s="2">
        <f>Tabel24256789101112131415171618192120222326[[#This Row],[Verbruik Gekoeld liter deze maand]]/0.15</f>
        <v>476.66666666666629</v>
      </c>
      <c r="AL49" s="53">
        <v>223.7</v>
      </c>
      <c r="AM49">
        <f>januari2025!AL49</f>
        <v>186.9</v>
      </c>
      <c r="AN49">
        <f>Tabel24256789101112131415171618192120222326[[#This Row],[Stand Bruisend liter einde maand]]-Tabel24256789101112131415171618192120222326[[#This Row],[Stand Bruisend liter vorige maand]]</f>
        <v>36.799999999999983</v>
      </c>
      <c r="AO49" s="2">
        <f>Tabel24256789101112131415171618192120222326[[#This Row],[Verbruik Bruisend liter deze maand]]/0.15</f>
        <v>245.33333333333323</v>
      </c>
      <c r="AP49" s="53">
        <v>122.6</v>
      </c>
      <c r="AQ49">
        <f>januari2025!AP49</f>
        <v>85.4</v>
      </c>
      <c r="AR49">
        <f>Tabel24256789101112131415171618192120222326[[#This Row],[Stand licht bruisend liter einde maand]]-Tabel24256789101112131415171618192120222326[[#This Row],[Stand licht bruisend liter vorige maand]]</f>
        <v>37.199999999999989</v>
      </c>
      <c r="AS49" s="2">
        <f>Tabel24256789101112131415171618192120222326[[#This Row],[Verbruik licht bruisend liter deze maand]]/0.15</f>
        <v>247.99999999999994</v>
      </c>
      <c r="AT49" s="53">
        <v>1464</v>
      </c>
      <c r="AU49">
        <f>januari2025!AT49</f>
        <v>1205</v>
      </c>
      <c r="AV49">
        <f>Tabel24256789101112131415171618192120222326[[#This Row],[Stand heet water liter einde maand]]-Tabel24256789101112131415171618192120222326[[#This Row],[Stand heet water liter vorige maand]]</f>
        <v>259</v>
      </c>
      <c r="AW49" s="2">
        <f>Tabel24256789101112131415171618192120222326[[#This Row],[Verbruik heet Water liter deze maand ]]/0.15</f>
        <v>1726.6666666666667</v>
      </c>
      <c r="AX49" s="77">
        <f>Tabel24256789101112131415171618192120222326[[#This Row],[Aantal consumpties heet water deze maand]]+Tabel24256789101112131415171618192120222326[[#This Row],[Aantal consumpties licht bruisend water deze maand]]+Tabel24256789101112131415171618192120222326[[#This Row],[aantal consumpties Bruisend water deze maand]]+Tabel24256789101112131415171618192120222326[[#This Row],[Aantal consumpties gekoeld water deze maand]]+Tabel24256789101112131415171618192120222326[[#This Row],[Aantal consumpties Kamertemp deze maand]]</f>
        <v>2779.3333333333326</v>
      </c>
      <c r="AY49" s="95">
        <f>Tabel24256789101112131415171618192120222326[[#This Row],[Subtotaal waterbar in consumpties]]+Tabel24256789101112131415171618192120222326[[#This Row],[Subtotaal koffieautomaten]]</f>
        <v>2779.3333333333326</v>
      </c>
    </row>
    <row r="50" spans="1:130" x14ac:dyDescent="0.25">
      <c r="A50" s="65" t="s">
        <v>58</v>
      </c>
      <c r="B50" t="s">
        <v>97</v>
      </c>
      <c r="C50" t="s">
        <v>31</v>
      </c>
      <c r="E50">
        <v>12680</v>
      </c>
      <c r="F50">
        <f>januari2025!E50</f>
        <v>11996</v>
      </c>
      <c r="G50">
        <f>Tabel24256789101112131415171618192120222326[[#This Row],[Stand Coffee einde maand]]-Tabel24256789101112131415171618192120222326[[#This Row],[Coffee vorige maand]]</f>
        <v>684</v>
      </c>
      <c r="H50" s="53">
        <v>3503</v>
      </c>
      <c r="I50">
        <f>januari2025!H50</f>
        <v>3341</v>
      </c>
      <c r="J50">
        <f>Tabel24256789101112131415171618192120222326[[#This Row],[Stand Espresso Einde maand]]-Tabel24256789101112131415171618192120222326[[#This Row],[Espresso vorige maand]]</f>
        <v>162</v>
      </c>
      <c r="K50" s="53">
        <v>1381</v>
      </c>
      <c r="L50">
        <f>januari2025!K50</f>
        <v>1337</v>
      </c>
      <c r="M50">
        <f>Tabel24256789101112131415171618192120222326[[#This Row],[Stand Latte Macchiato einde maand]]-Tabel24256789101112131415171618192120222326[[#This Row],[Latte Macchiato vorige maand]]</f>
        <v>44</v>
      </c>
      <c r="N50" s="53">
        <v>1291</v>
      </c>
      <c r="O50">
        <f>januari2025!N50</f>
        <v>1245</v>
      </c>
      <c r="P50">
        <f>Tabel24256789101112131415171618192120222326[[#This Row],[Stand Coffee Latte einde maand]]-Tabel24256789101112131415171618192120222326[[#This Row],[Coffee Latte vorige maand]]</f>
        <v>46</v>
      </c>
      <c r="Q50" s="53">
        <v>12119</v>
      </c>
      <c r="R50">
        <f>januari2025!Q50</f>
        <v>11553</v>
      </c>
      <c r="S50">
        <f>Tabel24256789101112131415171618192120222326[[#This Row],[Stand Hot Water einde maand]]-Tabel24256789101112131415171618192120222326[[#This Row],[Hot Water vorige maand]]</f>
        <v>566</v>
      </c>
      <c r="T50" s="53">
        <v>7760</v>
      </c>
      <c r="U50">
        <f>januari2025!T50</f>
        <v>7375</v>
      </c>
      <c r="V50">
        <f>Tabel24256789101112131415171618192120222326[[#This Row],[Stand Cappucino einde maand]]-Tabel24256789101112131415171618192120222326[[#This Row],[Stand Cappucino vorige maand]]</f>
        <v>385</v>
      </c>
      <c r="W50" s="53">
        <v>1457</v>
      </c>
      <c r="X50">
        <f>januari2025!W50</f>
        <v>1426</v>
      </c>
      <c r="Y50">
        <f>Tabel24256789101112131415171618192120222326[[#This Row],[Stand Cappucino Plantaardig einde maand]]-Tabel24256789101112131415171618192120222326[[#This Row],[Stand Cappucino Plantaardig vorige maand]]</f>
        <v>31</v>
      </c>
      <c r="Z50" s="53">
        <v>316</v>
      </c>
      <c r="AA50">
        <f>januari2025!Z50</f>
        <v>304</v>
      </c>
      <c r="AB50">
        <f>Tabel24256789101112131415171618192120222326[[#This Row],[Stand Latte Macchiato Plantaardig einde maand]]-Tabel24256789101112131415171618192120222326[[#This Row],[Stand Latte Macchiato Plantaardig vorige maand]]</f>
        <v>12</v>
      </c>
      <c r="AC50" s="71">
        <f>Tabel24256789101112131415171618192120222326[[#This Row],[Verbruik Stand Latte Macchiato Plantaardig deze maand]]+Tabel24256789101112131415171618192120222326[[#This Row],[Verbruik  Cappucino Plantaardig deze maand]]+Tabel24256789101112131415171618192120222326[[#This Row],[Verbruik Cappucino deze maand]]+Tabel24256789101112131415171618192120222326[[#This Row],[Verbruik Hot Water deze maand]]+Tabel24256789101112131415171618192120222326[[#This Row],[Verbruik Coffee Latte deze maand]]+Tabel24256789101112131415171618192120222326[[#This Row],[Verbruik Latte Macchiato deze maand]]+Tabel24256789101112131415171618192120222326[[#This Row],[Verbruik Espresso deze maand]]+Tabel24256789101112131415171618192120222326[[#This Row],[Verbruik Coffee deze maand]]</f>
        <v>1930</v>
      </c>
      <c r="AD50" s="69"/>
      <c r="AE50" s="41"/>
      <c r="AF50" s="5"/>
      <c r="AG50" s="5"/>
      <c r="AH50" s="75"/>
      <c r="AI50" s="41"/>
      <c r="AJ50" s="5"/>
      <c r="AK50" s="5"/>
      <c r="AL50" s="75"/>
      <c r="AM50" s="41"/>
      <c r="AN50" s="5"/>
      <c r="AO50" s="5"/>
      <c r="AP50" s="75"/>
      <c r="AQ50" s="41"/>
      <c r="AR50" s="5"/>
      <c r="AS50" s="5"/>
      <c r="AT50" s="75"/>
      <c r="AU50" s="41"/>
      <c r="AV50" s="5"/>
      <c r="AW50" s="5"/>
      <c r="AX50" s="79"/>
      <c r="AY50" s="95">
        <f>Tabel24256789101112131415171618192120222326[[#This Row],[Subtotaal waterbar in consumpties]]+Tabel24256789101112131415171618192120222326[[#This Row],[Subtotaal koffieautomaten]]</f>
        <v>1930</v>
      </c>
    </row>
    <row r="51" spans="1:130" x14ac:dyDescent="0.25">
      <c r="A51" s="65" t="s">
        <v>60</v>
      </c>
      <c r="B51" t="s">
        <v>98</v>
      </c>
      <c r="C51" t="s">
        <v>47</v>
      </c>
      <c r="E51">
        <v>7848</v>
      </c>
      <c r="F51">
        <f>januari2025!E51</f>
        <v>7568</v>
      </c>
      <c r="G51">
        <f>Tabel24256789101112131415171618192120222326[[#This Row],[Stand Coffee einde maand]]-Tabel24256789101112131415171618192120222326[[#This Row],[Coffee vorige maand]]</f>
        <v>280</v>
      </c>
      <c r="H51" s="53">
        <v>2382</v>
      </c>
      <c r="I51">
        <f>januari2025!H51</f>
        <v>2244</v>
      </c>
      <c r="J51">
        <f>Tabel24256789101112131415171618192120222326[[#This Row],[Stand Espresso Einde maand]]-Tabel24256789101112131415171618192120222326[[#This Row],[Espresso vorige maand]]</f>
        <v>138</v>
      </c>
      <c r="K51" s="53">
        <v>765</v>
      </c>
      <c r="L51">
        <f>januari2025!K51</f>
        <v>743</v>
      </c>
      <c r="M51">
        <f>Tabel24256789101112131415171618192120222326[[#This Row],[Stand Latte Macchiato einde maand]]-Tabel24256789101112131415171618192120222326[[#This Row],[Latte Macchiato vorige maand]]</f>
        <v>22</v>
      </c>
      <c r="N51" s="53">
        <v>1018</v>
      </c>
      <c r="O51">
        <f>januari2025!N51</f>
        <v>966</v>
      </c>
      <c r="P51">
        <f>Tabel24256789101112131415171618192120222326[[#This Row],[Stand Coffee Latte einde maand]]-Tabel24256789101112131415171618192120222326[[#This Row],[Coffee Latte vorige maand]]</f>
        <v>52</v>
      </c>
      <c r="Q51" s="53">
        <v>1</v>
      </c>
      <c r="R51">
        <f>januari2025!Q51</f>
        <v>1</v>
      </c>
      <c r="S51">
        <f>Tabel24256789101112131415171618192120222326[[#This Row],[Stand Hot Water einde maand]]-Tabel24256789101112131415171618192120222326[[#This Row],[Hot Water vorige maand]]</f>
        <v>0</v>
      </c>
      <c r="T51" s="53">
        <v>4953</v>
      </c>
      <c r="U51">
        <f>januari2025!T51</f>
        <v>4656</v>
      </c>
      <c r="V51">
        <f>Tabel24256789101112131415171618192120222326[[#This Row],[Stand Cappucino einde maand]]-Tabel24256789101112131415171618192120222326[[#This Row],[Stand Cappucino vorige maand]]</f>
        <v>297</v>
      </c>
      <c r="W51" s="53">
        <v>686</v>
      </c>
      <c r="X51">
        <f>januari2025!W51</f>
        <v>659</v>
      </c>
      <c r="Y51">
        <f>Tabel24256789101112131415171618192120222326[[#This Row],[Stand Cappucino Plantaardig einde maand]]-Tabel24256789101112131415171618192120222326[[#This Row],[Stand Cappucino Plantaardig vorige maand]]</f>
        <v>27</v>
      </c>
      <c r="Z51" s="53">
        <v>165</v>
      </c>
      <c r="AA51">
        <f>januari2025!Z51</f>
        <v>159</v>
      </c>
      <c r="AB51">
        <f>Tabel24256789101112131415171618192120222326[[#This Row],[Stand Latte Macchiato Plantaardig einde maand]]-Tabel24256789101112131415171618192120222326[[#This Row],[Stand Latte Macchiato Plantaardig vorige maand]]</f>
        <v>6</v>
      </c>
      <c r="AC51" s="71">
        <f>Tabel24256789101112131415171618192120222326[[#This Row],[Verbruik Stand Latte Macchiato Plantaardig deze maand]]+Tabel24256789101112131415171618192120222326[[#This Row],[Verbruik  Cappucino Plantaardig deze maand]]+Tabel24256789101112131415171618192120222326[[#This Row],[Verbruik Cappucino deze maand]]+Tabel24256789101112131415171618192120222326[[#This Row],[Verbruik Hot Water deze maand]]+Tabel24256789101112131415171618192120222326[[#This Row],[Verbruik Coffee Latte deze maand]]+Tabel24256789101112131415171618192120222326[[#This Row],[Verbruik Latte Macchiato deze maand]]+Tabel24256789101112131415171618192120222326[[#This Row],[Verbruik Espresso deze maand]]+Tabel24256789101112131415171618192120222326[[#This Row],[Verbruik Coffee deze maand]]</f>
        <v>822</v>
      </c>
      <c r="AD51" s="53">
        <v>27.2</v>
      </c>
      <c r="AE51">
        <f>januari2025!AD51</f>
        <v>22.1</v>
      </c>
      <c r="AF51">
        <f>Tabel24256789101112131415171618192120222326[[#This Row],[Stand Kamertemp liter einde maand]]-Tabel24256789101112131415171618192120222326[[#This Row],[Stand Kamertemp liter vorige maand]]</f>
        <v>5.0999999999999979</v>
      </c>
      <c r="AG51" s="2">
        <f>Tabel24256789101112131415171618192120222326[[#This Row],[Verbruik Kamertemp liter deze maand]]/0.15</f>
        <v>33.999999999999986</v>
      </c>
      <c r="AH51" s="53">
        <v>266</v>
      </c>
      <c r="AI51">
        <f>januari2025!AH51</f>
        <v>177.1</v>
      </c>
      <c r="AJ51">
        <f>Tabel24256789101112131415171618192120222326[[#This Row],[Stand Gekoeld liter einde maand]]-Tabel24256789101112131415171618192120222326[[#This Row],[Stand Gekoeld liter vorige maand]]</f>
        <v>88.9</v>
      </c>
      <c r="AK51" s="2">
        <f>Tabel24256789101112131415171618192120222326[[#This Row],[Verbruik Gekoeld liter deze maand]]/0.15</f>
        <v>592.66666666666674</v>
      </c>
      <c r="AL51" s="53">
        <v>192.3</v>
      </c>
      <c r="AM51">
        <f>januari2025!AL51</f>
        <v>137.1</v>
      </c>
      <c r="AN51">
        <f>Tabel24256789101112131415171618192120222326[[#This Row],[Stand Bruisend liter einde maand]]-Tabel24256789101112131415171618192120222326[[#This Row],[Stand Bruisend liter vorige maand]]</f>
        <v>55.200000000000017</v>
      </c>
      <c r="AO51" s="2">
        <f>Tabel24256789101112131415171618192120222326[[#This Row],[Verbruik Bruisend liter deze maand]]/0.15</f>
        <v>368.00000000000011</v>
      </c>
      <c r="AP51" s="53">
        <v>29.2</v>
      </c>
      <c r="AQ51">
        <f>januari2025!AP51</f>
        <v>19.7</v>
      </c>
      <c r="AR51">
        <f>Tabel24256789101112131415171618192120222326[[#This Row],[Stand licht bruisend liter einde maand]]-Tabel24256789101112131415171618192120222326[[#This Row],[Stand licht bruisend liter vorige maand]]</f>
        <v>9.5</v>
      </c>
      <c r="AS51" s="2">
        <f>Tabel24256789101112131415171618192120222326[[#This Row],[Verbruik licht bruisend liter deze maand]]/0.15</f>
        <v>63.333333333333336</v>
      </c>
      <c r="AT51" s="53">
        <v>679.3</v>
      </c>
      <c r="AU51">
        <f>januari2025!AT51</f>
        <v>472.5</v>
      </c>
      <c r="AV51">
        <f>Tabel24256789101112131415171618192120222326[[#This Row],[Stand heet water liter einde maand]]-Tabel24256789101112131415171618192120222326[[#This Row],[Stand heet water liter vorige maand]]</f>
        <v>206.79999999999995</v>
      </c>
      <c r="AW51" s="2">
        <f>Tabel24256789101112131415171618192120222326[[#This Row],[Verbruik heet Water liter deze maand ]]/0.15</f>
        <v>1378.6666666666665</v>
      </c>
      <c r="AX51" s="77">
        <f>Tabel24256789101112131415171618192120222326[[#This Row],[Aantal consumpties heet water deze maand]]+Tabel24256789101112131415171618192120222326[[#This Row],[Aantal consumpties licht bruisend water deze maand]]+Tabel24256789101112131415171618192120222326[[#This Row],[aantal consumpties Bruisend water deze maand]]+Tabel24256789101112131415171618192120222326[[#This Row],[Aantal consumpties gekoeld water deze maand]]+Tabel24256789101112131415171618192120222326[[#This Row],[Aantal consumpties Kamertemp deze maand]]</f>
        <v>2436.666666666667</v>
      </c>
      <c r="AY51" s="95">
        <f>Tabel24256789101112131415171618192120222326[[#This Row],[Subtotaal waterbar in consumpties]]+Tabel24256789101112131415171618192120222326[[#This Row],[Subtotaal koffieautomaten]]</f>
        <v>3258.666666666667</v>
      </c>
    </row>
    <row r="52" spans="1:130" s="81" customFormat="1" x14ac:dyDescent="0.25">
      <c r="A52" s="80" t="s">
        <v>99</v>
      </c>
      <c r="D52" s="82"/>
      <c r="H52" s="86"/>
      <c r="K52" s="86"/>
      <c r="N52" s="86"/>
      <c r="Q52" s="86"/>
      <c r="T52" s="86"/>
      <c r="W52" s="86"/>
      <c r="Z52" s="86"/>
      <c r="AC52" s="85"/>
      <c r="AD52" s="86"/>
      <c r="AG52" s="87"/>
      <c r="AH52" s="86"/>
      <c r="AK52" s="87"/>
      <c r="AL52" s="86"/>
      <c r="AO52" s="87"/>
      <c r="AP52" s="86"/>
      <c r="AS52" s="87"/>
      <c r="AT52" s="86"/>
      <c r="AW52" s="87"/>
      <c r="AX52" s="88"/>
      <c r="AY52" s="94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</row>
    <row r="53" spans="1:130" x14ac:dyDescent="0.25">
      <c r="A53" s="65" t="s">
        <v>43</v>
      </c>
      <c r="B53" t="s">
        <v>100</v>
      </c>
      <c r="C53" t="s">
        <v>31</v>
      </c>
      <c r="E53">
        <v>11597</v>
      </c>
      <c r="F53">
        <f>januari2025!E53</f>
        <v>11008</v>
      </c>
      <c r="G53">
        <f>Tabel24256789101112131415171618192120222326[[#This Row],[Stand Coffee einde maand]]-Tabel24256789101112131415171618192120222326[[#This Row],[Coffee vorige maand]]</f>
        <v>589</v>
      </c>
      <c r="H53" s="97">
        <f>824+3398</f>
        <v>4222</v>
      </c>
      <c r="I53">
        <f>januari2025!H53</f>
        <v>4009</v>
      </c>
      <c r="J53">
        <f>Tabel24256789101112131415171618192120222326[[#This Row],[Stand Espresso Einde maand]]-Tabel24256789101112131415171618192120222326[[#This Row],[Espresso vorige maand]]</f>
        <v>213</v>
      </c>
      <c r="K53" s="53">
        <v>1201</v>
      </c>
      <c r="L53">
        <f>januari2025!K53</f>
        <v>1138</v>
      </c>
      <c r="M53">
        <f>Tabel24256789101112131415171618192120222326[[#This Row],[Stand Latte Macchiato einde maand]]-Tabel24256789101112131415171618192120222326[[#This Row],[Latte Macchiato vorige maand]]</f>
        <v>63</v>
      </c>
      <c r="N53" s="53">
        <v>494</v>
      </c>
      <c r="O53">
        <f>januari2025!N53</f>
        <v>466</v>
      </c>
      <c r="P53">
        <f>Tabel24256789101112131415171618192120222326[[#This Row],[Stand Coffee Latte einde maand]]-Tabel24256789101112131415171618192120222326[[#This Row],[Coffee Latte vorige maand]]</f>
        <v>28</v>
      </c>
      <c r="Q53" s="53">
        <v>28885</v>
      </c>
      <c r="R53">
        <f>januari2025!Q53</f>
        <v>27349</v>
      </c>
      <c r="S53">
        <f>Tabel24256789101112131415171618192120222326[[#This Row],[Stand Hot Water einde maand]]-Tabel24256789101112131415171618192120222326[[#This Row],[Hot Water vorige maand]]</f>
        <v>1536</v>
      </c>
      <c r="T53" s="53">
        <v>3614</v>
      </c>
      <c r="U53">
        <f>januari2025!T53</f>
        <v>3450</v>
      </c>
      <c r="V53">
        <f>Tabel24256789101112131415171618192120222326[[#This Row],[Stand Cappucino einde maand]]-Tabel24256789101112131415171618192120222326[[#This Row],[Stand Cappucino vorige maand]]</f>
        <v>164</v>
      </c>
      <c r="W53" s="53">
        <v>1035</v>
      </c>
      <c r="X53">
        <f>januari2025!W53</f>
        <v>1010</v>
      </c>
      <c r="Y53">
        <f>Tabel24256789101112131415171618192120222326[[#This Row],[Stand Cappucino Plantaardig einde maand]]-Tabel24256789101112131415171618192120222326[[#This Row],[Stand Cappucino Plantaardig vorige maand]]</f>
        <v>25</v>
      </c>
      <c r="Z53" s="53">
        <v>214</v>
      </c>
      <c r="AA53">
        <f>januari2025!Z53</f>
        <v>194</v>
      </c>
      <c r="AB53">
        <f>Tabel24256789101112131415171618192120222326[[#This Row],[Stand Latte Macchiato Plantaardig einde maand]]-Tabel24256789101112131415171618192120222326[[#This Row],[Stand Latte Macchiato Plantaardig vorige maand]]</f>
        <v>20</v>
      </c>
      <c r="AC53" s="71">
        <f>Tabel24256789101112131415171618192120222326[[#This Row],[Verbruik Stand Latte Macchiato Plantaardig deze maand]]+Tabel24256789101112131415171618192120222326[[#This Row],[Verbruik  Cappucino Plantaardig deze maand]]+Tabel24256789101112131415171618192120222326[[#This Row],[Verbruik Cappucino deze maand]]+Tabel24256789101112131415171618192120222326[[#This Row],[Verbruik Hot Water deze maand]]+Tabel24256789101112131415171618192120222326[[#This Row],[Verbruik Coffee Latte deze maand]]+Tabel24256789101112131415171618192120222326[[#This Row],[Verbruik Latte Macchiato deze maand]]+Tabel24256789101112131415171618192120222326[[#This Row],[Verbruik Espresso deze maand]]+Tabel24256789101112131415171618192120222326[[#This Row],[Verbruik Coffee deze maand]]</f>
        <v>2638</v>
      </c>
      <c r="AD53" s="69"/>
      <c r="AE53" s="41"/>
      <c r="AF53" s="5"/>
      <c r="AG53" s="5"/>
      <c r="AH53" s="75"/>
      <c r="AI53" s="41"/>
      <c r="AJ53" s="5"/>
      <c r="AK53" s="5"/>
      <c r="AL53" s="75"/>
      <c r="AM53" s="41"/>
      <c r="AN53" s="5"/>
      <c r="AO53" s="5"/>
      <c r="AP53" s="75"/>
      <c r="AQ53" s="41"/>
      <c r="AR53" s="5"/>
      <c r="AS53" s="5"/>
      <c r="AT53" s="75"/>
      <c r="AU53" s="41"/>
      <c r="AV53" s="5"/>
      <c r="AW53" s="5"/>
      <c r="AX53" s="79"/>
      <c r="AY53" s="95">
        <f>Tabel24256789101112131415171618192120222326[[#This Row],[Subtotaal waterbar in consumpties]]+Tabel24256789101112131415171618192120222326[[#This Row],[Subtotaal koffieautomaten]]</f>
        <v>2638</v>
      </c>
    </row>
    <row r="54" spans="1:130" x14ac:dyDescent="0.25">
      <c r="A54" s="65" t="s">
        <v>45</v>
      </c>
      <c r="B54" t="s">
        <v>101</v>
      </c>
      <c r="C54" t="s">
        <v>47</v>
      </c>
      <c r="E54">
        <v>8818</v>
      </c>
      <c r="F54">
        <f>januari2025!E54</f>
        <v>8444</v>
      </c>
      <c r="G54">
        <f>Tabel24256789101112131415171618192120222326[[#This Row],[Stand Coffee einde maand]]-Tabel24256789101112131415171618192120222326[[#This Row],[Coffee vorige maand]]</f>
        <v>374</v>
      </c>
      <c r="H54" s="53">
        <v>4360</v>
      </c>
      <c r="I54">
        <f>januari2025!H54</f>
        <v>4172</v>
      </c>
      <c r="J54">
        <f>Tabel24256789101112131415171618192120222326[[#This Row],[Stand Espresso Einde maand]]-Tabel24256789101112131415171618192120222326[[#This Row],[Espresso vorige maand]]</f>
        <v>188</v>
      </c>
      <c r="K54" s="53">
        <v>665</v>
      </c>
      <c r="L54">
        <f>januari2025!K54</f>
        <v>644</v>
      </c>
      <c r="M54">
        <f>Tabel24256789101112131415171618192120222326[[#This Row],[Stand Latte Macchiato einde maand]]-Tabel24256789101112131415171618192120222326[[#This Row],[Latte Macchiato vorige maand]]</f>
        <v>21</v>
      </c>
      <c r="N54" s="53">
        <v>512</v>
      </c>
      <c r="O54">
        <f>januari2025!N54</f>
        <v>484</v>
      </c>
      <c r="P54">
        <f>Tabel24256789101112131415171618192120222326[[#This Row],[Stand Coffee Latte einde maand]]-Tabel24256789101112131415171618192120222326[[#This Row],[Coffee Latte vorige maand]]</f>
        <v>28</v>
      </c>
      <c r="Q54" s="53">
        <v>1</v>
      </c>
      <c r="R54">
        <f>januari2025!Q54</f>
        <v>1</v>
      </c>
      <c r="S54">
        <f>Tabel24256789101112131415171618192120222326[[#This Row],[Stand Hot Water einde maand]]-Tabel24256789101112131415171618192120222326[[#This Row],[Hot Water vorige maand]]</f>
        <v>0</v>
      </c>
      <c r="T54" s="53">
        <v>4295</v>
      </c>
      <c r="U54">
        <f>januari2025!T54</f>
        <v>4139</v>
      </c>
      <c r="V54">
        <f>Tabel24256789101112131415171618192120222326[[#This Row],[Stand Cappucino einde maand]]-Tabel24256789101112131415171618192120222326[[#This Row],[Stand Cappucino vorige maand]]</f>
        <v>156</v>
      </c>
      <c r="W54" s="53">
        <v>862</v>
      </c>
      <c r="X54">
        <f>januari2025!W54</f>
        <v>838</v>
      </c>
      <c r="Y54">
        <f>Tabel24256789101112131415171618192120222326[[#This Row],[Stand Cappucino Plantaardig einde maand]]-Tabel24256789101112131415171618192120222326[[#This Row],[Stand Cappucino Plantaardig vorige maand]]</f>
        <v>24</v>
      </c>
      <c r="Z54" s="53">
        <v>249</v>
      </c>
      <c r="AA54">
        <f>januari2025!Z54</f>
        <v>245</v>
      </c>
      <c r="AB54">
        <f>Tabel24256789101112131415171618192120222326[[#This Row],[Stand Latte Macchiato Plantaardig einde maand]]-Tabel24256789101112131415171618192120222326[[#This Row],[Stand Latte Macchiato Plantaardig vorige maand]]</f>
        <v>4</v>
      </c>
      <c r="AC54" s="71">
        <f>Tabel24256789101112131415171618192120222326[[#This Row],[Verbruik Stand Latte Macchiato Plantaardig deze maand]]+Tabel24256789101112131415171618192120222326[[#This Row],[Verbruik  Cappucino Plantaardig deze maand]]+Tabel24256789101112131415171618192120222326[[#This Row],[Verbruik Cappucino deze maand]]+Tabel24256789101112131415171618192120222326[[#This Row],[Verbruik Hot Water deze maand]]+Tabel24256789101112131415171618192120222326[[#This Row],[Verbruik Coffee Latte deze maand]]+Tabel24256789101112131415171618192120222326[[#This Row],[Verbruik Latte Macchiato deze maand]]+Tabel24256789101112131415171618192120222326[[#This Row],[Verbruik Espresso deze maand]]+Tabel24256789101112131415171618192120222326[[#This Row],[Verbruik Coffee deze maand]]</f>
        <v>795</v>
      </c>
      <c r="AD54" s="53">
        <v>27.3</v>
      </c>
      <c r="AE54">
        <f>januari2025!AD54</f>
        <v>1</v>
      </c>
      <c r="AF54">
        <f>Tabel24256789101112131415171618192120222326[[#This Row],[Stand Kamertemp liter einde maand]]-Tabel24256789101112131415171618192120222326[[#This Row],[Stand Kamertemp liter vorige maand]]</f>
        <v>26.3</v>
      </c>
      <c r="AG54" s="2">
        <f>Tabel24256789101112131415171618192120222326[[#This Row],[Verbruik Kamertemp liter deze maand]]/0.15</f>
        <v>175.33333333333334</v>
      </c>
      <c r="AH54" s="53">
        <v>81.900000000000006</v>
      </c>
      <c r="AI54">
        <f>januari2025!AH54</f>
        <v>3.7</v>
      </c>
      <c r="AJ54">
        <f>Tabel24256789101112131415171618192120222326[[#This Row],[Stand Gekoeld liter einde maand]]-Tabel24256789101112131415171618192120222326[[#This Row],[Stand Gekoeld liter vorige maand]]</f>
        <v>78.2</v>
      </c>
      <c r="AK54" s="2">
        <f>Tabel24256789101112131415171618192120222326[[#This Row],[Verbruik Gekoeld liter deze maand]]/0.15</f>
        <v>521.33333333333337</v>
      </c>
      <c r="AL54" s="53">
        <v>102.1</v>
      </c>
      <c r="AM54">
        <f>januari2025!AL54</f>
        <v>2.1</v>
      </c>
      <c r="AN54">
        <f>Tabel24256789101112131415171618192120222326[[#This Row],[Stand Bruisend liter einde maand]]-Tabel24256789101112131415171618192120222326[[#This Row],[Stand Bruisend liter vorige maand]]</f>
        <v>100</v>
      </c>
      <c r="AO54" s="2">
        <f>Tabel24256789101112131415171618192120222326[[#This Row],[Verbruik Bruisend liter deze maand]]/0.15</f>
        <v>666.66666666666674</v>
      </c>
      <c r="AP54" s="53">
        <v>11.4</v>
      </c>
      <c r="AQ54">
        <f>januari2025!AP54</f>
        <v>0.3</v>
      </c>
      <c r="AR54">
        <f>Tabel24256789101112131415171618192120222326[[#This Row],[Stand licht bruisend liter einde maand]]-Tabel24256789101112131415171618192120222326[[#This Row],[Stand licht bruisend liter vorige maand]]</f>
        <v>11.1</v>
      </c>
      <c r="AS54" s="2">
        <f>Tabel24256789101112131415171618192120222326[[#This Row],[Verbruik licht bruisend liter deze maand]]/0.15</f>
        <v>74</v>
      </c>
      <c r="AT54" s="53">
        <v>396.3</v>
      </c>
      <c r="AU54">
        <f>januari2025!AT54</f>
        <v>14</v>
      </c>
      <c r="AV54">
        <f>Tabel24256789101112131415171618192120222326[[#This Row],[Stand heet water liter einde maand]]-Tabel24256789101112131415171618192120222326[[#This Row],[Stand heet water liter vorige maand]]</f>
        <v>382.3</v>
      </c>
      <c r="AW54" s="2">
        <f>Tabel24256789101112131415171618192120222326[[#This Row],[Verbruik heet Water liter deze maand ]]/0.15</f>
        <v>2548.666666666667</v>
      </c>
      <c r="AX54" s="77">
        <f>Tabel24256789101112131415171618192120222326[[#This Row],[Aantal consumpties heet water deze maand]]+Tabel24256789101112131415171618192120222326[[#This Row],[Aantal consumpties licht bruisend water deze maand]]+Tabel24256789101112131415171618192120222326[[#This Row],[aantal consumpties Bruisend water deze maand]]+Tabel24256789101112131415171618192120222326[[#This Row],[Aantal consumpties gekoeld water deze maand]]+Tabel24256789101112131415171618192120222326[[#This Row],[Aantal consumpties Kamertemp deze maand]]</f>
        <v>3986.0000000000009</v>
      </c>
      <c r="AY54" s="95">
        <f>Tabel24256789101112131415171618192120222326[[#This Row],[Subtotaal waterbar in consumpties]]+Tabel24256789101112131415171618192120222326[[#This Row],[Subtotaal koffieautomaten]]</f>
        <v>4781.0000000000009</v>
      </c>
    </row>
    <row r="55" spans="1:130" x14ac:dyDescent="0.25">
      <c r="A55" s="65" t="s">
        <v>48</v>
      </c>
      <c r="B55" t="s">
        <v>102</v>
      </c>
      <c r="C55" t="s">
        <v>31</v>
      </c>
      <c r="E55">
        <v>7665</v>
      </c>
      <c r="F55">
        <f>januari2025!E55</f>
        <v>7320</v>
      </c>
      <c r="G55">
        <f>Tabel24256789101112131415171618192120222326[[#This Row],[Stand Coffee einde maand]]-Tabel24256789101112131415171618192120222326[[#This Row],[Coffee vorige maand]]</f>
        <v>345</v>
      </c>
      <c r="H55" s="53">
        <v>2239</v>
      </c>
      <c r="I55">
        <f>januari2025!H55</f>
        <v>2217</v>
      </c>
      <c r="J55">
        <f>Tabel24256789101112131415171618192120222326[[#This Row],[Stand Espresso Einde maand]]-Tabel24256789101112131415171618192120222326[[#This Row],[Espresso vorige maand]]</f>
        <v>22</v>
      </c>
      <c r="K55" s="53">
        <v>602</v>
      </c>
      <c r="L55">
        <f>januari2025!K55</f>
        <v>564</v>
      </c>
      <c r="M55">
        <f>Tabel24256789101112131415171618192120222326[[#This Row],[Stand Latte Macchiato einde maand]]-Tabel24256789101112131415171618192120222326[[#This Row],[Latte Macchiato vorige maand]]</f>
        <v>38</v>
      </c>
      <c r="N55" s="53">
        <v>411</v>
      </c>
      <c r="O55">
        <f>januari2025!N55</f>
        <v>393</v>
      </c>
      <c r="P55">
        <f>Tabel24256789101112131415171618192120222326[[#This Row],[Stand Coffee Latte einde maand]]-Tabel24256789101112131415171618192120222326[[#This Row],[Coffee Latte vorige maand]]</f>
        <v>18</v>
      </c>
      <c r="Q55" s="53">
        <v>19673</v>
      </c>
      <c r="R55">
        <f>januari2025!Q55</f>
        <v>18836</v>
      </c>
      <c r="S55">
        <f>Tabel24256789101112131415171618192120222326[[#This Row],[Stand Hot Water einde maand]]-Tabel24256789101112131415171618192120222326[[#This Row],[Hot Water vorige maand]]</f>
        <v>837</v>
      </c>
      <c r="T55" s="53">
        <v>3360</v>
      </c>
      <c r="U55">
        <f>januari2025!T55</f>
        <v>3193</v>
      </c>
      <c r="V55">
        <f>Tabel24256789101112131415171618192120222326[[#This Row],[Stand Cappucino einde maand]]-Tabel24256789101112131415171618192120222326[[#This Row],[Stand Cappucino vorige maand]]</f>
        <v>167</v>
      </c>
      <c r="W55" s="53">
        <v>1761</v>
      </c>
      <c r="X55">
        <f>januari2025!W55</f>
        <v>1718</v>
      </c>
      <c r="Y55">
        <f>Tabel24256789101112131415171618192120222326[[#This Row],[Stand Cappucino Plantaardig einde maand]]-Tabel24256789101112131415171618192120222326[[#This Row],[Stand Cappucino Plantaardig vorige maand]]</f>
        <v>43</v>
      </c>
      <c r="Z55" s="53">
        <v>186</v>
      </c>
      <c r="AA55">
        <f>januari2025!Z55</f>
        <v>184</v>
      </c>
      <c r="AB55">
        <f>Tabel24256789101112131415171618192120222326[[#This Row],[Stand Latte Macchiato Plantaardig einde maand]]-Tabel24256789101112131415171618192120222326[[#This Row],[Stand Latte Macchiato Plantaardig vorige maand]]</f>
        <v>2</v>
      </c>
      <c r="AC55" s="71">
        <f>Tabel24256789101112131415171618192120222326[[#This Row],[Verbruik Stand Latte Macchiato Plantaardig deze maand]]+Tabel24256789101112131415171618192120222326[[#This Row],[Verbruik  Cappucino Plantaardig deze maand]]+Tabel24256789101112131415171618192120222326[[#This Row],[Verbruik Cappucino deze maand]]+Tabel24256789101112131415171618192120222326[[#This Row],[Verbruik Hot Water deze maand]]+Tabel24256789101112131415171618192120222326[[#This Row],[Verbruik Coffee Latte deze maand]]+Tabel24256789101112131415171618192120222326[[#This Row],[Verbruik Latte Macchiato deze maand]]+Tabel24256789101112131415171618192120222326[[#This Row],[Verbruik Espresso deze maand]]+Tabel24256789101112131415171618192120222326[[#This Row],[Verbruik Coffee deze maand]]</f>
        <v>1472</v>
      </c>
      <c r="AD55" s="69"/>
      <c r="AE55" s="41"/>
      <c r="AF55" s="5"/>
      <c r="AG55" s="5"/>
      <c r="AH55" s="75"/>
      <c r="AI55" s="41"/>
      <c r="AJ55" s="5"/>
      <c r="AK55" s="5"/>
      <c r="AL55" s="75"/>
      <c r="AM55" s="41"/>
      <c r="AN55" s="5"/>
      <c r="AO55" s="5"/>
      <c r="AP55" s="75"/>
      <c r="AQ55" s="41"/>
      <c r="AR55" s="5"/>
      <c r="AS55" s="5"/>
      <c r="AT55" s="75"/>
      <c r="AU55" s="41"/>
      <c r="AV55" s="5"/>
      <c r="AW55" s="5"/>
      <c r="AX55" s="79"/>
      <c r="AY55" s="95">
        <f>Tabel24256789101112131415171618192120222326[[#This Row],[Subtotaal waterbar in consumpties]]+Tabel24256789101112131415171618192120222326[[#This Row],[Subtotaal koffieautomaten]]</f>
        <v>1472</v>
      </c>
    </row>
    <row r="56" spans="1:130" x14ac:dyDescent="0.25">
      <c r="A56" s="65" t="s">
        <v>50</v>
      </c>
      <c r="B56" t="s">
        <v>103</v>
      </c>
      <c r="C56" t="s">
        <v>47</v>
      </c>
      <c r="E56">
        <v>8583</v>
      </c>
      <c r="F56">
        <f>januari2025!E56</f>
        <v>8348</v>
      </c>
      <c r="G56">
        <f>Tabel24256789101112131415171618192120222326[[#This Row],[Stand Coffee einde maand]]-Tabel24256789101112131415171618192120222326[[#This Row],[Coffee vorige maand]]</f>
        <v>235</v>
      </c>
      <c r="H56" s="53">
        <v>3639</v>
      </c>
      <c r="I56">
        <f>januari2025!H56</f>
        <v>3555</v>
      </c>
      <c r="J56">
        <f>Tabel24256789101112131415171618192120222326[[#This Row],[Stand Espresso Einde maand]]-Tabel24256789101112131415171618192120222326[[#This Row],[Espresso vorige maand]]</f>
        <v>84</v>
      </c>
      <c r="K56" s="53">
        <v>287</v>
      </c>
      <c r="L56">
        <f>januari2025!K56</f>
        <v>284</v>
      </c>
      <c r="M56">
        <f>Tabel24256789101112131415171618192120222326[[#This Row],[Stand Latte Macchiato einde maand]]-Tabel24256789101112131415171618192120222326[[#This Row],[Latte Macchiato vorige maand]]</f>
        <v>3</v>
      </c>
      <c r="N56" s="53">
        <v>126</v>
      </c>
      <c r="O56">
        <f>januari2025!N56</f>
        <v>125</v>
      </c>
      <c r="P56">
        <f>Tabel24256789101112131415171618192120222326[[#This Row],[Stand Coffee Latte einde maand]]-Tabel24256789101112131415171618192120222326[[#This Row],[Coffee Latte vorige maand]]</f>
        <v>1</v>
      </c>
      <c r="Q56" s="53">
        <v>1</v>
      </c>
      <c r="R56">
        <f>januari2025!Q56</f>
        <v>1</v>
      </c>
      <c r="S56">
        <f>Tabel24256789101112131415171618192120222326[[#This Row],[Stand Hot Water einde maand]]-Tabel24256789101112131415171618192120222326[[#This Row],[Hot Water vorige maand]]</f>
        <v>0</v>
      </c>
      <c r="T56" s="53">
        <v>6563</v>
      </c>
      <c r="U56">
        <f>januari2025!T56</f>
        <v>6435</v>
      </c>
      <c r="V56">
        <f>Tabel24256789101112131415171618192120222326[[#This Row],[Stand Cappucino einde maand]]-Tabel24256789101112131415171618192120222326[[#This Row],[Stand Cappucino vorige maand]]</f>
        <v>128</v>
      </c>
      <c r="W56" s="53">
        <v>579</v>
      </c>
      <c r="X56">
        <f>januari2025!W56</f>
        <v>565</v>
      </c>
      <c r="Y56">
        <f>Tabel24256789101112131415171618192120222326[[#This Row],[Stand Cappucino Plantaardig einde maand]]-Tabel24256789101112131415171618192120222326[[#This Row],[Stand Cappucino Plantaardig vorige maand]]</f>
        <v>14</v>
      </c>
      <c r="Z56" s="53">
        <v>125</v>
      </c>
      <c r="AA56">
        <f>januari2025!Z56</f>
        <v>125</v>
      </c>
      <c r="AB56">
        <f>Tabel24256789101112131415171618192120222326[[#This Row],[Stand Latte Macchiato Plantaardig einde maand]]-Tabel24256789101112131415171618192120222326[[#This Row],[Stand Latte Macchiato Plantaardig vorige maand]]</f>
        <v>0</v>
      </c>
      <c r="AC56" s="71">
        <f>Tabel24256789101112131415171618192120222326[[#This Row],[Verbruik Stand Latte Macchiato Plantaardig deze maand]]+Tabel24256789101112131415171618192120222326[[#This Row],[Verbruik  Cappucino Plantaardig deze maand]]+Tabel24256789101112131415171618192120222326[[#This Row],[Verbruik Cappucino deze maand]]+Tabel24256789101112131415171618192120222326[[#This Row],[Verbruik Hot Water deze maand]]+Tabel24256789101112131415171618192120222326[[#This Row],[Verbruik Coffee Latte deze maand]]+Tabel24256789101112131415171618192120222326[[#This Row],[Verbruik Latte Macchiato deze maand]]+Tabel24256789101112131415171618192120222326[[#This Row],[Verbruik Espresso deze maand]]+Tabel24256789101112131415171618192120222326[[#This Row],[Verbruik Coffee deze maand]]</f>
        <v>465</v>
      </c>
      <c r="AD56" s="53">
        <v>32.700000000000003</v>
      </c>
      <c r="AE56">
        <f>januari2025!AD56</f>
        <v>25.9</v>
      </c>
      <c r="AF56">
        <f>Tabel24256789101112131415171618192120222326[[#This Row],[Stand Kamertemp liter einde maand]]-Tabel24256789101112131415171618192120222326[[#This Row],[Stand Kamertemp liter vorige maand]]</f>
        <v>6.8000000000000043</v>
      </c>
      <c r="AG56" s="2">
        <f>Tabel24256789101112131415171618192120222326[[#This Row],[Verbruik Kamertemp liter deze maand]]/0.15</f>
        <v>45.333333333333364</v>
      </c>
      <c r="AH56" s="53">
        <v>240.7</v>
      </c>
      <c r="AI56">
        <f>januari2025!AH56</f>
        <v>167.3</v>
      </c>
      <c r="AJ56">
        <f>Tabel24256789101112131415171618192120222326[[#This Row],[Stand Gekoeld liter einde maand]]-Tabel24256789101112131415171618192120222326[[#This Row],[Stand Gekoeld liter vorige maand]]</f>
        <v>73.399999999999977</v>
      </c>
      <c r="AK56" s="2">
        <f>Tabel24256789101112131415171618192120222326[[#This Row],[Verbruik Gekoeld liter deze maand]]/0.15</f>
        <v>489.3333333333332</v>
      </c>
      <c r="AL56" s="53">
        <v>248.3</v>
      </c>
      <c r="AM56">
        <f>januari2025!AL56</f>
        <v>181.1</v>
      </c>
      <c r="AN56">
        <f>Tabel24256789101112131415171618192120222326[[#This Row],[Stand Bruisend liter einde maand]]-Tabel24256789101112131415171618192120222326[[#This Row],[Stand Bruisend liter vorige maand]]</f>
        <v>67.200000000000017</v>
      </c>
      <c r="AO56" s="2">
        <f>Tabel24256789101112131415171618192120222326[[#This Row],[Verbruik Bruisend liter deze maand]]/0.15</f>
        <v>448.00000000000011</v>
      </c>
      <c r="AP56" s="53">
        <v>88.9</v>
      </c>
      <c r="AQ56">
        <f>januari2025!AP56</f>
        <v>69.8</v>
      </c>
      <c r="AR56">
        <f>Tabel24256789101112131415171618192120222326[[#This Row],[Stand licht bruisend liter einde maand]]-Tabel24256789101112131415171618192120222326[[#This Row],[Stand licht bruisend liter vorige maand]]</f>
        <v>19.100000000000009</v>
      </c>
      <c r="AS56" s="2">
        <f>Tabel24256789101112131415171618192120222326[[#This Row],[Verbruik licht bruisend liter deze maand]]/0.15</f>
        <v>127.3333333333334</v>
      </c>
      <c r="AT56" s="53">
        <v>1004</v>
      </c>
      <c r="AU56">
        <f>januari2025!AT56</f>
        <v>707.8</v>
      </c>
      <c r="AV56">
        <f>Tabel24256789101112131415171618192120222326[[#This Row],[Stand heet water liter einde maand]]-Tabel24256789101112131415171618192120222326[[#This Row],[Stand heet water liter vorige maand]]</f>
        <v>296.20000000000005</v>
      </c>
      <c r="AW56" s="2">
        <f>Tabel24256789101112131415171618192120222326[[#This Row],[Verbruik heet Water liter deze maand ]]/0.15</f>
        <v>1974.666666666667</v>
      </c>
      <c r="AX56" s="77">
        <f>Tabel24256789101112131415171618192120222326[[#This Row],[Aantal consumpties heet water deze maand]]+Tabel24256789101112131415171618192120222326[[#This Row],[Aantal consumpties licht bruisend water deze maand]]+Tabel24256789101112131415171618192120222326[[#This Row],[aantal consumpties Bruisend water deze maand]]+Tabel24256789101112131415171618192120222326[[#This Row],[Aantal consumpties gekoeld water deze maand]]+Tabel24256789101112131415171618192120222326[[#This Row],[Aantal consumpties Kamertemp deze maand]]</f>
        <v>3084.666666666667</v>
      </c>
      <c r="AY56" s="95">
        <f>Tabel24256789101112131415171618192120222326[[#This Row],[Subtotaal waterbar in consumpties]]+Tabel24256789101112131415171618192120222326[[#This Row],[Subtotaal koffieautomaten]]</f>
        <v>3549.666666666667</v>
      </c>
    </row>
    <row r="57" spans="1:130" x14ac:dyDescent="0.25">
      <c r="A57" s="65" t="s">
        <v>52</v>
      </c>
      <c r="B57" t="s">
        <v>104</v>
      </c>
      <c r="C57" t="s">
        <v>47</v>
      </c>
      <c r="E57">
        <v>3590</v>
      </c>
      <c r="F57">
        <f>januari2025!E57</f>
        <v>3290</v>
      </c>
      <c r="G57">
        <f>Tabel24256789101112131415171618192120222326[[#This Row],[Stand Coffee einde maand]]-Tabel24256789101112131415171618192120222326[[#This Row],[Coffee vorige maand]]</f>
        <v>300</v>
      </c>
      <c r="H57" s="53">
        <v>674</v>
      </c>
      <c r="I57">
        <f>januari2025!H57</f>
        <v>634</v>
      </c>
      <c r="J57">
        <f>Tabel24256789101112131415171618192120222326[[#This Row],[Stand Espresso Einde maand]]-Tabel24256789101112131415171618192120222326[[#This Row],[Espresso vorige maand]]</f>
        <v>40</v>
      </c>
      <c r="K57" s="53">
        <v>342</v>
      </c>
      <c r="L57">
        <f>januari2025!K57</f>
        <v>309</v>
      </c>
      <c r="M57">
        <f>Tabel24256789101112131415171618192120222326[[#This Row],[Stand Latte Macchiato einde maand]]-Tabel24256789101112131415171618192120222326[[#This Row],[Latte Macchiato vorige maand]]</f>
        <v>33</v>
      </c>
      <c r="N57" s="53">
        <v>679</v>
      </c>
      <c r="O57">
        <f>januari2025!N57</f>
        <v>602</v>
      </c>
      <c r="P57">
        <f>Tabel24256789101112131415171618192120222326[[#This Row],[Stand Coffee Latte einde maand]]-Tabel24256789101112131415171618192120222326[[#This Row],[Coffee Latte vorige maand]]</f>
        <v>77</v>
      </c>
      <c r="Q57" s="53">
        <v>735</v>
      </c>
      <c r="R57">
        <f>januari2025!Q57</f>
        <v>674</v>
      </c>
      <c r="S57">
        <f>Tabel24256789101112131415171618192120222326[[#This Row],[Stand Hot Water einde maand]]-Tabel24256789101112131415171618192120222326[[#This Row],[Hot Water vorige maand]]</f>
        <v>61</v>
      </c>
      <c r="T57" s="53">
        <v>3498</v>
      </c>
      <c r="U57">
        <f>januari2025!T57</f>
        <v>3238</v>
      </c>
      <c r="V57">
        <f>Tabel24256789101112131415171618192120222326[[#This Row],[Stand Cappucino einde maand]]-Tabel24256789101112131415171618192120222326[[#This Row],[Stand Cappucino vorige maand]]</f>
        <v>260</v>
      </c>
      <c r="W57" s="53">
        <v>653</v>
      </c>
      <c r="X57">
        <f>januari2025!W57</f>
        <v>609</v>
      </c>
      <c r="Y57">
        <f>Tabel24256789101112131415171618192120222326[[#This Row],[Stand Cappucino Plantaardig einde maand]]-Tabel24256789101112131415171618192120222326[[#This Row],[Stand Cappucino Plantaardig vorige maand]]</f>
        <v>44</v>
      </c>
      <c r="Z57" s="53">
        <v>74</v>
      </c>
      <c r="AA57">
        <f>januari2025!Z57</f>
        <v>71</v>
      </c>
      <c r="AB57">
        <f>Tabel24256789101112131415171618192120222326[[#This Row],[Stand Latte Macchiato Plantaardig einde maand]]-Tabel24256789101112131415171618192120222326[[#This Row],[Stand Latte Macchiato Plantaardig vorige maand]]</f>
        <v>3</v>
      </c>
      <c r="AC57" s="71">
        <f>Tabel24256789101112131415171618192120222326[[#This Row],[Verbruik Stand Latte Macchiato Plantaardig deze maand]]+Tabel24256789101112131415171618192120222326[[#This Row],[Verbruik  Cappucino Plantaardig deze maand]]+Tabel24256789101112131415171618192120222326[[#This Row],[Verbruik Cappucino deze maand]]+Tabel24256789101112131415171618192120222326[[#This Row],[Verbruik Hot Water deze maand]]+Tabel24256789101112131415171618192120222326[[#This Row],[Verbruik Coffee Latte deze maand]]+Tabel24256789101112131415171618192120222326[[#This Row],[Verbruik Latte Macchiato deze maand]]+Tabel24256789101112131415171618192120222326[[#This Row],[Verbruik Espresso deze maand]]+Tabel24256789101112131415171618192120222326[[#This Row],[Verbruik Coffee deze maand]]</f>
        <v>818</v>
      </c>
      <c r="AD57" s="53">
        <v>9.4</v>
      </c>
      <c r="AF57">
        <f>Tabel24256789101112131415171618192120222326[[#This Row],[Stand Kamertemp liter einde maand]]-Tabel24256789101112131415171618192120222326[[#This Row],[Stand Kamertemp liter vorige maand]]</f>
        <v>9.4</v>
      </c>
      <c r="AG57" s="2">
        <f>Tabel24256789101112131415171618192120222326[[#This Row],[Verbruik Kamertemp liter deze maand]]/0.15</f>
        <v>62.666666666666671</v>
      </c>
      <c r="AH57" s="53">
        <v>50.6</v>
      </c>
      <c r="AJ57">
        <f>Tabel24256789101112131415171618192120222326[[#This Row],[Stand Gekoeld liter einde maand]]-Tabel24256789101112131415171618192120222326[[#This Row],[Stand Gekoeld liter vorige maand]]</f>
        <v>50.6</v>
      </c>
      <c r="AK57" s="2">
        <f>Tabel24256789101112131415171618192120222326[[#This Row],[Verbruik Gekoeld liter deze maand]]/0.15</f>
        <v>337.33333333333337</v>
      </c>
      <c r="AL57" s="53">
        <v>9.8000000000000007</v>
      </c>
      <c r="AN57">
        <f>Tabel24256789101112131415171618192120222326[[#This Row],[Stand Bruisend liter einde maand]]-Tabel24256789101112131415171618192120222326[[#This Row],[Stand Bruisend liter vorige maand]]</f>
        <v>9.8000000000000007</v>
      </c>
      <c r="AO57" s="2">
        <f>Tabel24256789101112131415171618192120222326[[#This Row],[Verbruik Bruisend liter deze maand]]/0.15</f>
        <v>65.333333333333343</v>
      </c>
      <c r="AP57" s="53">
        <v>3.7</v>
      </c>
      <c r="AR57">
        <f>Tabel24256789101112131415171618192120222326[[#This Row],[Stand licht bruisend liter einde maand]]-Tabel24256789101112131415171618192120222326[[#This Row],[Stand licht bruisend liter vorige maand]]</f>
        <v>3.7</v>
      </c>
      <c r="AS57" s="2">
        <f>Tabel24256789101112131415171618192120222326[[#This Row],[Verbruik licht bruisend liter deze maand]]/0.15</f>
        <v>24.666666666666668</v>
      </c>
      <c r="AT57" s="53">
        <v>163.30000000000001</v>
      </c>
      <c r="AV57">
        <f>Tabel24256789101112131415171618192120222326[[#This Row],[Stand heet water liter einde maand]]-Tabel24256789101112131415171618192120222326[[#This Row],[Stand heet water liter vorige maand]]</f>
        <v>163.30000000000001</v>
      </c>
      <c r="AW57" s="2">
        <f>Tabel24256789101112131415171618192120222326[[#This Row],[Verbruik heet Water liter deze maand ]]/0.15</f>
        <v>1088.6666666666667</v>
      </c>
      <c r="AX57" s="77">
        <f>Tabel24256789101112131415171618192120222326[[#This Row],[Aantal consumpties heet water deze maand]]+Tabel24256789101112131415171618192120222326[[#This Row],[Aantal consumpties licht bruisend water deze maand]]+Tabel24256789101112131415171618192120222326[[#This Row],[aantal consumpties Bruisend water deze maand]]+Tabel24256789101112131415171618192120222326[[#This Row],[Aantal consumpties gekoeld water deze maand]]+Tabel24256789101112131415171618192120222326[[#This Row],[Aantal consumpties Kamertemp deze maand]]</f>
        <v>1578.6666666666667</v>
      </c>
      <c r="AY57" s="95">
        <f>Tabel24256789101112131415171618192120222326[[#This Row],[Subtotaal waterbar in consumpties]]+Tabel24256789101112131415171618192120222326[[#This Row],[Subtotaal koffieautomaten]]</f>
        <v>2396.666666666667</v>
      </c>
    </row>
    <row r="58" spans="1:130" x14ac:dyDescent="0.25">
      <c r="A58" s="65" t="s">
        <v>54</v>
      </c>
      <c r="B58" t="s">
        <v>105</v>
      </c>
      <c r="C58" t="s">
        <v>31</v>
      </c>
      <c r="E58">
        <v>7329</v>
      </c>
      <c r="F58">
        <f>januari2025!E58</f>
        <v>7097</v>
      </c>
      <c r="G58">
        <f>Tabel24256789101112131415171618192120222326[[#This Row],[Stand Coffee einde maand]]-Tabel24256789101112131415171618192120222326[[#This Row],[Coffee vorige maand]]</f>
        <v>232</v>
      </c>
      <c r="H58" s="53">
        <v>3134</v>
      </c>
      <c r="I58">
        <f>januari2025!H58</f>
        <v>3034</v>
      </c>
      <c r="J58">
        <f>Tabel24256789101112131415171618192120222326[[#This Row],[Stand Espresso Einde maand]]-Tabel24256789101112131415171618192120222326[[#This Row],[Espresso vorige maand]]</f>
        <v>100</v>
      </c>
      <c r="K58" s="53">
        <v>3156</v>
      </c>
      <c r="L58">
        <f>januari2025!K58</f>
        <v>3072</v>
      </c>
      <c r="M58">
        <f>Tabel24256789101112131415171618192120222326[[#This Row],[Stand Latte Macchiato einde maand]]-Tabel24256789101112131415171618192120222326[[#This Row],[Latte Macchiato vorige maand]]</f>
        <v>84</v>
      </c>
      <c r="N58" s="53">
        <v>876</v>
      </c>
      <c r="O58">
        <f>januari2025!N58</f>
        <v>833</v>
      </c>
      <c r="P58">
        <f>Tabel24256789101112131415171618192120222326[[#This Row],[Stand Coffee Latte einde maand]]-Tabel24256789101112131415171618192120222326[[#This Row],[Coffee Latte vorige maand]]</f>
        <v>43</v>
      </c>
      <c r="Q58" s="53">
        <v>31902</v>
      </c>
      <c r="R58">
        <f>januari2025!Q58</f>
        <v>30710</v>
      </c>
      <c r="S58">
        <f>Tabel24256789101112131415171618192120222326[[#This Row],[Stand Hot Water einde maand]]-Tabel24256789101112131415171618192120222326[[#This Row],[Hot Water vorige maand]]</f>
        <v>1192</v>
      </c>
      <c r="T58" s="53">
        <v>5752</v>
      </c>
      <c r="U58">
        <f>januari2025!T58</f>
        <v>5556</v>
      </c>
      <c r="V58">
        <f>Tabel24256789101112131415171618192120222326[[#This Row],[Stand Cappucino einde maand]]-Tabel24256789101112131415171618192120222326[[#This Row],[Stand Cappucino vorige maand]]</f>
        <v>196</v>
      </c>
      <c r="W58" s="53">
        <v>1031</v>
      </c>
      <c r="X58">
        <f>januari2025!W58</f>
        <v>1007</v>
      </c>
      <c r="Y58">
        <f>Tabel24256789101112131415171618192120222326[[#This Row],[Stand Cappucino Plantaardig einde maand]]-Tabel24256789101112131415171618192120222326[[#This Row],[Stand Cappucino Plantaardig vorige maand]]</f>
        <v>24</v>
      </c>
      <c r="Z58" s="53">
        <v>242</v>
      </c>
      <c r="AA58">
        <f>januari2025!Z58</f>
        <v>234</v>
      </c>
      <c r="AB58">
        <f>Tabel24256789101112131415171618192120222326[[#This Row],[Stand Latte Macchiato Plantaardig einde maand]]-Tabel24256789101112131415171618192120222326[[#This Row],[Stand Latte Macchiato Plantaardig vorige maand]]</f>
        <v>8</v>
      </c>
      <c r="AC58" s="71">
        <f>Tabel24256789101112131415171618192120222326[[#This Row],[Verbruik Stand Latte Macchiato Plantaardig deze maand]]+Tabel24256789101112131415171618192120222326[[#This Row],[Verbruik  Cappucino Plantaardig deze maand]]+Tabel24256789101112131415171618192120222326[[#This Row],[Verbruik Cappucino deze maand]]+Tabel24256789101112131415171618192120222326[[#This Row],[Verbruik Hot Water deze maand]]+Tabel24256789101112131415171618192120222326[[#This Row],[Verbruik Coffee Latte deze maand]]+Tabel24256789101112131415171618192120222326[[#This Row],[Verbruik Latte Macchiato deze maand]]+Tabel24256789101112131415171618192120222326[[#This Row],[Verbruik Espresso deze maand]]+Tabel24256789101112131415171618192120222326[[#This Row],[Verbruik Coffee deze maand]]</f>
        <v>1879</v>
      </c>
      <c r="AD58" s="69"/>
      <c r="AE58" s="41"/>
      <c r="AF58" s="5"/>
      <c r="AG58" s="5"/>
      <c r="AH58" s="75"/>
      <c r="AI58" s="41"/>
      <c r="AJ58" s="5"/>
      <c r="AK58" s="5"/>
      <c r="AL58" s="75"/>
      <c r="AM58" s="41"/>
      <c r="AN58" s="5"/>
      <c r="AO58" s="5"/>
      <c r="AP58" s="75"/>
      <c r="AQ58" s="41"/>
      <c r="AR58" s="5"/>
      <c r="AS58" s="5"/>
      <c r="AT58" s="75"/>
      <c r="AU58" s="41"/>
      <c r="AV58" s="5"/>
      <c r="AW58" s="5"/>
      <c r="AX58" s="79"/>
      <c r="AY58" s="95">
        <f>Tabel24256789101112131415171618192120222326[[#This Row],[Subtotaal waterbar in consumpties]]+Tabel24256789101112131415171618192120222326[[#This Row],[Subtotaal koffieautomaten]]</f>
        <v>1879</v>
      </c>
    </row>
    <row r="59" spans="1:130" x14ac:dyDescent="0.25">
      <c r="A59" s="65" t="s">
        <v>56</v>
      </c>
      <c r="B59" t="s">
        <v>106</v>
      </c>
      <c r="C59" t="s">
        <v>47</v>
      </c>
      <c r="E59">
        <v>10992</v>
      </c>
      <c r="F59">
        <f>januari2025!E59</f>
        <v>10500</v>
      </c>
      <c r="G59">
        <f>Tabel24256789101112131415171618192120222326[[#This Row],[Stand Coffee einde maand]]-Tabel24256789101112131415171618192120222326[[#This Row],[Coffee vorige maand]]</f>
        <v>492</v>
      </c>
      <c r="H59" s="53">
        <v>3060</v>
      </c>
      <c r="I59">
        <f>januari2025!H59</f>
        <v>2891</v>
      </c>
      <c r="J59">
        <f>Tabel24256789101112131415171618192120222326[[#This Row],[Stand Espresso Einde maand]]-Tabel24256789101112131415171618192120222326[[#This Row],[Espresso vorige maand]]</f>
        <v>169</v>
      </c>
      <c r="K59" s="53">
        <v>3030</v>
      </c>
      <c r="L59">
        <f>januari2025!K59</f>
        <v>2964</v>
      </c>
      <c r="M59">
        <f>Tabel24256789101112131415171618192120222326[[#This Row],[Stand Latte Macchiato einde maand]]-Tabel24256789101112131415171618192120222326[[#This Row],[Latte Macchiato vorige maand]]</f>
        <v>66</v>
      </c>
      <c r="N59" s="53">
        <v>323</v>
      </c>
      <c r="O59">
        <f>januari2025!N59</f>
        <v>301</v>
      </c>
      <c r="P59">
        <f>Tabel24256789101112131415171618192120222326[[#This Row],[Stand Coffee Latte einde maand]]-Tabel24256789101112131415171618192120222326[[#This Row],[Coffee Latte vorige maand]]</f>
        <v>22</v>
      </c>
      <c r="Q59" s="53">
        <v>1</v>
      </c>
      <c r="R59">
        <f>januari2025!Q59</f>
        <v>1</v>
      </c>
      <c r="S59">
        <f>Tabel24256789101112131415171618192120222326[[#This Row],[Stand Hot Water einde maand]]-Tabel24256789101112131415171618192120222326[[#This Row],[Hot Water vorige maand]]</f>
        <v>0</v>
      </c>
      <c r="T59" s="53">
        <v>5911</v>
      </c>
      <c r="U59">
        <f>januari2025!T59</f>
        <v>5643</v>
      </c>
      <c r="V59">
        <f>Tabel24256789101112131415171618192120222326[[#This Row],[Stand Cappucino einde maand]]-Tabel24256789101112131415171618192120222326[[#This Row],[Stand Cappucino vorige maand]]</f>
        <v>268</v>
      </c>
      <c r="W59" s="53">
        <v>1217</v>
      </c>
      <c r="X59">
        <f>januari2025!W59</f>
        <v>1193</v>
      </c>
      <c r="Y59">
        <f>Tabel24256789101112131415171618192120222326[[#This Row],[Stand Cappucino Plantaardig einde maand]]-Tabel24256789101112131415171618192120222326[[#This Row],[Stand Cappucino Plantaardig vorige maand]]</f>
        <v>24</v>
      </c>
      <c r="Z59" s="53">
        <v>169</v>
      </c>
      <c r="AA59">
        <f>januari2025!Z59</f>
        <v>167</v>
      </c>
      <c r="AB59">
        <f>Tabel24256789101112131415171618192120222326[[#This Row],[Stand Latte Macchiato Plantaardig einde maand]]-Tabel24256789101112131415171618192120222326[[#This Row],[Stand Latte Macchiato Plantaardig vorige maand]]</f>
        <v>2</v>
      </c>
      <c r="AC59" s="71">
        <f>Tabel24256789101112131415171618192120222326[[#This Row],[Verbruik Stand Latte Macchiato Plantaardig deze maand]]+Tabel24256789101112131415171618192120222326[[#This Row],[Verbruik  Cappucino Plantaardig deze maand]]+Tabel24256789101112131415171618192120222326[[#This Row],[Verbruik Cappucino deze maand]]+Tabel24256789101112131415171618192120222326[[#This Row],[Verbruik Hot Water deze maand]]+Tabel24256789101112131415171618192120222326[[#This Row],[Verbruik Coffee Latte deze maand]]+Tabel24256789101112131415171618192120222326[[#This Row],[Verbruik Latte Macchiato deze maand]]+Tabel24256789101112131415171618192120222326[[#This Row],[Verbruik Espresso deze maand]]+Tabel24256789101112131415171618192120222326[[#This Row],[Verbruik Coffee deze maand]]</f>
        <v>1043</v>
      </c>
      <c r="AD59" s="53">
        <v>333.5</v>
      </c>
      <c r="AE59">
        <f>januari2025!AD59</f>
        <v>324.10000000000002</v>
      </c>
      <c r="AF59">
        <f>Tabel24256789101112131415171618192120222326[[#This Row],[Stand Kamertemp liter einde maand]]-Tabel24256789101112131415171618192120222326[[#This Row],[Stand Kamertemp liter vorige maand]]</f>
        <v>9.3999999999999773</v>
      </c>
      <c r="AG59" s="2">
        <f>Tabel24256789101112131415171618192120222326[[#This Row],[Verbruik Kamertemp liter deze maand]]/0.15</f>
        <v>62.666666666666515</v>
      </c>
      <c r="AH59" s="53">
        <v>2767.7</v>
      </c>
      <c r="AI59">
        <f>januari2025!AH59</f>
        <v>2664.5</v>
      </c>
      <c r="AJ59">
        <f>Tabel24256789101112131415171618192120222326[[#This Row],[Stand Gekoeld liter einde maand]]-Tabel24256789101112131415171618192120222326[[#This Row],[Stand Gekoeld liter vorige maand]]</f>
        <v>103.19999999999982</v>
      </c>
      <c r="AK59" s="2">
        <f>Tabel24256789101112131415171618192120222326[[#This Row],[Verbruik Gekoeld liter deze maand]]/0.15</f>
        <v>687.99999999999886</v>
      </c>
      <c r="AL59" s="53">
        <v>1959.7</v>
      </c>
      <c r="AM59">
        <f>januari2025!AL59</f>
        <v>1895.4</v>
      </c>
      <c r="AN59">
        <f>Tabel24256789101112131415171618192120222326[[#This Row],[Stand Bruisend liter einde maand]]-Tabel24256789101112131415171618192120222326[[#This Row],[Stand Bruisend liter vorige maand]]</f>
        <v>64.299999999999955</v>
      </c>
      <c r="AO59" s="2">
        <f>Tabel24256789101112131415171618192120222326[[#This Row],[Verbruik Bruisend liter deze maand]]/0.15</f>
        <v>428.6666666666664</v>
      </c>
      <c r="AP59" s="53">
        <v>1127.9000000000001</v>
      </c>
      <c r="AQ59">
        <f>januari2025!AP59</f>
        <v>1084.0999999999999</v>
      </c>
      <c r="AR59">
        <f>Tabel24256789101112131415171618192120222326[[#This Row],[Stand licht bruisend liter einde maand]]-Tabel24256789101112131415171618192120222326[[#This Row],[Stand licht bruisend liter vorige maand]]</f>
        <v>43.800000000000182</v>
      </c>
      <c r="AS59" s="2">
        <f>Tabel24256789101112131415171618192120222326[[#This Row],[Verbruik licht bruisend liter deze maand]]/0.15</f>
        <v>292.00000000000125</v>
      </c>
      <c r="AT59" s="53">
        <v>7824.3</v>
      </c>
      <c r="AU59">
        <f>januari2025!AT59</f>
        <v>7578.9</v>
      </c>
      <c r="AV59">
        <f>Tabel24256789101112131415171618192120222326[[#This Row],[Stand heet water liter einde maand]]-Tabel24256789101112131415171618192120222326[[#This Row],[Stand heet water liter vorige maand]]</f>
        <v>245.40000000000055</v>
      </c>
      <c r="AW59" s="2">
        <f>Tabel24256789101112131415171618192120222326[[#This Row],[Verbruik heet Water liter deze maand ]]/0.15</f>
        <v>1636.0000000000036</v>
      </c>
      <c r="AX59" s="77">
        <f>Tabel24256789101112131415171618192120222326[[#This Row],[Aantal consumpties heet water deze maand]]+Tabel24256789101112131415171618192120222326[[#This Row],[Aantal consumpties licht bruisend water deze maand]]+Tabel24256789101112131415171618192120222326[[#This Row],[aantal consumpties Bruisend water deze maand]]+Tabel24256789101112131415171618192120222326[[#This Row],[Aantal consumpties gekoeld water deze maand]]+Tabel24256789101112131415171618192120222326[[#This Row],[Aantal consumpties Kamertemp deze maand]]</f>
        <v>3107.3333333333371</v>
      </c>
      <c r="AY59" s="95">
        <f>Tabel24256789101112131415171618192120222326[[#This Row],[Subtotaal waterbar in consumpties]]+Tabel24256789101112131415171618192120222326[[#This Row],[Subtotaal koffieautomaten]]</f>
        <v>4150.3333333333376</v>
      </c>
    </row>
    <row r="60" spans="1:130" x14ac:dyDescent="0.25">
      <c r="A60" s="65" t="s">
        <v>58</v>
      </c>
      <c r="B60" t="s">
        <v>107</v>
      </c>
      <c r="C60" t="s">
        <v>31</v>
      </c>
      <c r="E60">
        <v>11335</v>
      </c>
      <c r="F60">
        <f>januari2025!E60</f>
        <v>10679</v>
      </c>
      <c r="G60">
        <f>Tabel24256789101112131415171618192120222326[[#This Row],[Stand Coffee einde maand]]-Tabel24256789101112131415171618192120222326[[#This Row],[Coffee vorige maand]]</f>
        <v>656</v>
      </c>
      <c r="H60" s="53">
        <v>2168</v>
      </c>
      <c r="I60">
        <f>januari2025!H60</f>
        <v>2067</v>
      </c>
      <c r="J60">
        <f>Tabel24256789101112131415171618192120222326[[#This Row],[Stand Espresso Einde maand]]-Tabel24256789101112131415171618192120222326[[#This Row],[Espresso vorige maand]]</f>
        <v>101</v>
      </c>
      <c r="K60" s="53">
        <v>1808</v>
      </c>
      <c r="L60">
        <f>januari2025!K60</f>
        <v>1747</v>
      </c>
      <c r="M60">
        <f>Tabel24256789101112131415171618192120222326[[#This Row],[Stand Latte Macchiato einde maand]]-Tabel24256789101112131415171618192120222326[[#This Row],[Latte Macchiato vorige maand]]</f>
        <v>61</v>
      </c>
      <c r="N60" s="53">
        <v>312</v>
      </c>
      <c r="O60">
        <f>januari2025!N60</f>
        <v>297</v>
      </c>
      <c r="P60">
        <f>Tabel24256789101112131415171618192120222326[[#This Row],[Stand Coffee Latte einde maand]]-Tabel24256789101112131415171618192120222326[[#This Row],[Coffee Latte vorige maand]]</f>
        <v>15</v>
      </c>
      <c r="Q60" s="53">
        <v>22317</v>
      </c>
      <c r="R60">
        <f>januari2025!Q60</f>
        <v>21162</v>
      </c>
      <c r="S60">
        <f>Tabel24256789101112131415171618192120222326[[#This Row],[Stand Hot Water einde maand]]-Tabel24256789101112131415171618192120222326[[#This Row],[Hot Water vorige maand]]</f>
        <v>1155</v>
      </c>
      <c r="T60" s="53">
        <v>3216</v>
      </c>
      <c r="U60">
        <f>januari2025!T60</f>
        <v>3046</v>
      </c>
      <c r="V60">
        <f>Tabel24256789101112131415171618192120222326[[#This Row],[Stand Cappucino einde maand]]-Tabel24256789101112131415171618192120222326[[#This Row],[Stand Cappucino vorige maand]]</f>
        <v>170</v>
      </c>
      <c r="W60" s="53">
        <v>2014</v>
      </c>
      <c r="X60">
        <f>januari2025!W60</f>
        <v>1904</v>
      </c>
      <c r="Y60">
        <f>Tabel24256789101112131415171618192120222326[[#This Row],[Stand Cappucino Plantaardig einde maand]]-Tabel24256789101112131415171618192120222326[[#This Row],[Stand Cappucino Plantaardig vorige maand]]</f>
        <v>110</v>
      </c>
      <c r="Z60" s="53">
        <v>428</v>
      </c>
      <c r="AA60">
        <f>januari2025!Z60</f>
        <v>423</v>
      </c>
      <c r="AB60">
        <f>Tabel24256789101112131415171618192120222326[[#This Row],[Stand Latte Macchiato Plantaardig einde maand]]-Tabel24256789101112131415171618192120222326[[#This Row],[Stand Latte Macchiato Plantaardig vorige maand]]</f>
        <v>5</v>
      </c>
      <c r="AC60" s="71">
        <f>Tabel24256789101112131415171618192120222326[[#This Row],[Verbruik Stand Latte Macchiato Plantaardig deze maand]]+Tabel24256789101112131415171618192120222326[[#This Row],[Verbruik  Cappucino Plantaardig deze maand]]+Tabel24256789101112131415171618192120222326[[#This Row],[Verbruik Cappucino deze maand]]+Tabel24256789101112131415171618192120222326[[#This Row],[Verbruik Hot Water deze maand]]+Tabel24256789101112131415171618192120222326[[#This Row],[Verbruik Coffee Latte deze maand]]+Tabel24256789101112131415171618192120222326[[#This Row],[Verbruik Latte Macchiato deze maand]]+Tabel24256789101112131415171618192120222326[[#This Row],[Verbruik Espresso deze maand]]+Tabel24256789101112131415171618192120222326[[#This Row],[Verbruik Coffee deze maand]]</f>
        <v>2273</v>
      </c>
      <c r="AD60" s="69"/>
      <c r="AE60" s="41"/>
      <c r="AF60" s="5"/>
      <c r="AG60" s="5"/>
      <c r="AH60" s="75"/>
      <c r="AI60" s="41"/>
      <c r="AJ60" s="5"/>
      <c r="AK60" s="5"/>
      <c r="AL60" s="75"/>
      <c r="AM60" s="41"/>
      <c r="AN60" s="5"/>
      <c r="AO60" s="5"/>
      <c r="AP60" s="75"/>
      <c r="AQ60" s="41"/>
      <c r="AR60" s="5"/>
      <c r="AS60" s="5"/>
      <c r="AT60" s="75"/>
      <c r="AU60" s="41"/>
      <c r="AV60" s="5"/>
      <c r="AW60" s="5"/>
      <c r="AX60" s="79"/>
      <c r="AY60" s="95">
        <f>Tabel24256789101112131415171618192120222326[[#This Row],[Subtotaal waterbar in consumpties]]+Tabel24256789101112131415171618192120222326[[#This Row],[Subtotaal koffieautomaten]]</f>
        <v>2273</v>
      </c>
    </row>
    <row r="61" spans="1:130" x14ac:dyDescent="0.25">
      <c r="A61" s="65" t="s">
        <v>60</v>
      </c>
      <c r="B61" t="s">
        <v>108</v>
      </c>
      <c r="C61" t="s">
        <v>36</v>
      </c>
      <c r="E61" s="46"/>
      <c r="F61" s="46"/>
      <c r="G61" s="47"/>
      <c r="H61" s="54"/>
      <c r="I61" s="46"/>
      <c r="J61" s="47"/>
      <c r="K61" s="54"/>
      <c r="L61" s="46"/>
      <c r="M61" s="47"/>
      <c r="N61" s="54"/>
      <c r="O61" s="46"/>
      <c r="P61" s="47"/>
      <c r="Q61" s="54"/>
      <c r="R61" s="46"/>
      <c r="S61" s="47"/>
      <c r="T61" s="54"/>
      <c r="U61" s="46"/>
      <c r="V61" s="47"/>
      <c r="W61" s="54"/>
      <c r="X61" s="46"/>
      <c r="Y61" s="47"/>
      <c r="Z61" s="54"/>
      <c r="AA61" s="46"/>
      <c r="AB61" s="47"/>
      <c r="AC61" s="72"/>
      <c r="AD61" s="53">
        <v>270.39999999999998</v>
      </c>
      <c r="AE61">
        <f>januari2025!AD61</f>
        <v>257.10000000000002</v>
      </c>
      <c r="AF61">
        <f>Tabel24256789101112131415171618192120222326[[#This Row],[Stand Kamertemp liter einde maand]]-Tabel24256789101112131415171618192120222326[[#This Row],[Stand Kamertemp liter vorige maand]]</f>
        <v>13.299999999999955</v>
      </c>
      <c r="AG61" s="2">
        <f>Tabel24256789101112131415171618192120222326[[#This Row],[Verbruik Kamertemp liter deze maand]]/0.15</f>
        <v>88.666666666666373</v>
      </c>
      <c r="AH61" s="53">
        <v>1436.3</v>
      </c>
      <c r="AI61">
        <f>januari2025!AH61</f>
        <v>1376.8</v>
      </c>
      <c r="AJ61">
        <f>Tabel24256789101112131415171618192120222326[[#This Row],[Stand Gekoeld liter einde maand]]-Tabel24256789101112131415171618192120222326[[#This Row],[Stand Gekoeld liter vorige maand]]</f>
        <v>59.5</v>
      </c>
      <c r="AK61" s="2">
        <f>Tabel24256789101112131415171618192120222326[[#This Row],[Verbruik Gekoeld liter deze maand]]/0.15</f>
        <v>396.66666666666669</v>
      </c>
      <c r="AL61" s="53">
        <v>815.7</v>
      </c>
      <c r="AM61">
        <f>januari2025!AL61</f>
        <v>791.6</v>
      </c>
      <c r="AN61">
        <f>Tabel24256789101112131415171618192120222326[[#This Row],[Stand Bruisend liter einde maand]]-Tabel24256789101112131415171618192120222326[[#This Row],[Stand Bruisend liter vorige maand]]</f>
        <v>24.100000000000023</v>
      </c>
      <c r="AO61" s="2">
        <f>Tabel24256789101112131415171618192120222326[[#This Row],[Verbruik Bruisend liter deze maand]]/0.15</f>
        <v>160.66666666666683</v>
      </c>
      <c r="AP61" s="53">
        <v>1097.5999999999999</v>
      </c>
      <c r="AQ61">
        <f>januari2025!AP61</f>
        <v>1059.5999999999999</v>
      </c>
      <c r="AR61">
        <f>Tabel24256789101112131415171618192120222326[[#This Row],[Stand licht bruisend liter einde maand]]-Tabel24256789101112131415171618192120222326[[#This Row],[Stand licht bruisend liter vorige maand]]</f>
        <v>38</v>
      </c>
      <c r="AS61" s="2">
        <f>Tabel24256789101112131415171618192120222326[[#This Row],[Verbruik licht bruisend liter deze maand]]/0.15</f>
        <v>253.33333333333334</v>
      </c>
      <c r="AT61" s="53">
        <v>3896.8</v>
      </c>
      <c r="AU61">
        <f>januari2025!AT61</f>
        <v>3693</v>
      </c>
      <c r="AV61">
        <f>Tabel24256789101112131415171618192120222326[[#This Row],[Stand heet water liter einde maand]]-Tabel24256789101112131415171618192120222326[[#This Row],[Stand heet water liter vorige maand]]</f>
        <v>203.80000000000018</v>
      </c>
      <c r="AW61" s="2">
        <f>Tabel24256789101112131415171618192120222326[[#This Row],[Verbruik heet Water liter deze maand ]]/0.15</f>
        <v>1358.6666666666679</v>
      </c>
      <c r="AX61" s="77">
        <f>Tabel24256789101112131415171618192120222326[[#This Row],[Aantal consumpties heet water deze maand]]+Tabel24256789101112131415171618192120222326[[#This Row],[Aantal consumpties licht bruisend water deze maand]]+Tabel24256789101112131415171618192120222326[[#This Row],[aantal consumpties Bruisend water deze maand]]+Tabel24256789101112131415171618192120222326[[#This Row],[Aantal consumpties gekoeld water deze maand]]+Tabel24256789101112131415171618192120222326[[#This Row],[Aantal consumpties Kamertemp deze maand]]</f>
        <v>2258.0000000000009</v>
      </c>
      <c r="AY61" s="95">
        <f>Tabel24256789101112131415171618192120222326[[#This Row],[Subtotaal waterbar in consumpties]]+Tabel24256789101112131415171618192120222326[[#This Row],[Subtotaal koffieautomaten]]</f>
        <v>2258.0000000000009</v>
      </c>
    </row>
    <row r="62" spans="1:130" s="81" customFormat="1" x14ac:dyDescent="0.25">
      <c r="A62" s="165" t="s">
        <v>109</v>
      </c>
      <c r="B62" s="151"/>
      <c r="C62" s="151"/>
      <c r="D62" s="166"/>
      <c r="E62" s="151"/>
      <c r="F62" s="151"/>
      <c r="G62" s="151"/>
      <c r="H62" s="167"/>
      <c r="I62" s="151"/>
      <c r="J62" s="151"/>
      <c r="K62" s="167"/>
      <c r="L62" s="151"/>
      <c r="M62" s="151"/>
      <c r="N62" s="167"/>
      <c r="O62" s="151"/>
      <c r="P62" s="151"/>
      <c r="Q62" s="167"/>
      <c r="R62" s="151"/>
      <c r="S62" s="151"/>
      <c r="T62" s="167"/>
      <c r="U62" s="151"/>
      <c r="V62" s="151"/>
      <c r="W62" s="167"/>
      <c r="X62" s="151"/>
      <c r="Y62" s="151"/>
      <c r="Z62" s="167"/>
      <c r="AA62" s="151"/>
      <c r="AB62" s="151"/>
      <c r="AC62" s="168"/>
      <c r="AD62" s="169"/>
      <c r="AE62" s="154"/>
      <c r="AF62" s="151"/>
      <c r="AG62" s="155"/>
      <c r="AH62" s="169"/>
      <c r="AI62" s="154"/>
      <c r="AJ62" s="151"/>
      <c r="AK62" s="155"/>
      <c r="AL62" s="169"/>
      <c r="AM62" s="154"/>
      <c r="AN62" s="151"/>
      <c r="AO62" s="155"/>
      <c r="AP62" s="169"/>
      <c r="AQ62" s="154"/>
      <c r="AR62" s="151"/>
      <c r="AS62" s="155"/>
      <c r="AT62" s="169"/>
      <c r="AU62" s="154"/>
      <c r="AV62" s="151"/>
      <c r="AW62" s="155"/>
      <c r="AX62" s="170"/>
      <c r="AY62" s="171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</row>
    <row r="63" spans="1:130" x14ac:dyDescent="0.25">
      <c r="A63" s="67">
        <v>1</v>
      </c>
      <c r="B63" t="s">
        <v>110</v>
      </c>
      <c r="C63" t="s">
        <v>31</v>
      </c>
      <c r="E63">
        <v>10479</v>
      </c>
      <c r="F63">
        <f>januari2025!E63</f>
        <v>10191</v>
      </c>
      <c r="G63">
        <f>Tabel24256789101112131415171618192120222326[[#This Row],[Stand Coffee einde maand]]-Tabel24256789101112131415171618192120222326[[#This Row],[Coffee vorige maand]]</f>
        <v>288</v>
      </c>
      <c r="H63" s="53">
        <v>1488</v>
      </c>
      <c r="I63">
        <f>januari2025!H63</f>
        <v>1447</v>
      </c>
      <c r="J63">
        <f>Tabel24256789101112131415171618192120222326[[#This Row],[Stand Espresso Einde maand]]-Tabel24256789101112131415171618192120222326[[#This Row],[Espresso vorige maand]]</f>
        <v>41</v>
      </c>
      <c r="K63" s="53">
        <v>1015</v>
      </c>
      <c r="L63">
        <f>januari2025!K63</f>
        <v>987</v>
      </c>
      <c r="M63">
        <f>Tabel24256789101112131415171618192120222326[[#This Row],[Stand Latte Macchiato einde maand]]-Tabel24256789101112131415171618192120222326[[#This Row],[Latte Macchiato vorige maand]]</f>
        <v>28</v>
      </c>
      <c r="N63" s="53">
        <v>507</v>
      </c>
      <c r="O63">
        <f>januari2025!N63</f>
        <v>502</v>
      </c>
      <c r="P63">
        <f>Tabel24256789101112131415171618192120222326[[#This Row],[Stand Coffee Latte einde maand]]-Tabel24256789101112131415171618192120222326[[#This Row],[Coffee Latte vorige maand]]</f>
        <v>5</v>
      </c>
      <c r="Q63" s="53">
        <v>8581</v>
      </c>
      <c r="R63">
        <f>januari2025!Q63</f>
        <v>8117</v>
      </c>
      <c r="S63">
        <f>Tabel24256789101112131415171618192120222326[[#This Row],[Stand Hot Water einde maand]]-Tabel24256789101112131415171618192120222326[[#This Row],[Hot Water vorige maand]]</f>
        <v>464</v>
      </c>
      <c r="T63" s="53">
        <v>3442</v>
      </c>
      <c r="U63">
        <f>januari2025!T63</f>
        <v>3267</v>
      </c>
      <c r="V63">
        <f>Tabel24256789101112131415171618192120222326[[#This Row],[Stand Cappucino einde maand]]-Tabel24256789101112131415171618192120222326[[#This Row],[Stand Cappucino vorige maand]]</f>
        <v>175</v>
      </c>
      <c r="W63" s="53">
        <v>52</v>
      </c>
      <c r="X63">
        <f>januari2025!W63</f>
        <v>51</v>
      </c>
      <c r="Y63">
        <f>Tabel24256789101112131415171618192120222326[[#This Row],[Stand Cappucino Plantaardig einde maand]]-Tabel24256789101112131415171618192120222326[[#This Row],[Stand Cappucino Plantaardig vorige maand]]</f>
        <v>1</v>
      </c>
      <c r="Z63" s="53">
        <v>240</v>
      </c>
      <c r="AA63">
        <f>januari2025!Z63</f>
        <v>239</v>
      </c>
      <c r="AB63">
        <f>Tabel24256789101112131415171618192120222326[[#This Row],[Stand Latte Macchiato Plantaardig einde maand]]-Tabel24256789101112131415171618192120222326[[#This Row],[Stand Latte Macchiato Plantaardig vorige maand]]</f>
        <v>1</v>
      </c>
      <c r="AC63" s="71">
        <f>Tabel24256789101112131415171618192120222326[[#This Row],[Verbruik Stand Latte Macchiato Plantaardig deze maand]]+Tabel24256789101112131415171618192120222326[[#This Row],[Verbruik  Cappucino Plantaardig deze maand]]+Tabel24256789101112131415171618192120222326[[#This Row],[Verbruik Cappucino deze maand]]+Tabel24256789101112131415171618192120222326[[#This Row],[Verbruik Hot Water deze maand]]+Tabel24256789101112131415171618192120222326[[#This Row],[Verbruik Coffee Latte deze maand]]+Tabel24256789101112131415171618192120222326[[#This Row],[Verbruik Latte Macchiato deze maand]]+Tabel24256789101112131415171618192120222326[[#This Row],[Verbruik Espresso deze maand]]+Tabel24256789101112131415171618192120222326[[#This Row],[Verbruik Coffee deze maand]]</f>
        <v>1003</v>
      </c>
      <c r="AD63" s="69"/>
      <c r="AE63" s="41"/>
      <c r="AF63" s="5"/>
      <c r="AG63" s="5"/>
      <c r="AH63" s="69"/>
      <c r="AI63" s="41"/>
      <c r="AJ63" s="5"/>
      <c r="AK63" s="5"/>
      <c r="AL63" s="69"/>
      <c r="AM63" s="41"/>
      <c r="AN63" s="5"/>
      <c r="AO63" s="5"/>
      <c r="AP63" s="69"/>
      <c r="AQ63" s="41"/>
      <c r="AR63" s="5"/>
      <c r="AS63" s="5"/>
      <c r="AT63" s="69"/>
      <c r="AU63" s="41"/>
      <c r="AV63" s="5"/>
      <c r="AW63" s="7"/>
      <c r="AX63" s="78"/>
      <c r="AY63" s="95">
        <f>Tabel24256789101112131415171618192120222326[[#This Row],[Subtotaal waterbar in consumpties]]+Tabel24256789101112131415171618192120222326[[#This Row],[Subtotaal koffieautomaten]]</f>
        <v>1003</v>
      </c>
    </row>
    <row r="64" spans="1:130" x14ac:dyDescent="0.25">
      <c r="A64" s="67">
        <v>1</v>
      </c>
      <c r="B64" t="s">
        <v>111</v>
      </c>
      <c r="C64" t="s">
        <v>31</v>
      </c>
      <c r="E64">
        <v>11754</v>
      </c>
      <c r="F64">
        <f>januari2025!E64</f>
        <v>11637</v>
      </c>
      <c r="G64">
        <f>Tabel24256789101112131415171618192120222326[[#This Row],[Stand Coffee einde maand]]-Tabel24256789101112131415171618192120222326[[#This Row],[Coffee vorige maand]]</f>
        <v>117</v>
      </c>
      <c r="H64" s="53">
        <v>551</v>
      </c>
      <c r="I64">
        <f>januari2025!H64</f>
        <v>523</v>
      </c>
      <c r="J64">
        <f>Tabel24256789101112131415171618192120222326[[#This Row],[Stand Espresso Einde maand]]-Tabel24256789101112131415171618192120222326[[#This Row],[Espresso vorige maand]]</f>
        <v>28</v>
      </c>
      <c r="K64" s="53">
        <v>2142</v>
      </c>
      <c r="L64">
        <f>januari2025!K64</f>
        <v>2112</v>
      </c>
      <c r="M64">
        <f>Tabel24256789101112131415171618192120222326[[#This Row],[Stand Latte Macchiato einde maand]]-Tabel24256789101112131415171618192120222326[[#This Row],[Latte Macchiato vorige maand]]</f>
        <v>30</v>
      </c>
      <c r="N64" s="53">
        <v>1310</v>
      </c>
      <c r="O64">
        <f>januari2025!N64</f>
        <v>1306</v>
      </c>
      <c r="P64">
        <f>Tabel24256789101112131415171618192120222326[[#This Row],[Stand Coffee Latte einde maand]]-Tabel24256789101112131415171618192120222326[[#This Row],[Coffee Latte vorige maand]]</f>
        <v>4</v>
      </c>
      <c r="Q64" s="53">
        <v>9409</v>
      </c>
      <c r="R64">
        <f>januari2025!Q64</f>
        <v>9160</v>
      </c>
      <c r="S64">
        <f>Tabel24256789101112131415171618192120222326[[#This Row],[Stand Hot Water einde maand]]-Tabel24256789101112131415171618192120222326[[#This Row],[Hot Water vorige maand]]</f>
        <v>249</v>
      </c>
      <c r="T64" s="53">
        <v>3012</v>
      </c>
      <c r="U64">
        <f>januari2025!T64</f>
        <v>2893</v>
      </c>
      <c r="V64">
        <f>Tabel24256789101112131415171618192120222326[[#This Row],[Stand Cappucino einde maand]]-Tabel24256789101112131415171618192120222326[[#This Row],[Stand Cappucino vorige maand]]</f>
        <v>119</v>
      </c>
      <c r="W64" s="53">
        <v>285</v>
      </c>
      <c r="X64">
        <f>januari2025!W64</f>
        <v>285</v>
      </c>
      <c r="Y64">
        <f>Tabel24256789101112131415171618192120222326[[#This Row],[Stand Cappucino Plantaardig einde maand]]-Tabel24256789101112131415171618192120222326[[#This Row],[Stand Cappucino Plantaardig vorige maand]]</f>
        <v>0</v>
      </c>
      <c r="Z64" s="53">
        <v>337</v>
      </c>
      <c r="AA64">
        <f>januari2025!Z64</f>
        <v>335</v>
      </c>
      <c r="AB64">
        <f>Tabel24256789101112131415171618192120222326[[#This Row],[Stand Latte Macchiato Plantaardig einde maand]]-Tabel24256789101112131415171618192120222326[[#This Row],[Stand Latte Macchiato Plantaardig vorige maand]]</f>
        <v>2</v>
      </c>
      <c r="AC64" s="71">
        <f>Tabel24256789101112131415171618192120222326[[#This Row],[Verbruik Stand Latte Macchiato Plantaardig deze maand]]+Tabel24256789101112131415171618192120222326[[#This Row],[Verbruik  Cappucino Plantaardig deze maand]]+Tabel24256789101112131415171618192120222326[[#This Row],[Verbruik Cappucino deze maand]]+Tabel24256789101112131415171618192120222326[[#This Row],[Verbruik Hot Water deze maand]]+Tabel24256789101112131415171618192120222326[[#This Row],[Verbruik Coffee Latte deze maand]]+Tabel24256789101112131415171618192120222326[[#This Row],[Verbruik Latte Macchiato deze maand]]+Tabel24256789101112131415171618192120222326[[#This Row],[Verbruik Espresso deze maand]]+Tabel24256789101112131415171618192120222326[[#This Row],[Verbruik Coffee deze maand]]</f>
        <v>549</v>
      </c>
      <c r="AD64" s="69"/>
      <c r="AE64" s="41"/>
      <c r="AF64" s="5"/>
      <c r="AG64" s="5"/>
      <c r="AH64" s="69"/>
      <c r="AI64" s="41"/>
      <c r="AJ64" s="5"/>
      <c r="AK64" s="5"/>
      <c r="AL64" s="69"/>
      <c r="AM64" s="41"/>
      <c r="AN64" s="5"/>
      <c r="AO64" s="5"/>
      <c r="AP64" s="69"/>
      <c r="AQ64" s="41"/>
      <c r="AR64" s="5"/>
      <c r="AS64" s="5"/>
      <c r="AT64" s="69"/>
      <c r="AU64" s="41"/>
      <c r="AV64" s="5"/>
      <c r="AW64" s="7"/>
      <c r="AX64" s="78"/>
      <c r="AY64" s="95">
        <f>Tabel24256789101112131415171618192120222326[[#This Row],[Subtotaal waterbar in consumpties]]+Tabel24256789101112131415171618192120222326[[#This Row],[Subtotaal koffieautomaten]]</f>
        <v>549</v>
      </c>
    </row>
    <row r="65" spans="1:53" x14ac:dyDescent="0.25">
      <c r="A65" s="66" t="s">
        <v>112</v>
      </c>
      <c r="E65" s="3">
        <f>SUM(E5:E64)</f>
        <v>639276</v>
      </c>
      <c r="F65" s="3">
        <f>SUM(F5:F64)</f>
        <v>612466</v>
      </c>
      <c r="G65" s="3">
        <f>SUM(G4:G64)</f>
        <v>26810</v>
      </c>
      <c r="H65" s="55">
        <f>SUM(H5:H64)</f>
        <v>163974</v>
      </c>
      <c r="I65" s="3">
        <f>SUM(I5:I64)</f>
        <v>156585</v>
      </c>
      <c r="J65" s="3">
        <f>SUM(J4:J64)</f>
        <v>7389</v>
      </c>
      <c r="K65" s="55">
        <f>SUM(K5:K64)</f>
        <v>76543</v>
      </c>
      <c r="L65" s="3">
        <f>SUM(L5:L64)</f>
        <v>73732</v>
      </c>
      <c r="M65" s="3">
        <f>SUM(M4:M64)</f>
        <v>2811</v>
      </c>
      <c r="N65" s="55">
        <f>SUM(N5:N64)</f>
        <v>44585</v>
      </c>
      <c r="O65" s="3">
        <f>SUM(O5:O64)</f>
        <v>42624</v>
      </c>
      <c r="P65" s="3">
        <f>SUM(P4:P64)</f>
        <v>1961</v>
      </c>
      <c r="Q65" s="55">
        <f>SUM(Q5:Q64)</f>
        <v>772192</v>
      </c>
      <c r="R65" s="3">
        <f>SUM(R5:R64)</f>
        <v>734258</v>
      </c>
      <c r="S65" s="3">
        <f>SUM(S4:S64)</f>
        <v>37934</v>
      </c>
      <c r="T65" s="55">
        <f>SUM(T5:T64)</f>
        <v>351738</v>
      </c>
      <c r="U65" s="3">
        <f>SUM(U5:U64)</f>
        <v>337524</v>
      </c>
      <c r="V65" s="3">
        <f>SUM(V4:V64)</f>
        <v>14214</v>
      </c>
      <c r="W65" s="55">
        <f>SUM(W5:W64)</f>
        <v>64281</v>
      </c>
      <c r="X65" s="3">
        <f>SUM(X5:X64)</f>
        <v>62132</v>
      </c>
      <c r="Y65" s="3">
        <f>SUM(Y4:Y64)</f>
        <v>2149</v>
      </c>
      <c r="Z65" s="55">
        <f>SUM(Z5:Z64)</f>
        <v>23531</v>
      </c>
      <c r="AA65" s="3">
        <f>SUM(AA5:AA64)</f>
        <v>22642</v>
      </c>
      <c r="AB65" s="3">
        <f t="shared" ref="AB65:AQ65" si="0">SUM(AB4:AB64)</f>
        <v>889</v>
      </c>
      <c r="AC65" s="71">
        <f t="shared" si="0"/>
        <v>94157</v>
      </c>
      <c r="AD65" s="55">
        <f t="shared" si="0"/>
        <v>4206.4999999999991</v>
      </c>
      <c r="AE65" s="3">
        <f t="shared" si="0"/>
        <v>3691.1</v>
      </c>
      <c r="AF65" s="4">
        <f t="shared" si="0"/>
        <v>515.4</v>
      </c>
      <c r="AG65" s="4">
        <f t="shared" si="0"/>
        <v>3435.9999999999995</v>
      </c>
      <c r="AH65" s="76"/>
      <c r="AI65" s="4">
        <f t="shared" si="0"/>
        <v>21532.699999999997</v>
      </c>
      <c r="AJ65" s="4">
        <f t="shared" si="0"/>
        <v>2709.4000000000005</v>
      </c>
      <c r="AK65" s="4">
        <f t="shared" si="0"/>
        <v>18062.666666666668</v>
      </c>
      <c r="AL65" s="76">
        <f t="shared" si="0"/>
        <v>17053.599999999999</v>
      </c>
      <c r="AM65" s="4">
        <f t="shared" si="0"/>
        <v>15240.800000000001</v>
      </c>
      <c r="AN65" s="4">
        <f t="shared" si="0"/>
        <v>1812.7999999999997</v>
      </c>
      <c r="AO65" s="4">
        <f t="shared" si="0"/>
        <v>12085.33333333333</v>
      </c>
      <c r="AP65" s="76">
        <f t="shared" si="0"/>
        <v>7854</v>
      </c>
      <c r="AQ65" s="4">
        <f t="shared" si="0"/>
        <v>7089.6</v>
      </c>
      <c r="AR65" s="3">
        <f>SUM(AR5:AR64)</f>
        <v>764.40000000000032</v>
      </c>
      <c r="AS65" s="4">
        <f>SUM(AS4:AS64)</f>
        <v>5096</v>
      </c>
      <c r="AT65" s="76">
        <f>SUM(AT4:AT64)</f>
        <v>59658.400000000009</v>
      </c>
      <c r="AU65" s="4">
        <f>SUM(AU4:AU64)</f>
        <v>52129.2</v>
      </c>
      <c r="AV65" s="3">
        <f>SUM(AV5:AV64)</f>
        <v>7529.2000000000007</v>
      </c>
      <c r="AW65" s="4">
        <f>SUM(AW4:AW64)</f>
        <v>50194.666666666672</v>
      </c>
      <c r="AX65" s="77">
        <f>SUM(AX4:AX64)</f>
        <v>88874.666666666701</v>
      </c>
      <c r="AY65" s="95">
        <f>Tabel24256789101112131415171618192120222326[[#This Row],[Subtotaal waterbar in consumpties]]+Tabel24256789101112131415171618192120222326[[#This Row],[Subtotaal koffieautomaten]]</f>
        <v>183031.66666666669</v>
      </c>
    </row>
    <row r="66" spans="1:53" x14ac:dyDescent="0.25">
      <c r="A66" s="91"/>
      <c r="B66" s="57"/>
      <c r="C66" s="57"/>
      <c r="D66" s="58"/>
      <c r="E66" s="57"/>
      <c r="F66" s="57"/>
      <c r="G66" s="57"/>
      <c r="H66" s="56"/>
      <c r="I66" s="57"/>
      <c r="J66" s="57"/>
      <c r="K66" s="56"/>
      <c r="L66" s="57"/>
      <c r="M66" s="57"/>
      <c r="N66" s="56"/>
      <c r="O66" s="57"/>
      <c r="P66" s="57"/>
      <c r="Q66" s="56"/>
      <c r="R66" s="57"/>
      <c r="S66" s="57"/>
      <c r="T66" s="56"/>
      <c r="U66" s="57"/>
      <c r="V66" s="57"/>
      <c r="W66" s="56"/>
      <c r="X66" s="57"/>
      <c r="Y66" s="57"/>
      <c r="Z66" s="56"/>
      <c r="AA66" s="57"/>
      <c r="AB66" s="57"/>
      <c r="AC66" s="90"/>
      <c r="AD66" s="56"/>
      <c r="AE66" s="57"/>
      <c r="AF66" s="57"/>
      <c r="AG66" s="57"/>
      <c r="AH66" s="56"/>
      <c r="AI66" s="57"/>
      <c r="AJ66" s="57"/>
      <c r="AK66" s="57"/>
      <c r="AL66" s="56"/>
      <c r="AM66" s="57"/>
      <c r="AN66" s="57"/>
      <c r="AO66" s="57"/>
      <c r="AP66" s="56"/>
      <c r="AQ66" s="57"/>
      <c r="AR66" s="57"/>
      <c r="AS66" s="57"/>
      <c r="AT66" s="56"/>
      <c r="AU66" s="57"/>
      <c r="AV66" s="57"/>
      <c r="AW66" s="57"/>
      <c r="AX66" s="92"/>
      <c r="AY66" s="96"/>
    </row>
    <row r="67" spans="1:53" x14ac:dyDescent="0.25">
      <c r="A67"/>
      <c r="D67"/>
      <c r="K67"/>
      <c r="N67"/>
      <c r="Q67"/>
      <c r="T67"/>
      <c r="W67"/>
      <c r="Z67"/>
      <c r="AC67"/>
      <c r="AD67"/>
      <c r="AH67"/>
      <c r="AL67"/>
      <c r="AP67"/>
      <c r="AT67"/>
      <c r="AX67"/>
      <c r="AY67"/>
    </row>
    <row r="68" spans="1:53" x14ac:dyDescent="0.25">
      <c r="A68"/>
      <c r="D68"/>
      <c r="K68"/>
      <c r="N68"/>
      <c r="Q68"/>
      <c r="T68"/>
      <c r="W68"/>
      <c r="Z68"/>
      <c r="AC68"/>
      <c r="AD68"/>
      <c r="AH68"/>
      <c r="AL68"/>
      <c r="AP68"/>
      <c r="AT68"/>
      <c r="AX68"/>
      <c r="AY68" s="2"/>
      <c r="AZ68" s="2"/>
    </row>
    <row r="69" spans="1:53" x14ac:dyDescent="0.25">
      <c r="A69" s="49"/>
      <c r="B69" t="s">
        <v>166</v>
      </c>
      <c r="D69"/>
      <c r="K69"/>
      <c r="N69"/>
      <c r="Q69"/>
      <c r="T69"/>
      <c r="W69"/>
      <c r="Z69"/>
      <c r="AC69"/>
      <c r="AD69"/>
      <c r="AH69"/>
      <c r="AL69"/>
      <c r="AP69"/>
      <c r="AT69"/>
      <c r="AX69"/>
      <c r="AY69" s="4"/>
      <c r="AZ69" s="4"/>
      <c r="BA69" s="48"/>
    </row>
    <row r="70" spans="1:53" x14ac:dyDescent="0.25">
      <c r="A70" s="50"/>
      <c r="B70" t="s">
        <v>167</v>
      </c>
      <c r="D70"/>
      <c r="K70"/>
      <c r="N70"/>
      <c r="Q70"/>
      <c r="T70"/>
      <c r="W70"/>
      <c r="Z70"/>
      <c r="AC70"/>
      <c r="AD70"/>
      <c r="AH70"/>
      <c r="AL70"/>
      <c r="AP70"/>
      <c r="AT70"/>
      <c r="AX70"/>
      <c r="AY70" s="3"/>
      <c r="AZ70" s="4"/>
      <c r="BA70" s="48"/>
    </row>
    <row r="71" spans="1:53" x14ac:dyDescent="0.25">
      <c r="A71"/>
      <c r="D71"/>
      <c r="K71"/>
      <c r="N71"/>
      <c r="Q71"/>
      <c r="T71"/>
      <c r="W71"/>
      <c r="Z71"/>
      <c r="AC71"/>
      <c r="AD71"/>
      <c r="AH71"/>
      <c r="AL71"/>
      <c r="AP71"/>
      <c r="AT71"/>
      <c r="AX71"/>
      <c r="AY71"/>
      <c r="AZ71" s="2"/>
    </row>
    <row r="72" spans="1:53" x14ac:dyDescent="0.25">
      <c r="A72"/>
      <c r="D72"/>
      <c r="K72"/>
      <c r="N72"/>
      <c r="Q72"/>
      <c r="T72"/>
      <c r="W72"/>
      <c r="Z72"/>
      <c r="AC72"/>
      <c r="AD72"/>
      <c r="AH72"/>
      <c r="AL72"/>
      <c r="AP72"/>
      <c r="AT72"/>
      <c r="AX72"/>
      <c r="AY72"/>
    </row>
    <row r="73" spans="1:53" x14ac:dyDescent="0.25">
      <c r="A73"/>
      <c r="D73"/>
      <c r="K73"/>
      <c r="N73"/>
      <c r="Q73"/>
      <c r="T73"/>
      <c r="W73"/>
      <c r="Z73"/>
      <c r="AC73"/>
      <c r="AD73"/>
      <c r="AH73"/>
      <c r="AL73"/>
      <c r="AP73"/>
      <c r="AT73"/>
      <c r="AX73"/>
      <c r="AY73"/>
    </row>
    <row r="74" spans="1:53" x14ac:dyDescent="0.25">
      <c r="A74"/>
      <c r="D74"/>
      <c r="K74"/>
      <c r="N74"/>
      <c r="Q74"/>
      <c r="T74"/>
      <c r="W74"/>
      <c r="Z74"/>
      <c r="AC74"/>
      <c r="AD74"/>
      <c r="AH74"/>
      <c r="AL74"/>
      <c r="AP74"/>
      <c r="AT74"/>
      <c r="AX74"/>
      <c r="AY74"/>
    </row>
    <row r="75" spans="1:53" x14ac:dyDescent="0.25">
      <c r="A75"/>
      <c r="D75"/>
      <c r="K75"/>
      <c r="N75"/>
      <c r="Q75"/>
      <c r="T75"/>
      <c r="W75"/>
      <c r="Z75"/>
      <c r="AC75"/>
      <c r="AD75"/>
      <c r="AH75"/>
      <c r="AL75"/>
      <c r="AP75"/>
      <c r="AT75"/>
      <c r="AX75"/>
      <c r="AY75"/>
    </row>
    <row r="76" spans="1:53" x14ac:dyDescent="0.25">
      <c r="A76"/>
      <c r="D76"/>
      <c r="K76"/>
      <c r="N76"/>
      <c r="Q76"/>
      <c r="T76"/>
      <c r="W76"/>
      <c r="Z76"/>
      <c r="AC76"/>
      <c r="AD76"/>
      <c r="AH76"/>
      <c r="AL76"/>
      <c r="AP76"/>
      <c r="AT76"/>
      <c r="AX76"/>
      <c r="AY76"/>
    </row>
    <row r="77" spans="1:53" x14ac:dyDescent="0.25">
      <c r="A77"/>
      <c r="D77"/>
      <c r="K77"/>
      <c r="N77"/>
      <c r="Q77"/>
      <c r="T77"/>
      <c r="W77"/>
      <c r="Z77"/>
      <c r="AC77"/>
      <c r="AD77"/>
      <c r="AH77"/>
      <c r="AL77"/>
      <c r="AP77"/>
      <c r="AT77"/>
      <c r="AX77"/>
      <c r="AY77"/>
    </row>
    <row r="78" spans="1:53" x14ac:dyDescent="0.25">
      <c r="A78"/>
      <c r="D78"/>
      <c r="K78"/>
      <c r="N78"/>
      <c r="Q78"/>
      <c r="T78"/>
      <c r="W78"/>
      <c r="Z78"/>
      <c r="AC78"/>
      <c r="AD78"/>
      <c r="AH78"/>
      <c r="AL78"/>
      <c r="AP78"/>
      <c r="AT78"/>
      <c r="AX78"/>
      <c r="AY78"/>
    </row>
    <row r="79" spans="1:53" x14ac:dyDescent="0.25">
      <c r="A79"/>
      <c r="D79"/>
      <c r="K79"/>
      <c r="N79"/>
      <c r="Q79"/>
      <c r="T79"/>
      <c r="W79"/>
      <c r="Z79"/>
      <c r="AC79"/>
      <c r="AD79"/>
      <c r="AH79"/>
      <c r="AL79"/>
      <c r="AP79"/>
      <c r="AT79"/>
      <c r="AX79"/>
      <c r="AY79"/>
    </row>
    <row r="80" spans="1:53" x14ac:dyDescent="0.25">
      <c r="A80"/>
      <c r="D80"/>
      <c r="K80"/>
      <c r="N80"/>
      <c r="Q80"/>
      <c r="T80"/>
      <c r="W80"/>
      <c r="Z80"/>
      <c r="AC80"/>
      <c r="AD80"/>
      <c r="AH80"/>
      <c r="AL80"/>
      <c r="AP80"/>
      <c r="AT80"/>
      <c r="AX80"/>
      <c r="AY80"/>
    </row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</sheetData>
  <mergeCells count="3">
    <mergeCell ref="A1:D1"/>
    <mergeCell ref="E1:AC1"/>
    <mergeCell ref="AD1:AY1"/>
  </mergeCells>
  <pageMargins left="0.7" right="0.7" top="0.75" bottom="0.75" header="0.3" footer="0.3"/>
  <legacyDrawing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05A48-B674-4F24-B240-295D675D69B7}">
  <dimension ref="A1:DZ147"/>
  <sheetViews>
    <sheetView topLeftCell="P1" zoomScale="130" zoomScaleNormal="130" workbookViewId="0">
      <pane ySplit="2" topLeftCell="A51" activePane="bottomLeft" state="frozen"/>
      <selection pane="bottomLeft" activeCell="A3" sqref="A3:XFD3"/>
    </sheetView>
  </sheetViews>
  <sheetFormatPr defaultRowHeight="15" x14ac:dyDescent="0.25"/>
  <cols>
    <col min="1" max="1" width="32.140625" style="65" bestFit="1" customWidth="1"/>
    <col min="2" max="2" width="21.42578125" bestFit="1" customWidth="1"/>
    <col min="3" max="3" width="25.42578125" bestFit="1" customWidth="1"/>
    <col min="4" max="4" width="18.5703125" style="52" customWidth="1"/>
    <col min="5" max="5" width="10.140625" customWidth="1"/>
    <col min="6" max="6" width="10.42578125" customWidth="1"/>
    <col min="7" max="7" width="10.5703125" customWidth="1"/>
    <col min="8" max="8" width="11.85546875" customWidth="1"/>
    <col min="9" max="9" width="11.7109375" customWidth="1"/>
    <col min="10" max="10" width="12.42578125" customWidth="1"/>
    <col min="11" max="11" width="17.140625" style="53" customWidth="1"/>
    <col min="12" max="12" width="13.5703125" customWidth="1"/>
    <col min="13" max="13" width="13.42578125" bestFit="1" customWidth="1"/>
    <col min="14" max="14" width="14" style="53" customWidth="1"/>
    <col min="15" max="16" width="14" customWidth="1"/>
    <col min="17" max="17" width="14.140625" style="53" customWidth="1"/>
    <col min="18" max="19" width="12.28515625" customWidth="1"/>
    <col min="20" max="20" width="12.42578125" style="53" customWidth="1"/>
    <col min="21" max="22" width="12.42578125" customWidth="1"/>
    <col min="23" max="23" width="17" style="53" customWidth="1"/>
    <col min="24" max="25" width="17" customWidth="1"/>
    <col min="26" max="26" width="20.7109375" style="53" customWidth="1"/>
    <col min="27" max="28" width="20.7109375" customWidth="1"/>
    <col min="29" max="29" width="14.7109375" style="74" customWidth="1"/>
    <col min="30" max="30" width="17.5703125" style="53" customWidth="1"/>
    <col min="31" max="32" width="17.5703125" customWidth="1"/>
    <col min="33" max="33" width="20.28515625" customWidth="1"/>
    <col min="34" max="34" width="14.42578125" style="53" customWidth="1"/>
    <col min="35" max="36" width="14.42578125" customWidth="1"/>
    <col min="37" max="37" width="21.28515625" customWidth="1"/>
    <col min="38" max="38" width="15.140625" style="53" customWidth="1"/>
    <col min="39" max="40" width="15.140625" customWidth="1"/>
    <col min="41" max="41" width="21.28515625" customWidth="1"/>
    <col min="42" max="42" width="19.42578125" style="53" customWidth="1"/>
    <col min="43" max="44" width="19.42578125" customWidth="1"/>
    <col min="45" max="45" width="21.28515625" customWidth="1"/>
    <col min="46" max="46" width="17" style="53" customWidth="1"/>
    <col min="47" max="48" width="17" customWidth="1"/>
    <col min="49" max="49" width="21.28515625" customWidth="1"/>
    <col min="50" max="50" width="20" style="74" customWidth="1"/>
    <col min="51" max="51" width="23.5703125" style="68" bestFit="1" customWidth="1"/>
    <col min="52" max="52" width="10" bestFit="1" customWidth="1"/>
    <col min="53" max="53" width="14.28515625" bestFit="1" customWidth="1"/>
  </cols>
  <sheetData>
    <row r="1" spans="1:130" x14ac:dyDescent="0.25">
      <c r="A1" s="173" t="s">
        <v>0</v>
      </c>
      <c r="B1" s="174"/>
      <c r="C1" s="174"/>
      <c r="D1" s="177"/>
      <c r="E1" s="174" t="s">
        <v>1</v>
      </c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3" t="s">
        <v>2</v>
      </c>
      <c r="AE1" s="174"/>
      <c r="AF1" s="174"/>
      <c r="AG1" s="174"/>
      <c r="AH1" s="174"/>
      <c r="AI1" s="174"/>
      <c r="AJ1" s="174"/>
      <c r="AK1" s="174"/>
      <c r="AL1" s="174"/>
      <c r="AM1" s="174"/>
      <c r="AN1" s="174"/>
      <c r="AO1" s="174"/>
      <c r="AP1" s="174"/>
      <c r="AQ1" s="174"/>
      <c r="AR1" s="174"/>
      <c r="AS1" s="174"/>
      <c r="AT1" s="174"/>
      <c r="AU1" s="174"/>
      <c r="AV1" s="174"/>
      <c r="AW1" s="174"/>
      <c r="AX1" s="174"/>
      <c r="AY1" s="174"/>
    </row>
    <row r="2" spans="1:130" ht="120" customHeight="1" x14ac:dyDescent="0.25">
      <c r="A2" s="65" t="s">
        <v>3</v>
      </c>
      <c r="B2" t="s">
        <v>4</v>
      </c>
      <c r="C2" t="s">
        <v>5</v>
      </c>
      <c r="D2" s="52" t="s">
        <v>6</v>
      </c>
      <c r="E2" s="1" t="s">
        <v>113</v>
      </c>
      <c r="F2" s="1" t="s">
        <v>114</v>
      </c>
      <c r="G2" s="60" t="s">
        <v>115</v>
      </c>
      <c r="H2" s="1" t="s">
        <v>116</v>
      </c>
      <c r="I2" s="1" t="s">
        <v>117</v>
      </c>
      <c r="J2" s="1" t="s">
        <v>118</v>
      </c>
      <c r="K2" s="59" t="s">
        <v>119</v>
      </c>
      <c r="L2" s="1" t="s">
        <v>120</v>
      </c>
      <c r="M2" s="1" t="s">
        <v>121</v>
      </c>
      <c r="N2" s="59" t="s">
        <v>122</v>
      </c>
      <c r="O2" s="1" t="s">
        <v>123</v>
      </c>
      <c r="P2" s="1" t="s">
        <v>124</v>
      </c>
      <c r="Q2" s="59" t="s">
        <v>125</v>
      </c>
      <c r="R2" s="1" t="s">
        <v>126</v>
      </c>
      <c r="S2" s="1" t="s">
        <v>127</v>
      </c>
      <c r="T2" s="59" t="s">
        <v>128</v>
      </c>
      <c r="U2" s="1" t="s">
        <v>129</v>
      </c>
      <c r="V2" s="1" t="s">
        <v>130</v>
      </c>
      <c r="W2" s="59" t="s">
        <v>131</v>
      </c>
      <c r="X2" s="1" t="s">
        <v>132</v>
      </c>
      <c r="Y2" s="1" t="s">
        <v>133</v>
      </c>
      <c r="Z2" s="59" t="s">
        <v>134</v>
      </c>
      <c r="AA2" s="1" t="s">
        <v>135</v>
      </c>
      <c r="AB2" s="1" t="s">
        <v>136</v>
      </c>
      <c r="AC2" s="70" t="s">
        <v>15</v>
      </c>
      <c r="AD2" s="59" t="s">
        <v>137</v>
      </c>
      <c r="AE2" s="1" t="s">
        <v>138</v>
      </c>
      <c r="AF2" s="1" t="s">
        <v>139</v>
      </c>
      <c r="AG2" s="1" t="s">
        <v>140</v>
      </c>
      <c r="AH2" s="59" t="s">
        <v>141</v>
      </c>
      <c r="AI2" s="1" t="s">
        <v>142</v>
      </c>
      <c r="AJ2" s="1" t="s">
        <v>143</v>
      </c>
      <c r="AK2" s="1" t="s">
        <v>144</v>
      </c>
      <c r="AL2" s="59" t="s">
        <v>145</v>
      </c>
      <c r="AM2" s="1" t="s">
        <v>146</v>
      </c>
      <c r="AN2" s="1" t="s">
        <v>147</v>
      </c>
      <c r="AO2" s="1" t="s">
        <v>148</v>
      </c>
      <c r="AP2" s="59" t="s">
        <v>149</v>
      </c>
      <c r="AQ2" s="1" t="s">
        <v>150</v>
      </c>
      <c r="AR2" s="1" t="s">
        <v>151</v>
      </c>
      <c r="AS2" s="1" t="s">
        <v>152</v>
      </c>
      <c r="AT2" s="59" t="s">
        <v>153</v>
      </c>
      <c r="AU2" s="1" t="s">
        <v>154</v>
      </c>
      <c r="AV2" s="1" t="s">
        <v>155</v>
      </c>
      <c r="AW2" s="1" t="s">
        <v>156</v>
      </c>
      <c r="AX2" s="70" t="s">
        <v>157</v>
      </c>
      <c r="AY2" s="93" t="s">
        <v>27</v>
      </c>
    </row>
    <row r="3" spans="1:130" s="146" customFormat="1" x14ac:dyDescent="0.25">
      <c r="A3" s="158" t="s">
        <v>168</v>
      </c>
      <c r="B3" s="147"/>
      <c r="C3" s="147"/>
      <c r="D3" s="159"/>
      <c r="E3" s="149"/>
      <c r="F3" s="147"/>
      <c r="G3" s="147"/>
      <c r="H3" s="149"/>
      <c r="I3" s="147"/>
      <c r="J3" s="147"/>
      <c r="K3" s="160"/>
      <c r="L3" s="147"/>
      <c r="M3" s="147"/>
      <c r="N3" s="160"/>
      <c r="O3" s="147"/>
      <c r="P3" s="147"/>
      <c r="Q3" s="160"/>
      <c r="R3" s="147"/>
      <c r="S3" s="147"/>
      <c r="T3" s="160"/>
      <c r="U3" s="147"/>
      <c r="V3" s="147"/>
      <c r="W3" s="160"/>
      <c r="X3" s="147"/>
      <c r="Y3" s="147"/>
      <c r="Z3" s="160"/>
      <c r="AA3" s="147"/>
      <c r="AB3" s="147"/>
      <c r="AC3" s="161"/>
      <c r="AD3" s="162"/>
      <c r="AE3" s="147"/>
      <c r="AF3" s="147"/>
      <c r="AG3" s="148"/>
      <c r="AH3" s="160"/>
      <c r="AI3" s="147"/>
      <c r="AJ3" s="147"/>
      <c r="AK3" s="148"/>
      <c r="AL3" s="160"/>
      <c r="AM3" s="147"/>
      <c r="AN3" s="147"/>
      <c r="AO3" s="148"/>
      <c r="AP3" s="160"/>
      <c r="AQ3" s="147"/>
      <c r="AR3" s="147"/>
      <c r="AS3" s="148"/>
      <c r="AT3" s="160"/>
      <c r="AU3" s="147"/>
      <c r="AV3" s="147"/>
      <c r="AW3" s="148"/>
      <c r="AX3" s="163"/>
      <c r="AY3" s="164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</row>
    <row r="4" spans="1:130" s="81" customFormat="1" x14ac:dyDescent="0.25">
      <c r="A4" s="80" t="s">
        <v>28</v>
      </c>
      <c r="D4" s="82"/>
      <c r="E4" s="83"/>
      <c r="H4" s="84"/>
      <c r="K4" s="84"/>
      <c r="N4" s="84"/>
      <c r="Q4" s="84"/>
      <c r="T4" s="84"/>
      <c r="W4" s="84"/>
      <c r="Z4" s="84"/>
      <c r="AC4" s="85"/>
      <c r="AD4" s="86"/>
      <c r="AG4" s="87"/>
      <c r="AH4" s="84"/>
      <c r="AK4" s="87"/>
      <c r="AL4" s="84"/>
      <c r="AO4" s="87"/>
      <c r="AP4" s="84"/>
      <c r="AS4" s="87"/>
      <c r="AT4" s="84"/>
      <c r="AW4" s="87"/>
      <c r="AX4" s="88"/>
      <c r="AY4" s="9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</row>
    <row r="5" spans="1:130" x14ac:dyDescent="0.25">
      <c r="A5" s="65" t="s">
        <v>29</v>
      </c>
      <c r="B5" t="s">
        <v>30</v>
      </c>
      <c r="C5" t="s">
        <v>31</v>
      </c>
      <c r="E5">
        <v>7458</v>
      </c>
      <c r="F5">
        <f>februari2025!E5</f>
        <v>6980</v>
      </c>
      <c r="G5">
        <f>Tabel2425678910111213141517161819212022232614[[#This Row],[Stand Coffee einde maand]]-Tabel2425678910111213141517161819212022232614[[#This Row],[Coffee vorige maand]]</f>
        <v>478</v>
      </c>
      <c r="H5" s="53">
        <v>3582</v>
      </c>
      <c r="I5">
        <f>februari2025!H5</f>
        <v>3396</v>
      </c>
      <c r="J5">
        <f>Tabel2425678910111213141517161819212022232614[[#This Row],[Stand Espresso Einde maand]]-Tabel2425678910111213141517161819212022232614[[#This Row],[Espresso vorige maand]]</f>
        <v>186</v>
      </c>
      <c r="K5" s="53">
        <v>2200</v>
      </c>
      <c r="L5">
        <f>februari2025!K5</f>
        <v>2144</v>
      </c>
      <c r="M5">
        <f>Tabel2425678910111213141517161819212022232614[[#This Row],[Stand Latte Macchiato einde maand]]-Tabel2425678910111213141517161819212022232614[[#This Row],[Latte Macchiato vorige maand]]</f>
        <v>56</v>
      </c>
      <c r="N5" s="53">
        <v>1086</v>
      </c>
      <c r="O5">
        <f>februari2025!N5</f>
        <v>1065</v>
      </c>
      <c r="P5">
        <f>Tabel2425678910111213141517161819212022232614[[#This Row],[Stand Coffee Latte einde maand]]-Tabel2425678910111213141517161819212022232614[[#This Row],[Coffee Latte vorige maand]]</f>
        <v>21</v>
      </c>
      <c r="Q5" s="53">
        <v>6895</v>
      </c>
      <c r="R5">
        <f>februari2025!Q5</f>
        <v>6755</v>
      </c>
      <c r="S5">
        <f>Tabel2425678910111213141517161819212022232614[[#This Row],[Stand Hot Water einde maand]]-Tabel2425678910111213141517161819212022232614[[#This Row],[Hot Water vorige maand]]</f>
        <v>140</v>
      </c>
      <c r="T5" s="53">
        <v>8534</v>
      </c>
      <c r="U5">
        <f>februari2025!T5</f>
        <v>8345</v>
      </c>
      <c r="V5">
        <f>Tabel2425678910111213141517161819212022232614[[#This Row],[Stand Cappucino einde maand]]-Tabel2425678910111213141517161819212022232614[[#This Row],[Stand Cappucino vorige maand]]</f>
        <v>189</v>
      </c>
      <c r="W5" s="53">
        <v>180</v>
      </c>
      <c r="X5">
        <f>februari2025!W5</f>
        <v>178</v>
      </c>
      <c r="Y5">
        <f>Tabel2425678910111213141517161819212022232614[[#This Row],[Stand Cappucino Plantaardig einde maand]]-Tabel2425678910111213141517161819212022232614[[#This Row],[Stand Cappucino Plantaardig vorige maand]]</f>
        <v>2</v>
      </c>
      <c r="Z5" s="53">
        <v>364</v>
      </c>
      <c r="AA5">
        <f>februari2025!Z5</f>
        <v>358</v>
      </c>
      <c r="AB5">
        <f>Tabel2425678910111213141517161819212022232614[[#This Row],[Stand Latte Macchiato Plantaardig einde maand]]-Tabel2425678910111213141517161819212022232614[[#This Row],[Stand Latte Macchiato Plantaardig vorige maand]]</f>
        <v>6</v>
      </c>
      <c r="AC5" s="71">
        <f>Tabel2425678910111213141517161819212022232614[[#This Row],[Verbruik Stand Latte Macchiato Plantaardig deze maand]]+Tabel2425678910111213141517161819212022232614[[#This Row],[Verbruik  Cappucino Plantaardig deze maand]]+Tabel2425678910111213141517161819212022232614[[#This Row],[Verbruik Cappucino deze maand]]+Tabel2425678910111213141517161819212022232614[[#This Row],[Verbruik Hot Water deze maand]]+Tabel2425678910111213141517161819212022232614[[#This Row],[Verbruik Coffee Latte deze maand]]+Tabel2425678910111213141517161819212022232614[[#This Row],[Verbruik Latte Macchiato deze maand]]+Tabel2425678910111213141517161819212022232614[[#This Row],[Verbruik Espresso deze maand]]+Tabel2425678910111213141517161819212022232614[[#This Row],[Verbruik Coffee deze maand]]</f>
        <v>1078</v>
      </c>
      <c r="AD5" s="69"/>
      <c r="AE5" s="41"/>
      <c r="AF5" s="5"/>
      <c r="AG5" s="5"/>
      <c r="AH5" s="69"/>
      <c r="AI5" s="41"/>
      <c r="AJ5" s="5"/>
      <c r="AK5" s="5"/>
      <c r="AL5" s="69"/>
      <c r="AM5" s="41"/>
      <c r="AN5" s="5"/>
      <c r="AO5" s="5"/>
      <c r="AP5" s="69"/>
      <c r="AQ5" s="41"/>
      <c r="AR5" s="5"/>
      <c r="AS5" s="5"/>
      <c r="AT5" s="69"/>
      <c r="AU5" s="41"/>
      <c r="AV5" s="5"/>
      <c r="AW5" s="7"/>
      <c r="AX5" s="78"/>
      <c r="AY5" s="95">
        <f>Tabel2425678910111213141517161819212022232614[[#This Row],[Subtotaal waterbar in consumpties]]+Tabel2425678910111213141517161819212022232614[[#This Row],[Subtotaal koffieautomaten]]</f>
        <v>1078</v>
      </c>
    </row>
    <row r="6" spans="1:130" x14ac:dyDescent="0.25">
      <c r="A6" s="65" t="s">
        <v>32</v>
      </c>
      <c r="B6" t="s">
        <v>33</v>
      </c>
      <c r="C6" t="s">
        <v>31</v>
      </c>
      <c r="E6">
        <v>11984</v>
      </c>
      <c r="F6">
        <f>februari2025!E6</f>
        <v>11195</v>
      </c>
      <c r="G6">
        <f>Tabel2425678910111213141517161819212022232614[[#This Row],[Stand Coffee einde maand]]-Tabel2425678910111213141517161819212022232614[[#This Row],[Coffee vorige maand]]</f>
        <v>789</v>
      </c>
      <c r="H6" s="53">
        <v>3418</v>
      </c>
      <c r="I6">
        <f>februari2025!H6</f>
        <v>3271</v>
      </c>
      <c r="J6">
        <f>Tabel2425678910111213141517161819212022232614[[#This Row],[Stand Espresso Einde maand]]-Tabel2425678910111213141517161819212022232614[[#This Row],[Espresso vorige maand]]</f>
        <v>147</v>
      </c>
      <c r="K6" s="53">
        <v>2339</v>
      </c>
      <c r="L6">
        <f>februari2025!K6</f>
        <v>2188</v>
      </c>
      <c r="M6">
        <f>Tabel2425678910111213141517161819212022232614[[#This Row],[Stand Latte Macchiato einde maand]]-Tabel2425678910111213141517161819212022232614[[#This Row],[Latte Macchiato vorige maand]]</f>
        <v>151</v>
      </c>
      <c r="N6" s="53">
        <v>1975</v>
      </c>
      <c r="O6">
        <f>februari2025!N6</f>
        <v>1950</v>
      </c>
      <c r="P6">
        <f>Tabel2425678910111213141517161819212022232614[[#This Row],[Stand Coffee Latte einde maand]]-Tabel2425678910111213141517161819212022232614[[#This Row],[Coffee Latte vorige maand]]</f>
        <v>25</v>
      </c>
      <c r="Q6" s="53">
        <v>26511</v>
      </c>
      <c r="R6">
        <f>februari2025!Q6</f>
        <v>25193</v>
      </c>
      <c r="S6">
        <f>Tabel2425678910111213141517161819212022232614[[#This Row],[Stand Hot Water einde maand]]-Tabel2425678910111213141517161819212022232614[[#This Row],[Hot Water vorige maand]]</f>
        <v>1318</v>
      </c>
      <c r="T6" s="53">
        <v>11530</v>
      </c>
      <c r="U6">
        <f>februari2025!T6</f>
        <v>11112</v>
      </c>
      <c r="V6">
        <f>Tabel2425678910111213141517161819212022232614[[#This Row],[Stand Cappucino einde maand]]-Tabel2425678910111213141517161819212022232614[[#This Row],[Stand Cappucino vorige maand]]</f>
        <v>418</v>
      </c>
      <c r="W6" s="53">
        <v>1526</v>
      </c>
      <c r="X6">
        <f>februari2025!W6</f>
        <v>1446</v>
      </c>
      <c r="Y6">
        <f>Tabel2425678910111213141517161819212022232614[[#This Row],[Stand Cappucino Plantaardig einde maand]]-Tabel2425678910111213141517161819212022232614[[#This Row],[Stand Cappucino Plantaardig vorige maand]]</f>
        <v>80</v>
      </c>
      <c r="Z6" s="53">
        <v>700</v>
      </c>
      <c r="AA6">
        <f>februari2025!Z6</f>
        <v>675</v>
      </c>
      <c r="AB6">
        <f>Tabel2425678910111213141517161819212022232614[[#This Row],[Stand Latte Macchiato Plantaardig einde maand]]-Tabel2425678910111213141517161819212022232614[[#This Row],[Stand Latte Macchiato Plantaardig vorige maand]]</f>
        <v>25</v>
      </c>
      <c r="AC6" s="71">
        <f>Tabel2425678910111213141517161819212022232614[[#This Row],[Verbruik Stand Latte Macchiato Plantaardig deze maand]]+Tabel2425678910111213141517161819212022232614[[#This Row],[Verbruik  Cappucino Plantaardig deze maand]]+Tabel2425678910111213141517161819212022232614[[#This Row],[Verbruik Cappucino deze maand]]+Tabel2425678910111213141517161819212022232614[[#This Row],[Verbruik Hot Water deze maand]]+Tabel2425678910111213141517161819212022232614[[#This Row],[Verbruik Coffee Latte deze maand]]+Tabel2425678910111213141517161819212022232614[[#This Row],[Verbruik Latte Macchiato deze maand]]+Tabel2425678910111213141517161819212022232614[[#This Row],[Verbruik Espresso deze maand]]+Tabel2425678910111213141517161819212022232614[[#This Row],[Verbruik Coffee deze maand]]</f>
        <v>2953</v>
      </c>
      <c r="AD6" s="69"/>
      <c r="AE6" s="41"/>
      <c r="AF6" s="5"/>
      <c r="AG6" s="5"/>
      <c r="AH6" s="69"/>
      <c r="AI6" s="41"/>
      <c r="AJ6" s="5"/>
      <c r="AK6" s="5"/>
      <c r="AL6" s="69"/>
      <c r="AM6" s="41"/>
      <c r="AN6" s="5"/>
      <c r="AO6" s="5"/>
      <c r="AP6" s="69"/>
      <c r="AQ6" s="41"/>
      <c r="AR6" s="5"/>
      <c r="AS6" s="5"/>
      <c r="AT6" s="69"/>
      <c r="AU6" s="41"/>
      <c r="AV6" s="5"/>
      <c r="AW6" s="7"/>
      <c r="AX6" s="78"/>
      <c r="AY6" s="95">
        <f>Tabel2425678910111213141517161819212022232614[[#This Row],[Subtotaal waterbar in consumpties]]+Tabel2425678910111213141517161819212022232614[[#This Row],[Subtotaal koffieautomaten]]</f>
        <v>2953</v>
      </c>
    </row>
    <row r="7" spans="1:130" x14ac:dyDescent="0.25">
      <c r="A7" s="65" t="s">
        <v>34</v>
      </c>
      <c r="B7" t="s">
        <v>35</v>
      </c>
      <c r="C7" t="s">
        <v>47</v>
      </c>
      <c r="E7">
        <v>11169</v>
      </c>
      <c r="F7">
        <f>februari2025!E7</f>
        <v>10590</v>
      </c>
      <c r="G7">
        <f>Tabel2425678910111213141517161819212022232614[[#This Row],[Stand Coffee einde maand]]-Tabel2425678910111213141517161819212022232614[[#This Row],[Coffee vorige maand]]</f>
        <v>579</v>
      </c>
      <c r="H7" s="53">
        <v>2910</v>
      </c>
      <c r="I7">
        <f>februari2025!H7</f>
        <v>2721</v>
      </c>
      <c r="J7">
        <f>Tabel2425678910111213141517161819212022232614[[#This Row],[Stand Espresso Einde maand]]-Tabel2425678910111213141517161819212022232614[[#This Row],[Espresso vorige maand]]</f>
        <v>189</v>
      </c>
      <c r="K7" s="53">
        <v>2914</v>
      </c>
      <c r="L7">
        <f>februari2025!K7</f>
        <v>2788</v>
      </c>
      <c r="M7">
        <f>Tabel2425678910111213141517161819212022232614[[#This Row],[Stand Latte Macchiato einde maand]]-Tabel2425678910111213141517161819212022232614[[#This Row],[Latte Macchiato vorige maand]]</f>
        <v>126</v>
      </c>
      <c r="N7" s="53">
        <v>1310</v>
      </c>
      <c r="O7">
        <f>februari2025!N7</f>
        <v>1263</v>
      </c>
      <c r="P7">
        <f>Tabel2425678910111213141517161819212022232614[[#This Row],[Stand Coffee Latte einde maand]]-Tabel2425678910111213141517161819212022232614[[#This Row],[Coffee Latte vorige maand]]</f>
        <v>47</v>
      </c>
      <c r="Q7" s="53">
        <v>10701</v>
      </c>
      <c r="R7">
        <f>februari2025!Q7</f>
        <v>10284</v>
      </c>
      <c r="S7">
        <f>Tabel2425678910111213141517161819212022232614[[#This Row],[Stand Hot Water einde maand]]-Tabel2425678910111213141517161819212022232614[[#This Row],[Hot Water vorige maand]]</f>
        <v>417</v>
      </c>
      <c r="T7" s="53">
        <v>10690</v>
      </c>
      <c r="U7">
        <f>februari2025!T7</f>
        <v>10265</v>
      </c>
      <c r="V7">
        <f>Tabel2425678910111213141517161819212022232614[[#This Row],[Stand Cappucino einde maand]]-Tabel2425678910111213141517161819212022232614[[#This Row],[Stand Cappucino vorige maand]]</f>
        <v>425</v>
      </c>
      <c r="W7" s="53">
        <v>968</v>
      </c>
      <c r="X7">
        <f>februari2025!W7</f>
        <v>924</v>
      </c>
      <c r="Y7">
        <f>Tabel2425678910111213141517161819212022232614[[#This Row],[Stand Cappucino Plantaardig einde maand]]-Tabel2425678910111213141517161819212022232614[[#This Row],[Stand Cappucino Plantaardig vorige maand]]</f>
        <v>44</v>
      </c>
      <c r="Z7" s="53">
        <v>410</v>
      </c>
      <c r="AA7">
        <f>februari2025!Z7</f>
        <v>391</v>
      </c>
      <c r="AB7">
        <f>Tabel2425678910111213141517161819212022232614[[#This Row],[Stand Latte Macchiato Plantaardig einde maand]]-Tabel2425678910111213141517161819212022232614[[#This Row],[Stand Latte Macchiato Plantaardig vorige maand]]</f>
        <v>19</v>
      </c>
      <c r="AC7" s="71">
        <f>Tabel2425678910111213141517161819212022232614[[#This Row],[Verbruik Stand Latte Macchiato Plantaardig deze maand]]+Tabel2425678910111213141517161819212022232614[[#This Row],[Verbruik  Cappucino Plantaardig deze maand]]+Tabel2425678910111213141517161819212022232614[[#This Row],[Verbruik Cappucino deze maand]]+Tabel2425678910111213141517161819212022232614[[#This Row],[Verbruik Hot Water deze maand]]+Tabel2425678910111213141517161819212022232614[[#This Row],[Verbruik Coffee Latte deze maand]]+Tabel2425678910111213141517161819212022232614[[#This Row],[Verbruik Latte Macchiato deze maand]]+Tabel2425678910111213141517161819212022232614[[#This Row],[Verbruik Espresso deze maand]]+Tabel2425678910111213141517161819212022232614[[#This Row],[Verbruik Coffee deze maand]]</f>
        <v>1846</v>
      </c>
      <c r="AD7" s="53">
        <v>176.9</v>
      </c>
      <c r="AE7">
        <f>februari2025!AD7</f>
        <v>139.19999999999999</v>
      </c>
      <c r="AF7">
        <f>Tabel2425678910111213141517161819212022232614[[#This Row],[Stand Kamertemp liter einde maand]]-Tabel2425678910111213141517161819212022232614[[#This Row],[Stand Kamertemp liter vorige maand]]</f>
        <v>37.700000000000017</v>
      </c>
      <c r="AG7" s="2">
        <f>Tabel2425678910111213141517161819212022232614[[#This Row],[Verbruik Kamertemp liter deze maand]]/0.15</f>
        <v>251.33333333333346</v>
      </c>
      <c r="AH7" s="53">
        <v>441.5</v>
      </c>
      <c r="AI7">
        <f>februari2025!AH7</f>
        <v>306.8</v>
      </c>
      <c r="AJ7">
        <f>Tabel2425678910111213141517161819212022232614[[#This Row],[Stand Gekoeld liter einde maand]]-Tabel2425678910111213141517161819212022232614[[#This Row],[Stand Gekoeld liter vorige maand]]</f>
        <v>134.69999999999999</v>
      </c>
      <c r="AK7" s="2">
        <f>Tabel2425678910111213141517161819212022232614[[#This Row],[Verbruik Gekoeld liter deze maand]]/0.15</f>
        <v>898</v>
      </c>
      <c r="AL7" s="53">
        <v>279.60000000000002</v>
      </c>
      <c r="AM7">
        <f>februari2025!AL7</f>
        <v>180.8</v>
      </c>
      <c r="AN7">
        <f>Tabel2425678910111213141517161819212022232614[[#This Row],[Stand Bruisend liter einde maand]]-Tabel2425678910111213141517161819212022232614[[#This Row],[Stand Bruisend liter vorige maand]]</f>
        <v>98.800000000000011</v>
      </c>
      <c r="AO7" s="2">
        <f>Tabel2425678910111213141517161819212022232614[[#This Row],[Verbruik Bruisend liter deze maand]]/0.15</f>
        <v>658.66666666666674</v>
      </c>
      <c r="AP7" s="53">
        <v>167.8</v>
      </c>
      <c r="AQ7">
        <f>februari2025!AP7</f>
        <v>98.7</v>
      </c>
      <c r="AR7">
        <f>Tabel2425678910111213141517161819212022232614[[#This Row],[Stand licht bruisend liter einde maand]]-Tabel2425678910111213141517161819212022232614[[#This Row],[Stand licht bruisend liter vorige maand]]</f>
        <v>69.100000000000009</v>
      </c>
      <c r="AS7" s="2">
        <f>Tabel2425678910111213141517161819212022232614[[#This Row],[Verbruik licht bruisend liter deze maand]]/0.15</f>
        <v>460.66666666666674</v>
      </c>
      <c r="AT7" s="53">
        <v>883.9</v>
      </c>
      <c r="AU7">
        <f>februari2025!AT7</f>
        <v>634.6</v>
      </c>
      <c r="AV7">
        <f>Tabel2425678910111213141517161819212022232614[[#This Row],[Stand heet water liter einde maand]]-Tabel2425678910111213141517161819212022232614[[#This Row],[Stand heet water liter vorige maand]]</f>
        <v>249.29999999999995</v>
      </c>
      <c r="AW7" s="2">
        <f>Tabel2425678910111213141517161819212022232614[[#This Row],[Verbruik heet Water liter deze maand ]]/0.15</f>
        <v>1661.9999999999998</v>
      </c>
      <c r="AX7" s="77">
        <f>Tabel2425678910111213141517161819212022232614[[#This Row],[Aantal consumpties heet water deze maand]]+Tabel2425678910111213141517161819212022232614[[#This Row],[Aantal consumpties licht bruisend water deze maand]]+Tabel2425678910111213141517161819212022232614[[#This Row],[aantal consumpties Bruisend water deze maand]]+Tabel2425678910111213141517161819212022232614[[#This Row],[Aantal consumpties gekoeld water deze maand]]+Tabel2425678910111213141517161819212022232614[[#This Row],[Aantal consumpties Kamertemp deze maand]]</f>
        <v>3930.6666666666665</v>
      </c>
      <c r="AY7" s="95">
        <f>Tabel2425678910111213141517161819212022232614[[#This Row],[Subtotaal waterbar in consumpties]]+Tabel2425678910111213141517161819212022232614[[#This Row],[Subtotaal koffieautomaten]]</f>
        <v>5776.6666666666661</v>
      </c>
    </row>
    <row r="8" spans="1:130" x14ac:dyDescent="0.25">
      <c r="A8" s="65" t="s">
        <v>37</v>
      </c>
      <c r="B8" t="s">
        <v>38</v>
      </c>
      <c r="C8" t="s">
        <v>31</v>
      </c>
      <c r="E8">
        <v>18485</v>
      </c>
      <c r="F8">
        <f>februari2025!E8</f>
        <v>17708</v>
      </c>
      <c r="G8">
        <f>Tabel2425678910111213141517161819212022232614[[#This Row],[Stand Coffee einde maand]]-Tabel2425678910111213141517161819212022232614[[#This Row],[Coffee vorige maand]]</f>
        <v>777</v>
      </c>
      <c r="H8" s="53">
        <v>4098</v>
      </c>
      <c r="I8">
        <f>februari2025!H8</f>
        <v>3986</v>
      </c>
      <c r="J8">
        <f>Tabel2425678910111213141517161819212022232614[[#This Row],[Stand Espresso Einde maand]]-Tabel2425678910111213141517161819212022232614[[#This Row],[Espresso vorige maand]]</f>
        <v>112</v>
      </c>
      <c r="K8" s="53">
        <v>2173</v>
      </c>
      <c r="L8">
        <f>februari2025!K8</f>
        <v>2130</v>
      </c>
      <c r="M8">
        <f>Tabel2425678910111213141517161819212022232614[[#This Row],[Stand Latte Macchiato einde maand]]-Tabel2425678910111213141517161819212022232614[[#This Row],[Latte Macchiato vorige maand]]</f>
        <v>43</v>
      </c>
      <c r="N8" s="53">
        <v>2668</v>
      </c>
      <c r="O8">
        <f>februari2025!N8</f>
        <v>2542</v>
      </c>
      <c r="P8">
        <f>Tabel2425678910111213141517161819212022232614[[#This Row],[Stand Coffee Latte einde maand]]-Tabel2425678910111213141517161819212022232614[[#This Row],[Coffee Latte vorige maand]]</f>
        <v>126</v>
      </c>
      <c r="Q8" s="53">
        <v>40053</v>
      </c>
      <c r="R8">
        <f>februari2025!Q8</f>
        <v>38039</v>
      </c>
      <c r="S8">
        <f>Tabel2425678910111213141517161819212022232614[[#This Row],[Stand Hot Water einde maand]]-Tabel2425678910111213141517161819212022232614[[#This Row],[Hot Water vorige maand]]</f>
        <v>2014</v>
      </c>
      <c r="T8" s="53">
        <v>10761</v>
      </c>
      <c r="U8">
        <f>februari2025!T8</f>
        <v>10324</v>
      </c>
      <c r="V8">
        <f>Tabel2425678910111213141517161819212022232614[[#This Row],[Stand Cappucino einde maand]]-Tabel2425678910111213141517161819212022232614[[#This Row],[Stand Cappucino vorige maand]]</f>
        <v>437</v>
      </c>
      <c r="W8" s="53">
        <v>886</v>
      </c>
      <c r="X8">
        <f>februari2025!W8</f>
        <v>777</v>
      </c>
      <c r="Y8">
        <f>Tabel2425678910111213141517161819212022232614[[#This Row],[Stand Cappucino Plantaardig einde maand]]-Tabel2425678910111213141517161819212022232614[[#This Row],[Stand Cappucino Plantaardig vorige maand]]</f>
        <v>109</v>
      </c>
      <c r="Z8" s="53">
        <v>520</v>
      </c>
      <c r="AA8">
        <f>februari2025!Z8</f>
        <v>498</v>
      </c>
      <c r="AB8">
        <f>Tabel2425678910111213141517161819212022232614[[#This Row],[Stand Latte Macchiato Plantaardig einde maand]]-Tabel2425678910111213141517161819212022232614[[#This Row],[Stand Latte Macchiato Plantaardig vorige maand]]</f>
        <v>22</v>
      </c>
      <c r="AC8" s="71">
        <f>Tabel2425678910111213141517161819212022232614[[#This Row],[Verbruik Stand Latte Macchiato Plantaardig deze maand]]+Tabel2425678910111213141517161819212022232614[[#This Row],[Verbruik  Cappucino Plantaardig deze maand]]+Tabel2425678910111213141517161819212022232614[[#This Row],[Verbruik Cappucino deze maand]]+Tabel2425678910111213141517161819212022232614[[#This Row],[Verbruik Hot Water deze maand]]+Tabel2425678910111213141517161819212022232614[[#This Row],[Verbruik Coffee Latte deze maand]]+Tabel2425678910111213141517161819212022232614[[#This Row],[Verbruik Latte Macchiato deze maand]]+Tabel2425678910111213141517161819212022232614[[#This Row],[Verbruik Espresso deze maand]]+Tabel2425678910111213141517161819212022232614[[#This Row],[Verbruik Coffee deze maand]]</f>
        <v>3640</v>
      </c>
      <c r="AD8" s="69"/>
      <c r="AE8" s="41"/>
      <c r="AF8" s="5"/>
      <c r="AG8" s="41"/>
      <c r="AH8" s="69"/>
      <c r="AI8" s="41"/>
      <c r="AJ8" s="41"/>
      <c r="AK8" s="41"/>
      <c r="AL8" s="75"/>
      <c r="AM8" s="41"/>
      <c r="AN8" s="41"/>
      <c r="AO8" s="5"/>
      <c r="AP8" s="69"/>
      <c r="AQ8" s="41"/>
      <c r="AR8" s="5"/>
      <c r="AS8" s="41"/>
      <c r="AT8" s="69"/>
      <c r="AU8" s="41"/>
      <c r="AV8" s="41"/>
      <c r="AW8" s="41"/>
      <c r="AX8" s="79"/>
      <c r="AY8" s="95">
        <f>Tabel2425678910111213141517161819212022232614[[#This Row],[Subtotaal waterbar in consumpties]]+Tabel2425678910111213141517161819212022232614[[#This Row],[Subtotaal koffieautomaten]]</f>
        <v>3640</v>
      </c>
    </row>
    <row r="9" spans="1:130" x14ac:dyDescent="0.25">
      <c r="A9" s="65" t="s">
        <v>39</v>
      </c>
      <c r="B9" t="s">
        <v>40</v>
      </c>
      <c r="C9" t="s">
        <v>31</v>
      </c>
      <c r="E9">
        <v>22832</v>
      </c>
      <c r="F9">
        <f>februari2025!E9</f>
        <v>21918</v>
      </c>
      <c r="G9">
        <f>Tabel2425678910111213141517161819212022232614[[#This Row],[Stand Coffee einde maand]]-Tabel2425678910111213141517161819212022232614[[#This Row],[Coffee vorige maand]]</f>
        <v>914</v>
      </c>
      <c r="H9" s="53">
        <v>3653</v>
      </c>
      <c r="I9">
        <f>februari2025!H9</f>
        <v>3418</v>
      </c>
      <c r="J9">
        <f>Tabel2425678910111213141517161819212022232614[[#This Row],[Stand Espresso Einde maand]]-Tabel2425678910111213141517161819212022232614[[#This Row],[Espresso vorige maand]]</f>
        <v>235</v>
      </c>
      <c r="K9" s="53">
        <v>2820</v>
      </c>
      <c r="L9">
        <f>februari2025!K9</f>
        <v>2703</v>
      </c>
      <c r="M9">
        <f>Tabel2425678910111213141517161819212022232614[[#This Row],[Stand Latte Macchiato einde maand]]-Tabel2425678910111213141517161819212022232614[[#This Row],[Latte Macchiato vorige maand]]</f>
        <v>117</v>
      </c>
      <c r="N9" s="53">
        <v>1940</v>
      </c>
      <c r="O9">
        <f>februari2025!N9</f>
        <v>1843</v>
      </c>
      <c r="P9">
        <f>Tabel2425678910111213141517161819212022232614[[#This Row],[Stand Coffee Latte einde maand]]-Tabel2425678910111213141517161819212022232614[[#This Row],[Coffee Latte vorige maand]]</f>
        <v>97</v>
      </c>
      <c r="Q9" s="53">
        <v>31909</v>
      </c>
      <c r="R9">
        <f>februari2025!Q9</f>
        <v>30647</v>
      </c>
      <c r="S9">
        <f>Tabel2425678910111213141517161819212022232614[[#This Row],[Stand Hot Water einde maand]]-Tabel2425678910111213141517161819212022232614[[#This Row],[Hot Water vorige maand]]</f>
        <v>1262</v>
      </c>
      <c r="T9" s="53">
        <v>18032</v>
      </c>
      <c r="U9">
        <f>februari2025!T9</f>
        <v>17298</v>
      </c>
      <c r="V9">
        <f>Tabel2425678910111213141517161819212022232614[[#This Row],[Stand Cappucino einde maand]]-Tabel2425678910111213141517161819212022232614[[#This Row],[Stand Cappucino vorige maand]]</f>
        <v>734</v>
      </c>
      <c r="W9" s="53">
        <v>782</v>
      </c>
      <c r="X9">
        <f>februari2025!W9</f>
        <v>770</v>
      </c>
      <c r="Y9">
        <f>Tabel2425678910111213141517161819212022232614[[#This Row],[Stand Cappucino Plantaardig einde maand]]-Tabel2425678910111213141517161819212022232614[[#This Row],[Stand Cappucino Plantaardig vorige maand]]</f>
        <v>12</v>
      </c>
      <c r="Z9" s="53">
        <v>214</v>
      </c>
      <c r="AA9">
        <f>februari2025!Z9</f>
        <v>210</v>
      </c>
      <c r="AB9">
        <f>Tabel2425678910111213141517161819212022232614[[#This Row],[Stand Latte Macchiato Plantaardig einde maand]]-Tabel2425678910111213141517161819212022232614[[#This Row],[Stand Latte Macchiato Plantaardig vorige maand]]</f>
        <v>4</v>
      </c>
      <c r="AC9" s="71">
        <f>Tabel2425678910111213141517161819212022232614[[#This Row],[Verbruik Stand Latte Macchiato Plantaardig deze maand]]+Tabel2425678910111213141517161819212022232614[[#This Row],[Verbruik  Cappucino Plantaardig deze maand]]+Tabel2425678910111213141517161819212022232614[[#This Row],[Verbruik Cappucino deze maand]]+Tabel2425678910111213141517161819212022232614[[#This Row],[Verbruik Hot Water deze maand]]+Tabel2425678910111213141517161819212022232614[[#This Row],[Verbruik Coffee Latte deze maand]]+Tabel2425678910111213141517161819212022232614[[#This Row],[Verbruik Latte Macchiato deze maand]]+Tabel2425678910111213141517161819212022232614[[#This Row],[Verbruik Espresso deze maand]]+Tabel2425678910111213141517161819212022232614[[#This Row],[Verbruik Coffee deze maand]]</f>
        <v>3375</v>
      </c>
      <c r="AD9" s="69"/>
      <c r="AE9" s="41"/>
      <c r="AF9" s="5"/>
      <c r="AG9" s="41"/>
      <c r="AH9" s="69"/>
      <c r="AI9" s="41"/>
      <c r="AJ9" s="41"/>
      <c r="AK9" s="41"/>
      <c r="AL9" s="75"/>
      <c r="AM9" s="41"/>
      <c r="AN9" s="41"/>
      <c r="AO9" s="5"/>
      <c r="AP9" s="69"/>
      <c r="AQ9" s="41"/>
      <c r="AR9" s="5"/>
      <c r="AS9" s="41"/>
      <c r="AT9" s="69"/>
      <c r="AU9" s="41"/>
      <c r="AV9" s="41"/>
      <c r="AW9" s="41"/>
      <c r="AX9" s="79"/>
      <c r="AY9" s="95">
        <f>Tabel2425678910111213141517161819212022232614[[#This Row],[Subtotaal waterbar in consumpties]]+Tabel2425678910111213141517161819212022232614[[#This Row],[Subtotaal koffieautomaten]]</f>
        <v>3375</v>
      </c>
    </row>
    <row r="10" spans="1:130" x14ac:dyDescent="0.25">
      <c r="A10" s="65" t="s">
        <v>41</v>
      </c>
      <c r="B10" t="s">
        <v>42</v>
      </c>
      <c r="C10" t="s">
        <v>31</v>
      </c>
      <c r="E10">
        <v>12360</v>
      </c>
      <c r="F10">
        <f>februari2025!E10</f>
        <v>11753</v>
      </c>
      <c r="G10">
        <f>Tabel2425678910111213141517161819212022232614[[#This Row],[Stand Coffee einde maand]]-Tabel2425678910111213141517161819212022232614[[#This Row],[Coffee vorige maand]]</f>
        <v>607</v>
      </c>
      <c r="H10" s="53">
        <v>2787</v>
      </c>
      <c r="I10">
        <f>februari2025!H10</f>
        <v>2664</v>
      </c>
      <c r="J10">
        <f>Tabel2425678910111213141517161819212022232614[[#This Row],[Stand Espresso Einde maand]]-Tabel2425678910111213141517161819212022232614[[#This Row],[Espresso vorige maand]]</f>
        <v>123</v>
      </c>
      <c r="K10" s="53">
        <v>2213</v>
      </c>
      <c r="L10">
        <f>februari2025!K10</f>
        <v>2148</v>
      </c>
      <c r="M10">
        <f>Tabel2425678910111213141517161819212022232614[[#This Row],[Stand Latte Macchiato einde maand]]-Tabel2425678910111213141517161819212022232614[[#This Row],[Latte Macchiato vorige maand]]</f>
        <v>65</v>
      </c>
      <c r="N10" s="53">
        <v>1217</v>
      </c>
      <c r="O10">
        <f>februari2025!N10</f>
        <v>1169</v>
      </c>
      <c r="P10">
        <f>Tabel2425678910111213141517161819212022232614[[#This Row],[Stand Coffee Latte einde maand]]-Tabel2425678910111213141517161819212022232614[[#This Row],[Coffee Latte vorige maand]]</f>
        <v>48</v>
      </c>
      <c r="Q10" s="53">
        <v>35613</v>
      </c>
      <c r="R10">
        <f>februari2025!Q10</f>
        <v>33891</v>
      </c>
      <c r="S10">
        <f>Tabel2425678910111213141517161819212022232614[[#This Row],[Stand Hot Water einde maand]]-Tabel2425678910111213141517161819212022232614[[#This Row],[Hot Water vorige maand]]</f>
        <v>1722</v>
      </c>
      <c r="T10" s="53">
        <v>8097</v>
      </c>
      <c r="U10">
        <f>februari2025!T10</f>
        <v>7725</v>
      </c>
      <c r="V10">
        <f>Tabel2425678910111213141517161819212022232614[[#This Row],[Stand Cappucino einde maand]]-Tabel2425678910111213141517161819212022232614[[#This Row],[Stand Cappucino vorige maand]]</f>
        <v>372</v>
      </c>
      <c r="W10" s="53">
        <v>1797</v>
      </c>
      <c r="X10">
        <f>februari2025!W10</f>
        <v>1706</v>
      </c>
      <c r="Y10">
        <f>Tabel2425678910111213141517161819212022232614[[#This Row],[Stand Cappucino Plantaardig einde maand]]-Tabel2425678910111213141517161819212022232614[[#This Row],[Stand Cappucino Plantaardig vorige maand]]</f>
        <v>91</v>
      </c>
      <c r="Z10" s="53">
        <v>696</v>
      </c>
      <c r="AA10">
        <f>februari2025!Z10</f>
        <v>678</v>
      </c>
      <c r="AB10">
        <f>Tabel2425678910111213141517161819212022232614[[#This Row],[Stand Latte Macchiato Plantaardig einde maand]]-Tabel2425678910111213141517161819212022232614[[#This Row],[Stand Latte Macchiato Plantaardig vorige maand]]</f>
        <v>18</v>
      </c>
      <c r="AC10" s="71">
        <f>Tabel2425678910111213141517161819212022232614[[#This Row],[Verbruik Stand Latte Macchiato Plantaardig deze maand]]+Tabel2425678910111213141517161819212022232614[[#This Row],[Verbruik  Cappucino Plantaardig deze maand]]+Tabel2425678910111213141517161819212022232614[[#This Row],[Verbruik Cappucino deze maand]]+Tabel2425678910111213141517161819212022232614[[#This Row],[Verbruik Hot Water deze maand]]+Tabel2425678910111213141517161819212022232614[[#This Row],[Verbruik Coffee Latte deze maand]]+Tabel2425678910111213141517161819212022232614[[#This Row],[Verbruik Latte Macchiato deze maand]]+Tabel2425678910111213141517161819212022232614[[#This Row],[Verbruik Espresso deze maand]]+Tabel2425678910111213141517161819212022232614[[#This Row],[Verbruik Coffee deze maand]]</f>
        <v>3046</v>
      </c>
      <c r="AD10" s="69"/>
      <c r="AE10" s="41"/>
      <c r="AF10" s="5"/>
      <c r="AG10" s="41"/>
      <c r="AH10" s="69"/>
      <c r="AI10" s="41"/>
      <c r="AJ10" s="41"/>
      <c r="AK10" s="41"/>
      <c r="AL10" s="75"/>
      <c r="AM10" s="41"/>
      <c r="AN10" s="41"/>
      <c r="AO10" s="5"/>
      <c r="AP10" s="69"/>
      <c r="AQ10" s="41"/>
      <c r="AR10" s="5"/>
      <c r="AS10" s="41"/>
      <c r="AT10" s="69"/>
      <c r="AU10" s="41"/>
      <c r="AV10" s="41"/>
      <c r="AW10" s="41"/>
      <c r="AX10" s="79"/>
      <c r="AY10" s="95">
        <f>Tabel2425678910111213141517161819212022232614[[#This Row],[Subtotaal waterbar in consumpties]]+Tabel2425678910111213141517161819212022232614[[#This Row],[Subtotaal koffieautomaten]]</f>
        <v>3046</v>
      </c>
    </row>
    <row r="11" spans="1:130" x14ac:dyDescent="0.25">
      <c r="A11" s="65" t="s">
        <v>43</v>
      </c>
      <c r="B11" t="s">
        <v>44</v>
      </c>
      <c r="C11" t="s">
        <v>31</v>
      </c>
      <c r="E11">
        <v>15114</v>
      </c>
      <c r="F11">
        <f>februari2025!E11</f>
        <v>14439</v>
      </c>
      <c r="G11">
        <f>Tabel2425678910111213141517161819212022232614[[#This Row],[Stand Coffee einde maand]]-Tabel2425678910111213141517161819212022232614[[#This Row],[Coffee vorige maand]]</f>
        <v>675</v>
      </c>
      <c r="H11" s="53">
        <v>3301</v>
      </c>
      <c r="I11">
        <f>februari2025!H11</f>
        <v>3129</v>
      </c>
      <c r="J11">
        <f>Tabel2425678910111213141517161819212022232614[[#This Row],[Stand Espresso Einde maand]]-Tabel2425678910111213141517161819212022232614[[#This Row],[Espresso vorige maand]]</f>
        <v>172</v>
      </c>
      <c r="K11" s="53">
        <v>944</v>
      </c>
      <c r="L11">
        <f>februari2025!K11</f>
        <v>911</v>
      </c>
      <c r="M11">
        <f>Tabel2425678910111213141517161819212022232614[[#This Row],[Stand Latte Macchiato einde maand]]-Tabel2425678910111213141517161819212022232614[[#This Row],[Latte Macchiato vorige maand]]</f>
        <v>33</v>
      </c>
      <c r="N11" s="53">
        <v>1270</v>
      </c>
      <c r="O11">
        <f>februari2025!N11</f>
        <v>1227</v>
      </c>
      <c r="P11">
        <f>Tabel2425678910111213141517161819212022232614[[#This Row],[Stand Coffee Latte einde maand]]-Tabel2425678910111213141517161819212022232614[[#This Row],[Coffee Latte vorige maand]]</f>
        <v>43</v>
      </c>
      <c r="Q11" s="53">
        <v>26073</v>
      </c>
      <c r="R11">
        <f>februari2025!Q11</f>
        <v>24889</v>
      </c>
      <c r="S11">
        <f>Tabel2425678910111213141517161819212022232614[[#This Row],[Stand Hot Water einde maand]]-Tabel2425678910111213141517161819212022232614[[#This Row],[Hot Water vorige maand]]</f>
        <v>1184</v>
      </c>
      <c r="T11" s="53">
        <v>8446</v>
      </c>
      <c r="U11">
        <f>februari2025!T11</f>
        <v>8104</v>
      </c>
      <c r="V11">
        <f>Tabel2425678910111213141517161819212022232614[[#This Row],[Stand Cappucino einde maand]]-Tabel2425678910111213141517161819212022232614[[#This Row],[Stand Cappucino vorige maand]]</f>
        <v>342</v>
      </c>
      <c r="W11" s="53">
        <v>1569</v>
      </c>
      <c r="X11">
        <f>februari2025!W11</f>
        <v>1532</v>
      </c>
      <c r="Y11">
        <f>Tabel2425678910111213141517161819212022232614[[#This Row],[Stand Cappucino Plantaardig einde maand]]-Tabel2425678910111213141517161819212022232614[[#This Row],[Stand Cappucino Plantaardig vorige maand]]</f>
        <v>37</v>
      </c>
      <c r="Z11" s="53">
        <v>1318</v>
      </c>
      <c r="AA11">
        <f>februari2025!Z11</f>
        <v>1305</v>
      </c>
      <c r="AB11">
        <f>Tabel2425678910111213141517161819212022232614[[#This Row],[Stand Latte Macchiato Plantaardig einde maand]]-Tabel2425678910111213141517161819212022232614[[#This Row],[Stand Latte Macchiato Plantaardig vorige maand]]</f>
        <v>13</v>
      </c>
      <c r="AC11" s="71">
        <f>Tabel2425678910111213141517161819212022232614[[#This Row],[Verbruik Stand Latte Macchiato Plantaardig deze maand]]+Tabel2425678910111213141517161819212022232614[[#This Row],[Verbruik  Cappucino Plantaardig deze maand]]+Tabel2425678910111213141517161819212022232614[[#This Row],[Verbruik Cappucino deze maand]]+Tabel2425678910111213141517161819212022232614[[#This Row],[Verbruik Hot Water deze maand]]+Tabel2425678910111213141517161819212022232614[[#This Row],[Verbruik Coffee Latte deze maand]]+Tabel2425678910111213141517161819212022232614[[#This Row],[Verbruik Latte Macchiato deze maand]]+Tabel2425678910111213141517161819212022232614[[#This Row],[Verbruik Espresso deze maand]]+Tabel2425678910111213141517161819212022232614[[#This Row],[Verbruik Coffee deze maand]]</f>
        <v>2499</v>
      </c>
      <c r="AD11" s="69"/>
      <c r="AE11" s="41"/>
      <c r="AF11" s="5"/>
      <c r="AG11" s="41"/>
      <c r="AH11" s="69"/>
      <c r="AI11" s="41"/>
      <c r="AJ11" s="41"/>
      <c r="AK11" s="41"/>
      <c r="AL11" s="75"/>
      <c r="AM11" s="41"/>
      <c r="AN11" s="41"/>
      <c r="AO11" s="5"/>
      <c r="AP11" s="69"/>
      <c r="AQ11" s="41"/>
      <c r="AR11" s="5"/>
      <c r="AS11" s="41"/>
      <c r="AT11" s="69"/>
      <c r="AU11" s="41"/>
      <c r="AV11" s="41"/>
      <c r="AW11" s="41"/>
      <c r="AX11" s="79"/>
      <c r="AY11" s="95">
        <f>Tabel2425678910111213141517161819212022232614[[#This Row],[Subtotaal waterbar in consumpties]]+Tabel2425678910111213141517161819212022232614[[#This Row],[Subtotaal koffieautomaten]]</f>
        <v>2499</v>
      </c>
    </row>
    <row r="12" spans="1:130" x14ac:dyDescent="0.25">
      <c r="A12" s="65" t="s">
        <v>45</v>
      </c>
      <c r="B12" t="s">
        <v>46</v>
      </c>
      <c r="C12" t="s">
        <v>47</v>
      </c>
      <c r="E12">
        <v>25369</v>
      </c>
      <c r="F12">
        <f>februari2025!E12</f>
        <v>24075</v>
      </c>
      <c r="G12">
        <f>Tabel2425678910111213141517161819212022232614[[#This Row],[Stand Coffee einde maand]]-Tabel2425678910111213141517161819212022232614[[#This Row],[Coffee vorige maand]]</f>
        <v>1294</v>
      </c>
      <c r="H12" s="53">
        <v>2536</v>
      </c>
      <c r="I12">
        <f>februari2025!H12</f>
        <v>2386</v>
      </c>
      <c r="J12">
        <f>Tabel2425678910111213141517161819212022232614[[#This Row],[Stand Espresso Einde maand]]-Tabel2425678910111213141517161819212022232614[[#This Row],[Espresso vorige maand]]</f>
        <v>150</v>
      </c>
      <c r="K12" s="53">
        <v>1668</v>
      </c>
      <c r="L12">
        <f>februari2025!K12</f>
        <v>1605</v>
      </c>
      <c r="M12">
        <f>Tabel2425678910111213141517161819212022232614[[#This Row],[Stand Latte Macchiato einde maand]]-Tabel2425678910111213141517161819212022232614[[#This Row],[Latte Macchiato vorige maand]]</f>
        <v>63</v>
      </c>
      <c r="N12" s="53">
        <v>921</v>
      </c>
      <c r="O12">
        <f>februari2025!N12</f>
        <v>894</v>
      </c>
      <c r="P12">
        <f>Tabel2425678910111213141517161819212022232614[[#This Row],[Stand Coffee Latte einde maand]]-Tabel2425678910111213141517161819212022232614[[#This Row],[Coffee Latte vorige maand]]</f>
        <v>27</v>
      </c>
      <c r="Q12" s="53">
        <v>1</v>
      </c>
      <c r="R12">
        <f>februari2025!Q12</f>
        <v>1</v>
      </c>
      <c r="S12">
        <f>Tabel2425678910111213141517161819212022232614[[#This Row],[Stand Hot Water einde maand]]-Tabel2425678910111213141517161819212022232614[[#This Row],[Hot Water vorige maand]]</f>
        <v>0</v>
      </c>
      <c r="T12" s="53">
        <v>8097</v>
      </c>
      <c r="U12">
        <f>februari2025!T12</f>
        <v>7741</v>
      </c>
      <c r="V12">
        <f>Tabel2425678910111213141517161819212022232614[[#This Row],[Stand Cappucino einde maand]]-Tabel2425678910111213141517161819212022232614[[#This Row],[Stand Cappucino vorige maand]]</f>
        <v>356</v>
      </c>
      <c r="W12" s="53">
        <v>3354</v>
      </c>
      <c r="X12">
        <f>februari2025!W12</f>
        <v>3169</v>
      </c>
      <c r="Y12">
        <f>Tabel2425678910111213141517161819212022232614[[#This Row],[Stand Cappucino Plantaardig einde maand]]-Tabel2425678910111213141517161819212022232614[[#This Row],[Stand Cappucino Plantaardig vorige maand]]</f>
        <v>185</v>
      </c>
      <c r="Z12" s="53">
        <v>797</v>
      </c>
      <c r="AA12">
        <f>februari2025!Z12</f>
        <v>787</v>
      </c>
      <c r="AB12">
        <f>Tabel2425678910111213141517161819212022232614[[#This Row],[Stand Latte Macchiato Plantaardig einde maand]]-Tabel2425678910111213141517161819212022232614[[#This Row],[Stand Latte Macchiato Plantaardig vorige maand]]</f>
        <v>10</v>
      </c>
      <c r="AC12" s="71">
        <f>Tabel2425678910111213141517161819212022232614[[#This Row],[Verbruik Stand Latte Macchiato Plantaardig deze maand]]+Tabel2425678910111213141517161819212022232614[[#This Row],[Verbruik  Cappucino Plantaardig deze maand]]+Tabel2425678910111213141517161819212022232614[[#This Row],[Verbruik Cappucino deze maand]]+Tabel2425678910111213141517161819212022232614[[#This Row],[Verbruik Hot Water deze maand]]+Tabel2425678910111213141517161819212022232614[[#This Row],[Verbruik Coffee Latte deze maand]]+Tabel2425678910111213141517161819212022232614[[#This Row],[Verbruik Latte Macchiato deze maand]]+Tabel2425678910111213141517161819212022232614[[#This Row],[Verbruik Espresso deze maand]]+Tabel2425678910111213141517161819212022232614[[#This Row],[Verbruik Coffee deze maand]]</f>
        <v>2085</v>
      </c>
      <c r="AD12" s="53">
        <v>549</v>
      </c>
      <c r="AE12">
        <f>februari2025!AD12</f>
        <v>499</v>
      </c>
      <c r="AF12">
        <f>Tabel2425678910111213141517161819212022232614[[#This Row],[Stand Kamertemp liter einde maand]]-Tabel2425678910111213141517161819212022232614[[#This Row],[Stand Kamertemp liter vorige maand]]</f>
        <v>50</v>
      </c>
      <c r="AG12" s="2">
        <f>Tabel2425678910111213141517161819212022232614[[#This Row],[Verbruik Kamertemp liter deze maand]]/0.15</f>
        <v>333.33333333333337</v>
      </c>
      <c r="AH12" s="53">
        <v>2024.6</v>
      </c>
      <c r="AI12">
        <f>februari2025!AH12</f>
        <v>1805.4</v>
      </c>
      <c r="AJ12">
        <f>Tabel2425678910111213141517161819212022232614[[#This Row],[Stand Gekoeld liter einde maand]]-Tabel2425678910111213141517161819212022232614[[#This Row],[Stand Gekoeld liter vorige maand]]</f>
        <v>219.19999999999982</v>
      </c>
      <c r="AK12" s="2">
        <f>Tabel2425678910111213141517161819212022232614[[#This Row],[Verbruik Gekoeld liter deze maand]]/0.15</f>
        <v>1461.3333333333321</v>
      </c>
      <c r="AL12" s="53">
        <v>1514.9</v>
      </c>
      <c r="AM12">
        <f>februari2025!AL12</f>
        <v>1319.3</v>
      </c>
      <c r="AN12">
        <f>Tabel2425678910111213141517161819212022232614[[#This Row],[Stand Bruisend liter einde maand]]-Tabel2425678910111213141517161819212022232614[[#This Row],[Stand Bruisend liter vorige maand]]</f>
        <v>195.60000000000014</v>
      </c>
      <c r="AO12" s="2">
        <f>Tabel2425678910111213141517161819212022232614[[#This Row],[Verbruik Bruisend liter deze maand]]/0.15</f>
        <v>1304.0000000000009</v>
      </c>
      <c r="AP12" s="53">
        <v>541.70000000000005</v>
      </c>
      <c r="AQ12">
        <f>februari2025!AP12</f>
        <v>485.3</v>
      </c>
      <c r="AR12">
        <f>Tabel2425678910111213141517161819212022232614[[#This Row],[Stand licht bruisend liter einde maand]]-Tabel2425678910111213141517161819212022232614[[#This Row],[Stand licht bruisend liter vorige maand]]</f>
        <v>56.400000000000034</v>
      </c>
      <c r="AS12" s="2">
        <f>Tabel2425678910111213141517161819212022232614[[#This Row],[Verbruik licht bruisend liter deze maand]]/0.15</f>
        <v>376.00000000000023</v>
      </c>
      <c r="AT12" s="53">
        <v>3917.8</v>
      </c>
      <c r="AU12">
        <f>februari2025!AT12</f>
        <v>3531.2</v>
      </c>
      <c r="AV12">
        <f>Tabel2425678910111213141517161819212022232614[[#This Row],[Stand heet water liter einde maand]]-Tabel2425678910111213141517161819212022232614[[#This Row],[Stand heet water liter vorige maand]]</f>
        <v>386.60000000000036</v>
      </c>
      <c r="AW12" s="2">
        <f>Tabel2425678910111213141517161819212022232614[[#This Row],[Verbruik heet Water liter deze maand ]]/0.15</f>
        <v>2577.3333333333358</v>
      </c>
      <c r="AX12" s="77">
        <f>Tabel2425678910111213141517161819212022232614[[#This Row],[Aantal consumpties heet water deze maand]]+Tabel2425678910111213141517161819212022232614[[#This Row],[Aantal consumpties licht bruisend water deze maand]]+Tabel2425678910111213141517161819212022232614[[#This Row],[aantal consumpties Bruisend water deze maand]]+Tabel2425678910111213141517161819212022232614[[#This Row],[Aantal consumpties gekoeld water deze maand]]+Tabel2425678910111213141517161819212022232614[[#This Row],[Aantal consumpties Kamertemp deze maand]]</f>
        <v>6052.0000000000018</v>
      </c>
      <c r="AY12" s="95">
        <f>Tabel2425678910111213141517161819212022232614[[#This Row],[Subtotaal waterbar in consumpties]]+Tabel2425678910111213141517161819212022232614[[#This Row],[Subtotaal koffieautomaten]]</f>
        <v>8137.0000000000018</v>
      </c>
    </row>
    <row r="13" spans="1:130" x14ac:dyDescent="0.25">
      <c r="A13" s="65" t="s">
        <v>48</v>
      </c>
      <c r="B13" t="s">
        <v>49</v>
      </c>
      <c r="C13" t="s">
        <v>31</v>
      </c>
      <c r="E13">
        <v>25027</v>
      </c>
      <c r="F13">
        <f>februari2025!E13</f>
        <v>24083</v>
      </c>
      <c r="G13">
        <f>Tabel2425678910111213141517161819212022232614[[#This Row],[Stand Coffee einde maand]]-Tabel2425678910111213141517161819212022232614[[#This Row],[Coffee vorige maand]]</f>
        <v>944</v>
      </c>
      <c r="H13" s="53">
        <v>6767</v>
      </c>
      <c r="I13">
        <f>februari2025!H13</f>
        <v>6427</v>
      </c>
      <c r="J13">
        <f>Tabel2425678910111213141517161819212022232614[[#This Row],[Stand Espresso Einde maand]]-Tabel2425678910111213141517161819212022232614[[#This Row],[Espresso vorige maand]]</f>
        <v>340</v>
      </c>
      <c r="K13" s="53">
        <v>1488</v>
      </c>
      <c r="L13">
        <f>februari2025!K13</f>
        <v>1446</v>
      </c>
      <c r="M13">
        <f>Tabel2425678910111213141517161819212022232614[[#This Row],[Stand Latte Macchiato einde maand]]-Tabel2425678910111213141517161819212022232614[[#This Row],[Latte Macchiato vorige maand]]</f>
        <v>42</v>
      </c>
      <c r="N13" s="53">
        <v>575</v>
      </c>
      <c r="O13">
        <f>februari2025!N13</f>
        <v>552</v>
      </c>
      <c r="P13">
        <f>Tabel2425678910111213141517161819212022232614[[#This Row],[Stand Coffee Latte einde maand]]-Tabel2425678910111213141517161819212022232614[[#This Row],[Coffee Latte vorige maand]]</f>
        <v>23</v>
      </c>
      <c r="Q13" s="53">
        <v>64144</v>
      </c>
      <c r="R13">
        <f>februari2025!Q13</f>
        <v>60684</v>
      </c>
      <c r="S13">
        <f>Tabel2425678910111213141517161819212022232614[[#This Row],[Stand Hot Water einde maand]]-Tabel2425678910111213141517161819212022232614[[#This Row],[Hot Water vorige maand]]</f>
        <v>3460</v>
      </c>
      <c r="T13" s="53">
        <v>13397</v>
      </c>
      <c r="U13">
        <f>februari2025!T13</f>
        <v>12837</v>
      </c>
      <c r="V13">
        <f>Tabel2425678910111213141517161819212022232614[[#This Row],[Stand Cappucino einde maand]]-Tabel2425678910111213141517161819212022232614[[#This Row],[Stand Cappucino vorige maand]]</f>
        <v>560</v>
      </c>
      <c r="W13" s="53">
        <v>2347</v>
      </c>
      <c r="X13">
        <f>februari2025!W13</f>
        <v>2261</v>
      </c>
      <c r="Y13">
        <f>Tabel2425678910111213141517161819212022232614[[#This Row],[Stand Cappucino Plantaardig einde maand]]-Tabel2425678910111213141517161819212022232614[[#This Row],[Stand Cappucino Plantaardig vorige maand]]</f>
        <v>86</v>
      </c>
      <c r="Z13" s="53">
        <v>788</v>
      </c>
      <c r="AA13">
        <f>februari2025!Z13</f>
        <v>732</v>
      </c>
      <c r="AB13">
        <f>Tabel2425678910111213141517161819212022232614[[#This Row],[Stand Latte Macchiato Plantaardig einde maand]]-Tabel2425678910111213141517161819212022232614[[#This Row],[Stand Latte Macchiato Plantaardig vorige maand]]</f>
        <v>56</v>
      </c>
      <c r="AC13" s="71">
        <f>Tabel2425678910111213141517161819212022232614[[#This Row],[Verbruik Stand Latte Macchiato Plantaardig deze maand]]+Tabel2425678910111213141517161819212022232614[[#This Row],[Verbruik  Cappucino Plantaardig deze maand]]+Tabel2425678910111213141517161819212022232614[[#This Row],[Verbruik Cappucino deze maand]]+Tabel2425678910111213141517161819212022232614[[#This Row],[Verbruik Hot Water deze maand]]+Tabel2425678910111213141517161819212022232614[[#This Row],[Verbruik Coffee Latte deze maand]]+Tabel2425678910111213141517161819212022232614[[#This Row],[Verbruik Latte Macchiato deze maand]]+Tabel2425678910111213141517161819212022232614[[#This Row],[Verbruik Espresso deze maand]]+Tabel2425678910111213141517161819212022232614[[#This Row],[Verbruik Coffee deze maand]]</f>
        <v>5511</v>
      </c>
      <c r="AD13" s="69"/>
      <c r="AE13" s="41"/>
      <c r="AF13" s="5"/>
      <c r="AG13" s="5"/>
      <c r="AH13" s="75"/>
      <c r="AI13" s="41"/>
      <c r="AJ13" s="5"/>
      <c r="AK13" s="5"/>
      <c r="AL13" s="75"/>
      <c r="AM13" s="41"/>
      <c r="AN13" s="5"/>
      <c r="AO13" s="5"/>
      <c r="AP13" s="75"/>
      <c r="AQ13" s="41"/>
      <c r="AR13" s="5"/>
      <c r="AS13" s="5"/>
      <c r="AT13" s="75"/>
      <c r="AU13" s="41"/>
      <c r="AV13" s="5"/>
      <c r="AW13" s="5"/>
      <c r="AX13" s="79"/>
      <c r="AY13" s="95">
        <f>Tabel2425678910111213141517161819212022232614[[#This Row],[Subtotaal waterbar in consumpties]]+Tabel2425678910111213141517161819212022232614[[#This Row],[Subtotaal koffieautomaten]]</f>
        <v>5511</v>
      </c>
    </row>
    <row r="14" spans="1:130" x14ac:dyDescent="0.25">
      <c r="A14" s="65" t="s">
        <v>50</v>
      </c>
      <c r="B14" t="s">
        <v>51</v>
      </c>
      <c r="C14" t="s">
        <v>47</v>
      </c>
      <c r="E14">
        <v>20232</v>
      </c>
      <c r="F14">
        <f>februari2025!E14</f>
        <v>19233</v>
      </c>
      <c r="G14">
        <f>Tabel2425678910111213141517161819212022232614[[#This Row],[Stand Coffee einde maand]]-Tabel2425678910111213141517161819212022232614[[#This Row],[Coffee vorige maand]]</f>
        <v>999</v>
      </c>
      <c r="H14" s="53">
        <v>5165</v>
      </c>
      <c r="I14">
        <f>februari2025!H14</f>
        <v>4851</v>
      </c>
      <c r="J14">
        <f>Tabel2425678910111213141517161819212022232614[[#This Row],[Stand Espresso Einde maand]]-Tabel2425678910111213141517161819212022232614[[#This Row],[Espresso vorige maand]]</f>
        <v>314</v>
      </c>
      <c r="K14" s="53">
        <v>2130</v>
      </c>
      <c r="L14">
        <f>februari2025!K14</f>
        <v>2021</v>
      </c>
      <c r="M14">
        <f>Tabel2425678910111213141517161819212022232614[[#This Row],[Stand Latte Macchiato einde maand]]-Tabel2425678910111213141517161819212022232614[[#This Row],[Latte Macchiato vorige maand]]</f>
        <v>109</v>
      </c>
      <c r="N14" s="53">
        <v>1228</v>
      </c>
      <c r="O14">
        <f>februari2025!N14</f>
        <v>1222</v>
      </c>
      <c r="P14">
        <f>Tabel2425678910111213141517161819212022232614[[#This Row],[Stand Coffee Latte einde maand]]-Tabel2425678910111213141517161819212022232614[[#This Row],[Coffee Latte vorige maand]]</f>
        <v>6</v>
      </c>
      <c r="Q14" s="53">
        <v>1</v>
      </c>
      <c r="R14">
        <f>februari2025!Q14</f>
        <v>1</v>
      </c>
      <c r="S14">
        <f>Tabel2425678910111213141517161819212022232614[[#This Row],[Stand Hot Water einde maand]]-Tabel2425678910111213141517161819212022232614[[#This Row],[Hot Water vorige maand]]</f>
        <v>0</v>
      </c>
      <c r="T14" s="53">
        <v>9219</v>
      </c>
      <c r="U14">
        <f>februari2025!T14</f>
        <v>8943</v>
      </c>
      <c r="V14">
        <f>Tabel2425678910111213141517161819212022232614[[#This Row],[Stand Cappucino einde maand]]-Tabel2425678910111213141517161819212022232614[[#This Row],[Stand Cappucino vorige maand]]</f>
        <v>276</v>
      </c>
      <c r="W14" s="53">
        <v>1255</v>
      </c>
      <c r="X14">
        <f>februari2025!W14</f>
        <v>1242</v>
      </c>
      <c r="Y14">
        <f>Tabel2425678910111213141517161819212022232614[[#This Row],[Stand Cappucino Plantaardig einde maand]]-Tabel2425678910111213141517161819212022232614[[#This Row],[Stand Cappucino Plantaardig vorige maand]]</f>
        <v>13</v>
      </c>
      <c r="Z14" s="53">
        <v>721</v>
      </c>
      <c r="AA14">
        <f>februari2025!Z14</f>
        <v>705</v>
      </c>
      <c r="AB14">
        <f>Tabel2425678910111213141517161819212022232614[[#This Row],[Stand Latte Macchiato Plantaardig einde maand]]-Tabel2425678910111213141517161819212022232614[[#This Row],[Stand Latte Macchiato Plantaardig vorige maand]]</f>
        <v>16</v>
      </c>
      <c r="AC14" s="71">
        <f>Tabel2425678910111213141517161819212022232614[[#This Row],[Verbruik Stand Latte Macchiato Plantaardig deze maand]]+Tabel2425678910111213141517161819212022232614[[#This Row],[Verbruik  Cappucino Plantaardig deze maand]]+Tabel2425678910111213141517161819212022232614[[#This Row],[Verbruik Cappucino deze maand]]+Tabel2425678910111213141517161819212022232614[[#This Row],[Verbruik Hot Water deze maand]]+Tabel2425678910111213141517161819212022232614[[#This Row],[Verbruik Coffee Latte deze maand]]+Tabel2425678910111213141517161819212022232614[[#This Row],[Verbruik Latte Macchiato deze maand]]+Tabel2425678910111213141517161819212022232614[[#This Row],[Verbruik Espresso deze maand]]+Tabel2425678910111213141517161819212022232614[[#This Row],[Verbruik Coffee deze maand]]</f>
        <v>1733</v>
      </c>
      <c r="AD14" s="53">
        <v>183.1</v>
      </c>
      <c r="AE14">
        <f>februari2025!AD14</f>
        <v>154.6</v>
      </c>
      <c r="AF14">
        <f>Tabel2425678910111213141517161819212022232614[[#This Row],[Stand Kamertemp liter einde maand]]-Tabel2425678910111213141517161819212022232614[[#This Row],[Stand Kamertemp liter vorige maand]]</f>
        <v>28.5</v>
      </c>
      <c r="AG14" s="2">
        <f>Tabel2425678910111213141517161819212022232614[[#This Row],[Verbruik Kamertemp liter deze maand]]/0.15</f>
        <v>190</v>
      </c>
      <c r="AH14" s="53">
        <v>1604.8</v>
      </c>
      <c r="AI14">
        <f>februari2025!AH14</f>
        <v>1323.5</v>
      </c>
      <c r="AJ14">
        <f>Tabel2425678910111213141517161819212022232614[[#This Row],[Stand Gekoeld liter einde maand]]-Tabel2425678910111213141517161819212022232614[[#This Row],[Stand Gekoeld liter vorige maand]]</f>
        <v>281.29999999999995</v>
      </c>
      <c r="AK14" s="2">
        <f>Tabel2425678910111213141517161819212022232614[[#This Row],[Verbruik Gekoeld liter deze maand]]/0.15</f>
        <v>1875.333333333333</v>
      </c>
      <c r="AL14" s="53">
        <v>705.6</v>
      </c>
      <c r="AM14">
        <f>februari2025!AL14</f>
        <v>593</v>
      </c>
      <c r="AN14">
        <f>Tabel2425678910111213141517161819212022232614[[#This Row],[Stand Bruisend liter einde maand]]-Tabel2425678910111213141517161819212022232614[[#This Row],[Stand Bruisend liter vorige maand]]</f>
        <v>112.60000000000002</v>
      </c>
      <c r="AO14" s="2">
        <f>Tabel2425678910111213141517161819212022232614[[#This Row],[Verbruik Bruisend liter deze maand]]/0.15</f>
        <v>750.66666666666686</v>
      </c>
      <c r="AP14" s="53">
        <v>740.3</v>
      </c>
      <c r="AQ14">
        <f>februari2025!AP14</f>
        <v>656.6</v>
      </c>
      <c r="AR14">
        <f>Tabel2425678910111213141517161819212022232614[[#This Row],[Stand licht bruisend liter einde maand]]-Tabel2425678910111213141517161819212022232614[[#This Row],[Stand licht bruisend liter vorige maand]]</f>
        <v>83.699999999999932</v>
      </c>
      <c r="AS14" s="2">
        <f>Tabel2425678910111213141517161819212022232614[[#This Row],[Verbruik licht bruisend liter deze maand]]/0.15</f>
        <v>557.99999999999955</v>
      </c>
      <c r="AT14" s="53">
        <v>3252.5</v>
      </c>
      <c r="AU14">
        <f>februari2025!AT14</f>
        <v>2744.5</v>
      </c>
      <c r="AV14">
        <f>Tabel2425678910111213141517161819212022232614[[#This Row],[Stand heet water liter einde maand]]-Tabel2425678910111213141517161819212022232614[[#This Row],[Stand heet water liter vorige maand]]</f>
        <v>508</v>
      </c>
      <c r="AW14" s="2">
        <f>Tabel2425678910111213141517161819212022232614[[#This Row],[Verbruik heet Water liter deze maand ]]/0.15</f>
        <v>3386.666666666667</v>
      </c>
      <c r="AX14" s="77">
        <f>Tabel2425678910111213141517161819212022232614[[#This Row],[Aantal consumpties heet water deze maand]]+Tabel2425678910111213141517161819212022232614[[#This Row],[Aantal consumpties licht bruisend water deze maand]]+Tabel2425678910111213141517161819212022232614[[#This Row],[aantal consumpties Bruisend water deze maand]]+Tabel2425678910111213141517161819212022232614[[#This Row],[Aantal consumpties gekoeld water deze maand]]+Tabel2425678910111213141517161819212022232614[[#This Row],[Aantal consumpties Kamertemp deze maand]]</f>
        <v>6760.6666666666661</v>
      </c>
      <c r="AY14" s="95">
        <f>Tabel2425678910111213141517161819212022232614[[#This Row],[Subtotaal waterbar in consumpties]]+Tabel2425678910111213141517161819212022232614[[#This Row],[Subtotaal koffieautomaten]]</f>
        <v>8493.6666666666661</v>
      </c>
    </row>
    <row r="15" spans="1:130" x14ac:dyDescent="0.25">
      <c r="A15" s="65" t="s">
        <v>52</v>
      </c>
      <c r="B15" t="s">
        <v>53</v>
      </c>
      <c r="C15" t="s">
        <v>31</v>
      </c>
      <c r="E15">
        <v>18832</v>
      </c>
      <c r="F15">
        <f>februari2025!E15</f>
        <v>18107</v>
      </c>
      <c r="G15">
        <f>Tabel2425678910111213141517161819212022232614[[#This Row],[Stand Coffee einde maand]]-Tabel2425678910111213141517161819212022232614[[#This Row],[Coffee vorige maand]]</f>
        <v>725</v>
      </c>
      <c r="H15" s="53">
        <v>5242</v>
      </c>
      <c r="I15">
        <f>februari2025!H15</f>
        <v>5102</v>
      </c>
      <c r="J15">
        <f>Tabel2425678910111213141517161819212022232614[[#This Row],[Stand Espresso Einde maand]]-Tabel2425678910111213141517161819212022232614[[#This Row],[Espresso vorige maand]]</f>
        <v>140</v>
      </c>
      <c r="K15" s="53">
        <v>1068</v>
      </c>
      <c r="L15">
        <f>februari2025!K15</f>
        <v>1020</v>
      </c>
      <c r="M15">
        <f>Tabel2425678910111213141517161819212022232614[[#This Row],[Stand Latte Macchiato einde maand]]-Tabel2425678910111213141517161819212022232614[[#This Row],[Latte Macchiato vorige maand]]</f>
        <v>48</v>
      </c>
      <c r="N15" s="53">
        <v>1170</v>
      </c>
      <c r="O15">
        <f>februari2025!N15</f>
        <v>1137</v>
      </c>
      <c r="P15">
        <f>Tabel2425678910111213141517161819212022232614[[#This Row],[Stand Coffee Latte einde maand]]-Tabel2425678910111213141517161819212022232614[[#This Row],[Coffee Latte vorige maand]]</f>
        <v>33</v>
      </c>
      <c r="Q15" s="53">
        <v>31945</v>
      </c>
      <c r="R15">
        <f>februari2025!Q15</f>
        <v>30366</v>
      </c>
      <c r="S15">
        <f>Tabel2425678910111213141517161819212022232614[[#This Row],[Stand Hot Water einde maand]]-Tabel2425678910111213141517161819212022232614[[#This Row],[Hot Water vorige maand]]</f>
        <v>1579</v>
      </c>
      <c r="T15" s="53">
        <v>8175</v>
      </c>
      <c r="U15">
        <f>februari2025!T15</f>
        <v>7872</v>
      </c>
      <c r="V15">
        <f>Tabel2425678910111213141517161819212022232614[[#This Row],[Stand Cappucino einde maand]]-Tabel2425678910111213141517161819212022232614[[#This Row],[Stand Cappucino vorige maand]]</f>
        <v>303</v>
      </c>
      <c r="W15" s="53">
        <v>1771</v>
      </c>
      <c r="X15">
        <f>februari2025!W15</f>
        <v>1751</v>
      </c>
      <c r="Y15">
        <f>Tabel2425678910111213141517161819212022232614[[#This Row],[Stand Cappucino Plantaardig einde maand]]-Tabel2425678910111213141517161819212022232614[[#This Row],[Stand Cappucino Plantaardig vorige maand]]</f>
        <v>20</v>
      </c>
      <c r="Z15" s="53">
        <v>409</v>
      </c>
      <c r="AA15">
        <f>februari2025!Z15</f>
        <v>400</v>
      </c>
      <c r="AB15">
        <f>Tabel2425678910111213141517161819212022232614[[#This Row],[Stand Latte Macchiato Plantaardig einde maand]]-Tabel2425678910111213141517161819212022232614[[#This Row],[Stand Latte Macchiato Plantaardig vorige maand]]</f>
        <v>9</v>
      </c>
      <c r="AC15" s="71">
        <f>Tabel2425678910111213141517161819212022232614[[#This Row],[Verbruik Stand Latte Macchiato Plantaardig deze maand]]+Tabel2425678910111213141517161819212022232614[[#This Row],[Verbruik  Cappucino Plantaardig deze maand]]+Tabel2425678910111213141517161819212022232614[[#This Row],[Verbruik Cappucino deze maand]]+Tabel2425678910111213141517161819212022232614[[#This Row],[Verbruik Hot Water deze maand]]+Tabel2425678910111213141517161819212022232614[[#This Row],[Verbruik Coffee Latte deze maand]]+Tabel2425678910111213141517161819212022232614[[#This Row],[Verbruik Latte Macchiato deze maand]]+Tabel2425678910111213141517161819212022232614[[#This Row],[Verbruik Espresso deze maand]]+Tabel2425678910111213141517161819212022232614[[#This Row],[Verbruik Coffee deze maand]]</f>
        <v>2857</v>
      </c>
      <c r="AD15" s="69"/>
      <c r="AE15" s="41"/>
      <c r="AF15" s="5"/>
      <c r="AG15" s="5"/>
      <c r="AH15" s="75"/>
      <c r="AI15" s="41"/>
      <c r="AJ15" s="5"/>
      <c r="AK15" s="5"/>
      <c r="AL15" s="75"/>
      <c r="AM15" s="41"/>
      <c r="AN15" s="5"/>
      <c r="AO15" s="5"/>
      <c r="AP15" s="75"/>
      <c r="AQ15" s="41"/>
      <c r="AR15" s="5"/>
      <c r="AS15" s="5"/>
      <c r="AT15" s="75"/>
      <c r="AU15" s="41"/>
      <c r="AV15" s="5"/>
      <c r="AW15" s="5"/>
      <c r="AX15" s="79"/>
      <c r="AY15" s="95">
        <f>Tabel2425678910111213141517161819212022232614[[#This Row],[Subtotaal waterbar in consumpties]]+Tabel2425678910111213141517161819212022232614[[#This Row],[Subtotaal koffieautomaten]]</f>
        <v>2857</v>
      </c>
    </row>
    <row r="16" spans="1:130" x14ac:dyDescent="0.25">
      <c r="A16" s="65" t="s">
        <v>54</v>
      </c>
      <c r="B16" t="s">
        <v>55</v>
      </c>
      <c r="C16" t="s">
        <v>47</v>
      </c>
      <c r="E16">
        <v>2153</v>
      </c>
      <c r="F16">
        <f>februari2025!E16</f>
        <v>1924</v>
      </c>
      <c r="G16">
        <f>Tabel2425678910111213141517161819212022232614[[#This Row],[Stand Coffee einde maand]]-Tabel2425678910111213141517161819212022232614[[#This Row],[Coffee vorige maand]]</f>
        <v>229</v>
      </c>
      <c r="H16" s="53">
        <v>2678</v>
      </c>
      <c r="I16">
        <f>februari2025!H16</f>
        <v>2358</v>
      </c>
      <c r="J16">
        <f>Tabel2425678910111213141517161819212022232614[[#This Row],[Stand Espresso Einde maand]]-Tabel2425678910111213141517161819212022232614[[#This Row],[Espresso vorige maand]]</f>
        <v>320</v>
      </c>
      <c r="K16" s="53">
        <v>212</v>
      </c>
      <c r="L16">
        <f>februari2025!K16</f>
        <v>176</v>
      </c>
      <c r="M16">
        <f>Tabel2425678910111213141517161819212022232614[[#This Row],[Stand Latte Macchiato einde maand]]-Tabel2425678910111213141517161819212022232614[[#This Row],[Latte Macchiato vorige maand]]</f>
        <v>36</v>
      </c>
      <c r="N16" s="53">
        <v>161</v>
      </c>
      <c r="O16">
        <f>februari2025!N16</f>
        <v>136</v>
      </c>
      <c r="P16">
        <f>Tabel2425678910111213141517161819212022232614[[#This Row],[Stand Coffee Latte einde maand]]-Tabel2425678910111213141517161819212022232614[[#This Row],[Coffee Latte vorige maand]]</f>
        <v>25</v>
      </c>
      <c r="Q16" s="53">
        <v>631</v>
      </c>
      <c r="R16">
        <f>februari2025!Q16</f>
        <v>534</v>
      </c>
      <c r="S16">
        <f>Tabel2425678910111213141517161819212022232614[[#This Row],[Stand Hot Water einde maand]]-Tabel2425678910111213141517161819212022232614[[#This Row],[Hot Water vorige maand]]</f>
        <v>97</v>
      </c>
      <c r="T16" s="53">
        <v>3160</v>
      </c>
      <c r="U16">
        <f>februari2025!T16</f>
        <v>2713</v>
      </c>
      <c r="V16">
        <f>Tabel2425678910111213141517161819212022232614[[#This Row],[Stand Cappucino einde maand]]-Tabel2425678910111213141517161819212022232614[[#This Row],[Stand Cappucino vorige maand]]</f>
        <v>447</v>
      </c>
      <c r="W16" s="53">
        <v>281</v>
      </c>
      <c r="X16">
        <f>februari2025!W16</f>
        <v>229</v>
      </c>
      <c r="Y16">
        <f>Tabel2425678910111213141517161819212022232614[[#This Row],[Stand Cappucino Plantaardig einde maand]]-Tabel2425678910111213141517161819212022232614[[#This Row],[Stand Cappucino Plantaardig vorige maand]]</f>
        <v>52</v>
      </c>
      <c r="Z16" s="53">
        <v>48</v>
      </c>
      <c r="AA16">
        <f>februari2025!Z16</f>
        <v>42</v>
      </c>
      <c r="AB16">
        <f>Tabel2425678910111213141517161819212022232614[[#This Row],[Stand Latte Macchiato Plantaardig einde maand]]-Tabel2425678910111213141517161819212022232614[[#This Row],[Stand Latte Macchiato Plantaardig vorige maand]]</f>
        <v>6</v>
      </c>
      <c r="AC16" s="71">
        <f>Tabel2425678910111213141517161819212022232614[[#This Row],[Verbruik Stand Latte Macchiato Plantaardig deze maand]]+Tabel2425678910111213141517161819212022232614[[#This Row],[Verbruik  Cappucino Plantaardig deze maand]]+Tabel2425678910111213141517161819212022232614[[#This Row],[Verbruik Cappucino deze maand]]+Tabel2425678910111213141517161819212022232614[[#This Row],[Verbruik Hot Water deze maand]]+Tabel2425678910111213141517161819212022232614[[#This Row],[Verbruik Coffee Latte deze maand]]+Tabel2425678910111213141517161819212022232614[[#This Row],[Verbruik Latte Macchiato deze maand]]+Tabel2425678910111213141517161819212022232614[[#This Row],[Verbruik Espresso deze maand]]+Tabel2425678910111213141517161819212022232614[[#This Row],[Verbruik Coffee deze maand]]</f>
        <v>1212</v>
      </c>
      <c r="AD16" s="53">
        <v>8.4</v>
      </c>
      <c r="AE16">
        <f>februari2025!AD16</f>
        <v>2</v>
      </c>
      <c r="AF16">
        <f>Tabel2425678910111213141517161819212022232614[[#This Row],[Stand Kamertemp liter einde maand]]-Tabel2425678910111213141517161819212022232614[[#This Row],[Stand Kamertemp liter vorige maand]]</f>
        <v>6.4</v>
      </c>
      <c r="AG16" s="2">
        <f>Tabel2425678910111213141517161819212022232614[[#This Row],[Verbruik Kamertemp liter deze maand]]/0.15</f>
        <v>42.666666666666671</v>
      </c>
      <c r="AH16" s="51">
        <v>147.6</v>
      </c>
      <c r="AI16">
        <f>februari2025!AH16</f>
        <v>101.3</v>
      </c>
      <c r="AJ16">
        <f>Tabel2425678910111213141517161819212022232614[[#This Row],[Stand Gekoeld liter einde maand]]-Tabel2425678910111213141517161819212022232614[[#This Row],[Stand Gekoeld liter vorige maand]]</f>
        <v>46.3</v>
      </c>
      <c r="AK16" s="2">
        <f>Tabel2425678910111213141517161819212022232614[[#This Row],[Verbruik Gekoeld liter deze maand]]/0.15</f>
        <v>308.66666666666669</v>
      </c>
      <c r="AL16" s="51">
        <v>94.3</v>
      </c>
      <c r="AM16">
        <f>februari2025!AL16</f>
        <v>83.1</v>
      </c>
      <c r="AN16">
        <f>Tabel2425678910111213141517161819212022232614[[#This Row],[Stand Bruisend liter einde maand]]-Tabel2425678910111213141517161819212022232614[[#This Row],[Stand Bruisend liter vorige maand]]</f>
        <v>11.200000000000003</v>
      </c>
      <c r="AO16" s="2">
        <f>Tabel2425678910111213141517161819212022232614[[#This Row],[Verbruik Bruisend liter deze maand]]/0.15</f>
        <v>74.666666666666686</v>
      </c>
      <c r="AP16" s="51">
        <v>32.200000000000003</v>
      </c>
      <c r="AQ16">
        <f>februari2025!AP16</f>
        <v>27.4</v>
      </c>
      <c r="AR16">
        <f>Tabel2425678910111213141517161819212022232614[[#This Row],[Stand licht bruisend liter einde maand]]-Tabel2425678910111213141517161819212022232614[[#This Row],[Stand licht bruisend liter vorige maand]]</f>
        <v>4.8000000000000043</v>
      </c>
      <c r="AS16" s="2">
        <f>Tabel2425678910111213141517161819212022232614[[#This Row],[Verbruik licht bruisend liter deze maand]]/0.15</f>
        <v>32.000000000000028</v>
      </c>
      <c r="AT16" s="51">
        <v>392.1</v>
      </c>
      <c r="AU16">
        <f>februari2025!AT16</f>
        <v>340.4</v>
      </c>
      <c r="AV16">
        <f>Tabel2425678910111213141517161819212022232614[[#This Row],[Stand heet water liter einde maand]]-Tabel2425678910111213141517161819212022232614[[#This Row],[Stand heet water liter vorige maand]]</f>
        <v>51.700000000000045</v>
      </c>
      <c r="AW16" s="2">
        <f>Tabel2425678910111213141517161819212022232614[[#This Row],[Verbruik heet Water liter deze maand ]]/0.15</f>
        <v>344.66666666666697</v>
      </c>
      <c r="AX16" s="77">
        <f>Tabel2425678910111213141517161819212022232614[[#This Row],[Aantal consumpties heet water deze maand]]+Tabel2425678910111213141517161819212022232614[[#This Row],[Aantal consumpties licht bruisend water deze maand]]+Tabel2425678910111213141517161819212022232614[[#This Row],[aantal consumpties Bruisend water deze maand]]+Tabel2425678910111213141517161819212022232614[[#This Row],[Aantal consumpties gekoeld water deze maand]]+Tabel2425678910111213141517161819212022232614[[#This Row],[Aantal consumpties Kamertemp deze maand]]</f>
        <v>802.66666666666697</v>
      </c>
      <c r="AY16" s="95">
        <f>Tabel2425678910111213141517161819212022232614[[#This Row],[Subtotaal waterbar in consumpties]]+Tabel2425678910111213141517161819212022232614[[#This Row],[Subtotaal koffieautomaten]]</f>
        <v>2014.666666666667</v>
      </c>
    </row>
    <row r="17" spans="1:130" x14ac:dyDescent="0.25">
      <c r="A17" s="65" t="s">
        <v>56</v>
      </c>
      <c r="B17" t="s">
        <v>57</v>
      </c>
      <c r="C17" t="s">
        <v>31</v>
      </c>
      <c r="E17">
        <v>27139</v>
      </c>
      <c r="F17">
        <f>februari2025!E17</f>
        <v>25953</v>
      </c>
      <c r="G17">
        <f>Tabel2425678910111213141517161819212022232614[[#This Row],[Stand Coffee einde maand]]-Tabel2425678910111213141517161819212022232614[[#This Row],[Coffee vorige maand]]</f>
        <v>1186</v>
      </c>
      <c r="H17" s="53">
        <v>5580</v>
      </c>
      <c r="I17">
        <f>februari2025!H17</f>
        <v>5383</v>
      </c>
      <c r="J17">
        <f>Tabel2425678910111213141517161819212022232614[[#This Row],[Stand Espresso Einde maand]]-Tabel2425678910111213141517161819212022232614[[#This Row],[Espresso vorige maand]]</f>
        <v>197</v>
      </c>
      <c r="K17" s="53">
        <v>768</v>
      </c>
      <c r="L17">
        <f>februari2025!K17</f>
        <v>763</v>
      </c>
      <c r="M17">
        <f>Tabel2425678910111213141517161819212022232614[[#This Row],[Stand Latte Macchiato einde maand]]-Tabel2425678910111213141517161819212022232614[[#This Row],[Latte Macchiato vorige maand]]</f>
        <v>5</v>
      </c>
      <c r="N17" s="53">
        <v>1603</v>
      </c>
      <c r="O17">
        <f>februari2025!N17</f>
        <v>1582</v>
      </c>
      <c r="P17">
        <f>Tabel2425678910111213141517161819212022232614[[#This Row],[Stand Coffee Latte einde maand]]-Tabel2425678910111213141517161819212022232614[[#This Row],[Coffee Latte vorige maand]]</f>
        <v>21</v>
      </c>
      <c r="Q17" s="53">
        <v>41844</v>
      </c>
      <c r="R17">
        <f>februari2025!Q17</f>
        <v>40024</v>
      </c>
      <c r="S17">
        <f>Tabel2425678910111213141517161819212022232614[[#This Row],[Stand Hot Water einde maand]]-Tabel2425678910111213141517161819212022232614[[#This Row],[Hot Water vorige maand]]</f>
        <v>1820</v>
      </c>
      <c r="T17" s="53">
        <v>11101</v>
      </c>
      <c r="U17">
        <f>februari2025!T17</f>
        <v>10823</v>
      </c>
      <c r="V17">
        <f>Tabel2425678910111213141517161819212022232614[[#This Row],[Stand Cappucino einde maand]]-Tabel2425678910111213141517161819212022232614[[#This Row],[Stand Cappucino vorige maand]]</f>
        <v>278</v>
      </c>
      <c r="W17" s="53">
        <v>3346</v>
      </c>
      <c r="X17">
        <f>februari2025!W17</f>
        <v>3227</v>
      </c>
      <c r="Y17">
        <f>Tabel2425678910111213141517161819212022232614[[#This Row],[Stand Cappucino Plantaardig einde maand]]-Tabel2425678910111213141517161819212022232614[[#This Row],[Stand Cappucino Plantaardig vorige maand]]</f>
        <v>119</v>
      </c>
      <c r="Z17" s="53">
        <v>864</v>
      </c>
      <c r="AA17">
        <f>februari2025!Z17</f>
        <v>821</v>
      </c>
      <c r="AB17">
        <f>Tabel2425678910111213141517161819212022232614[[#This Row],[Stand Latte Macchiato Plantaardig einde maand]]-Tabel2425678910111213141517161819212022232614[[#This Row],[Stand Latte Macchiato Plantaardig vorige maand]]</f>
        <v>43</v>
      </c>
      <c r="AC17" s="71">
        <f>Tabel2425678910111213141517161819212022232614[[#This Row],[Verbruik Stand Latte Macchiato Plantaardig deze maand]]+Tabel2425678910111213141517161819212022232614[[#This Row],[Verbruik  Cappucino Plantaardig deze maand]]+Tabel2425678910111213141517161819212022232614[[#This Row],[Verbruik Cappucino deze maand]]+Tabel2425678910111213141517161819212022232614[[#This Row],[Verbruik Hot Water deze maand]]+Tabel2425678910111213141517161819212022232614[[#This Row],[Verbruik Coffee Latte deze maand]]+Tabel2425678910111213141517161819212022232614[[#This Row],[Verbruik Latte Macchiato deze maand]]+Tabel2425678910111213141517161819212022232614[[#This Row],[Verbruik Espresso deze maand]]+Tabel2425678910111213141517161819212022232614[[#This Row],[Verbruik Coffee deze maand]]</f>
        <v>3669</v>
      </c>
      <c r="AD17" s="69"/>
      <c r="AE17" s="41"/>
      <c r="AF17" s="5"/>
      <c r="AG17" s="5"/>
      <c r="AH17" s="75"/>
      <c r="AI17" s="41"/>
      <c r="AJ17" s="5"/>
      <c r="AK17" s="5"/>
      <c r="AL17" s="75"/>
      <c r="AM17" s="41"/>
      <c r="AN17" s="5"/>
      <c r="AO17" s="5"/>
      <c r="AP17" s="75"/>
      <c r="AQ17" s="41"/>
      <c r="AR17" s="5"/>
      <c r="AS17" s="5"/>
      <c r="AT17" s="75"/>
      <c r="AU17" s="41"/>
      <c r="AV17" s="5"/>
      <c r="AW17" s="5"/>
      <c r="AX17" s="79"/>
      <c r="AY17" s="95">
        <f>Tabel2425678910111213141517161819212022232614[[#This Row],[Subtotaal waterbar in consumpties]]+Tabel2425678910111213141517161819212022232614[[#This Row],[Subtotaal koffieautomaten]]</f>
        <v>3669</v>
      </c>
    </row>
    <row r="18" spans="1:130" x14ac:dyDescent="0.25">
      <c r="A18" s="65" t="s">
        <v>58</v>
      </c>
      <c r="B18" t="s">
        <v>59</v>
      </c>
      <c r="C18" t="s">
        <v>47</v>
      </c>
      <c r="E18">
        <v>19176</v>
      </c>
      <c r="F18">
        <f>februari2025!E18</f>
        <v>18380</v>
      </c>
      <c r="G18">
        <f>Tabel2425678910111213141517161819212022232614[[#This Row],[Stand Coffee einde maand]]-Tabel2425678910111213141517161819212022232614[[#This Row],[Coffee vorige maand]]</f>
        <v>796</v>
      </c>
      <c r="H18" s="53">
        <v>4662</v>
      </c>
      <c r="I18">
        <f>februari2025!H18</f>
        <v>4285</v>
      </c>
      <c r="J18">
        <f>Tabel2425678910111213141517161819212022232614[[#This Row],[Stand Espresso Einde maand]]-Tabel2425678910111213141517161819212022232614[[#This Row],[Espresso vorige maand]]</f>
        <v>377</v>
      </c>
      <c r="K18" s="53">
        <v>2655</v>
      </c>
      <c r="L18">
        <f>februari2025!K18</f>
        <v>2505</v>
      </c>
      <c r="M18">
        <f>Tabel2425678910111213141517161819212022232614[[#This Row],[Stand Latte Macchiato einde maand]]-Tabel2425678910111213141517161819212022232614[[#This Row],[Latte Macchiato vorige maand]]</f>
        <v>150</v>
      </c>
      <c r="N18" s="53">
        <v>711</v>
      </c>
      <c r="O18">
        <f>februari2025!N18</f>
        <v>625</v>
      </c>
      <c r="P18">
        <f>Tabel2425678910111213141517161819212022232614[[#This Row],[Stand Coffee Latte einde maand]]-Tabel2425678910111213141517161819212022232614[[#This Row],[Coffee Latte vorige maand]]</f>
        <v>86</v>
      </c>
      <c r="Q18" s="53">
        <v>1</v>
      </c>
      <c r="R18">
        <f>februari2025!Q18</f>
        <v>1</v>
      </c>
      <c r="S18">
        <f>Tabel2425678910111213141517161819212022232614[[#This Row],[Stand Hot Water einde maand]]-Tabel2425678910111213141517161819212022232614[[#This Row],[Hot Water vorige maand]]</f>
        <v>0</v>
      </c>
      <c r="T18" s="53">
        <v>10328</v>
      </c>
      <c r="U18">
        <f>februari2025!T18</f>
        <v>9947</v>
      </c>
      <c r="V18">
        <f>Tabel2425678910111213141517161819212022232614[[#This Row],[Stand Cappucino einde maand]]-Tabel2425678910111213141517161819212022232614[[#This Row],[Stand Cappucino vorige maand]]</f>
        <v>381</v>
      </c>
      <c r="W18" s="53">
        <v>3787</v>
      </c>
      <c r="X18">
        <f>februari2025!W18</f>
        <v>3622</v>
      </c>
      <c r="Y18">
        <f>Tabel2425678910111213141517161819212022232614[[#This Row],[Stand Cappucino Plantaardig einde maand]]-Tabel2425678910111213141517161819212022232614[[#This Row],[Stand Cappucino Plantaardig vorige maand]]</f>
        <v>165</v>
      </c>
      <c r="Z18" s="53">
        <v>446</v>
      </c>
      <c r="AA18">
        <f>februari2025!Z18</f>
        <v>433</v>
      </c>
      <c r="AB18">
        <f>Tabel2425678910111213141517161819212022232614[[#This Row],[Stand Latte Macchiato Plantaardig einde maand]]-Tabel2425678910111213141517161819212022232614[[#This Row],[Stand Latte Macchiato Plantaardig vorige maand]]</f>
        <v>13</v>
      </c>
      <c r="AC18" s="71">
        <f>Tabel2425678910111213141517161819212022232614[[#This Row],[Verbruik Stand Latte Macchiato Plantaardig deze maand]]+Tabel2425678910111213141517161819212022232614[[#This Row],[Verbruik  Cappucino Plantaardig deze maand]]+Tabel2425678910111213141517161819212022232614[[#This Row],[Verbruik Cappucino deze maand]]+Tabel2425678910111213141517161819212022232614[[#This Row],[Verbruik Hot Water deze maand]]+Tabel2425678910111213141517161819212022232614[[#This Row],[Verbruik Coffee Latte deze maand]]+Tabel2425678910111213141517161819212022232614[[#This Row],[Verbruik Latte Macchiato deze maand]]+Tabel2425678910111213141517161819212022232614[[#This Row],[Verbruik Espresso deze maand]]+Tabel2425678910111213141517161819212022232614[[#This Row],[Verbruik Coffee deze maand]]</f>
        <v>1968</v>
      </c>
      <c r="AD18" s="53">
        <v>453.4</v>
      </c>
      <c r="AE18">
        <f>februari2025!AD18</f>
        <v>399.4</v>
      </c>
      <c r="AF18">
        <f>Tabel2425678910111213141517161819212022232614[[#This Row],[Stand Kamertemp liter einde maand]]-Tabel2425678910111213141517161819212022232614[[#This Row],[Stand Kamertemp liter vorige maand]]</f>
        <v>54</v>
      </c>
      <c r="AG18" s="2">
        <f>Tabel2425678910111213141517161819212022232614[[#This Row],[Verbruik Kamertemp liter deze maand]]/0.15</f>
        <v>360</v>
      </c>
      <c r="AH18" s="53">
        <v>1763</v>
      </c>
      <c r="AI18">
        <f>februari2025!AH18</f>
        <v>1546.2</v>
      </c>
      <c r="AJ18">
        <f>Tabel2425678910111213141517161819212022232614[[#This Row],[Stand Gekoeld liter einde maand]]-Tabel2425678910111213141517161819212022232614[[#This Row],[Stand Gekoeld liter vorige maand]]</f>
        <v>216.79999999999995</v>
      </c>
      <c r="AK18" s="2">
        <f>Tabel2425678910111213141517161819212022232614[[#This Row],[Verbruik Gekoeld liter deze maand]]/0.15</f>
        <v>1445.333333333333</v>
      </c>
      <c r="AL18" s="53">
        <v>1586.4</v>
      </c>
      <c r="AM18">
        <f>februari2025!AL18</f>
        <v>1430.6</v>
      </c>
      <c r="AN18">
        <f>Tabel2425678910111213141517161819212022232614[[#This Row],[Stand Bruisend liter einde maand]]-Tabel2425678910111213141517161819212022232614[[#This Row],[Stand Bruisend liter vorige maand]]</f>
        <v>155.80000000000018</v>
      </c>
      <c r="AO18" s="2">
        <f>Tabel2425678910111213141517161819212022232614[[#This Row],[Verbruik Bruisend liter deze maand]]/0.15</f>
        <v>1038.6666666666679</v>
      </c>
      <c r="AP18" s="53">
        <v>502.3</v>
      </c>
      <c r="AQ18">
        <f>februari2025!AP18</f>
        <v>423</v>
      </c>
      <c r="AR18">
        <f>Tabel2425678910111213141517161819212022232614[[#This Row],[Stand licht bruisend liter einde maand]]-Tabel2425678910111213141517161819212022232614[[#This Row],[Stand licht bruisend liter vorige maand]]</f>
        <v>79.300000000000011</v>
      </c>
      <c r="AS18" s="2">
        <f>Tabel2425678910111213141517161819212022232614[[#This Row],[Verbruik licht bruisend liter deze maand]]/0.15</f>
        <v>528.66666666666674</v>
      </c>
      <c r="AT18" s="53">
        <v>4164.6000000000004</v>
      </c>
      <c r="AU18">
        <f>februari2025!AT18</f>
        <v>3714</v>
      </c>
      <c r="AV18">
        <f>Tabel2425678910111213141517161819212022232614[[#This Row],[Stand heet water liter einde maand]]-Tabel2425678910111213141517161819212022232614[[#This Row],[Stand heet water liter vorige maand]]</f>
        <v>450.60000000000036</v>
      </c>
      <c r="AW18" s="2">
        <f>Tabel2425678910111213141517161819212022232614[[#This Row],[Verbruik heet Water liter deze maand ]]/0.15</f>
        <v>3004.0000000000027</v>
      </c>
      <c r="AX18" s="77">
        <f>Tabel2425678910111213141517161819212022232614[[#This Row],[Aantal consumpties heet water deze maand]]+Tabel2425678910111213141517161819212022232614[[#This Row],[Aantal consumpties licht bruisend water deze maand]]+Tabel2425678910111213141517161819212022232614[[#This Row],[aantal consumpties Bruisend water deze maand]]+Tabel2425678910111213141517161819212022232614[[#This Row],[Aantal consumpties gekoeld water deze maand]]+Tabel2425678910111213141517161819212022232614[[#This Row],[Aantal consumpties Kamertemp deze maand]]</f>
        <v>6376.6666666666706</v>
      </c>
      <c r="AY18" s="95">
        <f>Tabel2425678910111213141517161819212022232614[[#This Row],[Subtotaal waterbar in consumpties]]+Tabel2425678910111213141517161819212022232614[[#This Row],[Subtotaal koffieautomaten]]</f>
        <v>8344.6666666666715</v>
      </c>
    </row>
    <row r="19" spans="1:130" x14ac:dyDescent="0.25">
      <c r="A19" s="65" t="s">
        <v>60</v>
      </c>
      <c r="B19" t="s">
        <v>61</v>
      </c>
      <c r="C19" t="s">
        <v>31</v>
      </c>
      <c r="E19">
        <v>20337</v>
      </c>
      <c r="F19">
        <f>februari2025!E19</f>
        <v>19484</v>
      </c>
      <c r="G19">
        <f>Tabel2425678910111213141517161819212022232614[[#This Row],[Stand Coffee einde maand]]-Tabel2425678910111213141517161819212022232614[[#This Row],[Coffee vorige maand]]</f>
        <v>853</v>
      </c>
      <c r="H19" s="53">
        <v>4492</v>
      </c>
      <c r="I19">
        <f>februari2025!H19</f>
        <v>4223</v>
      </c>
      <c r="J19">
        <f>Tabel2425678910111213141517161819212022232614[[#This Row],[Stand Espresso Einde maand]]-Tabel2425678910111213141517161819212022232614[[#This Row],[Espresso vorige maand]]</f>
        <v>269</v>
      </c>
      <c r="K19" s="53">
        <v>1487</v>
      </c>
      <c r="L19">
        <f>februari2025!K19</f>
        <v>1438</v>
      </c>
      <c r="M19">
        <f>Tabel2425678910111213141517161819212022232614[[#This Row],[Stand Latte Macchiato einde maand]]-Tabel2425678910111213141517161819212022232614[[#This Row],[Latte Macchiato vorige maand]]</f>
        <v>49</v>
      </c>
      <c r="N19" s="53">
        <v>917</v>
      </c>
      <c r="O19">
        <f>februari2025!N19</f>
        <v>878</v>
      </c>
      <c r="P19">
        <f>Tabel2425678910111213141517161819212022232614[[#This Row],[Stand Coffee Latte einde maand]]-Tabel2425678910111213141517161819212022232614[[#This Row],[Coffee Latte vorige maand]]</f>
        <v>39</v>
      </c>
      <c r="Q19" s="53">
        <v>45169</v>
      </c>
      <c r="R19">
        <f>februari2025!Q19</f>
        <v>42642</v>
      </c>
      <c r="S19">
        <f>Tabel2425678910111213141517161819212022232614[[#This Row],[Stand Hot Water einde maand]]-Tabel2425678910111213141517161819212022232614[[#This Row],[Hot Water vorige maand]]</f>
        <v>2527</v>
      </c>
      <c r="T19" s="53">
        <v>11207</v>
      </c>
      <c r="U19">
        <f>februari2025!T19</f>
        <v>10836</v>
      </c>
      <c r="V19">
        <f>Tabel2425678910111213141517161819212022232614[[#This Row],[Stand Cappucino einde maand]]-Tabel2425678910111213141517161819212022232614[[#This Row],[Stand Cappucino vorige maand]]</f>
        <v>371</v>
      </c>
      <c r="W19" s="53">
        <v>1864</v>
      </c>
      <c r="X19">
        <f>februari2025!W19</f>
        <v>1774</v>
      </c>
      <c r="Y19">
        <f>Tabel2425678910111213141517161819212022232614[[#This Row],[Stand Cappucino Plantaardig einde maand]]-Tabel2425678910111213141517161819212022232614[[#This Row],[Stand Cappucino Plantaardig vorige maand]]</f>
        <v>90</v>
      </c>
      <c r="Z19" s="53">
        <v>497</v>
      </c>
      <c r="AA19">
        <f>februari2025!Z19</f>
        <v>470</v>
      </c>
      <c r="AB19">
        <f>Tabel2425678910111213141517161819212022232614[[#This Row],[Stand Latte Macchiato Plantaardig einde maand]]-Tabel2425678910111213141517161819212022232614[[#This Row],[Stand Latte Macchiato Plantaardig vorige maand]]</f>
        <v>27</v>
      </c>
      <c r="AC19" s="71">
        <f>Tabel2425678910111213141517161819212022232614[[#This Row],[Verbruik Stand Latte Macchiato Plantaardig deze maand]]+Tabel2425678910111213141517161819212022232614[[#This Row],[Verbruik  Cappucino Plantaardig deze maand]]+Tabel2425678910111213141517161819212022232614[[#This Row],[Verbruik Cappucino deze maand]]+Tabel2425678910111213141517161819212022232614[[#This Row],[Verbruik Hot Water deze maand]]+Tabel2425678910111213141517161819212022232614[[#This Row],[Verbruik Coffee Latte deze maand]]+Tabel2425678910111213141517161819212022232614[[#This Row],[Verbruik Latte Macchiato deze maand]]+Tabel2425678910111213141517161819212022232614[[#This Row],[Verbruik Espresso deze maand]]+Tabel2425678910111213141517161819212022232614[[#This Row],[Verbruik Coffee deze maand]]</f>
        <v>4225</v>
      </c>
      <c r="AD19" s="69"/>
      <c r="AE19" s="41"/>
      <c r="AF19" s="5"/>
      <c r="AG19" s="5"/>
      <c r="AH19" s="75"/>
      <c r="AI19" s="41"/>
      <c r="AJ19" s="5"/>
      <c r="AK19" s="5"/>
      <c r="AL19" s="75"/>
      <c r="AM19" s="41"/>
      <c r="AN19" s="5"/>
      <c r="AO19" s="5"/>
      <c r="AP19" s="75"/>
      <c r="AQ19" s="41"/>
      <c r="AR19" s="5"/>
      <c r="AS19" s="5"/>
      <c r="AT19" s="75"/>
      <c r="AU19" s="41"/>
      <c r="AV19" s="5"/>
      <c r="AW19" s="5"/>
      <c r="AX19" s="79"/>
      <c r="AY19" s="95">
        <f>Tabel2425678910111213141517161819212022232614[[#This Row],[Subtotaal waterbar in consumpties]]+Tabel2425678910111213141517161819212022232614[[#This Row],[Subtotaal koffieautomaten]]</f>
        <v>4225</v>
      </c>
    </row>
    <row r="20" spans="1:130" x14ac:dyDescent="0.25">
      <c r="A20" s="65" t="s">
        <v>62</v>
      </c>
      <c r="B20" t="s">
        <v>63</v>
      </c>
      <c r="C20" t="s">
        <v>47</v>
      </c>
      <c r="E20">
        <v>6029</v>
      </c>
      <c r="F20">
        <f>februari2025!E20</f>
        <v>4859</v>
      </c>
      <c r="G20">
        <f>Tabel2425678910111213141517161819212022232614[[#This Row],[Stand Coffee einde maand]]-Tabel2425678910111213141517161819212022232614[[#This Row],[Coffee vorige maand]]</f>
        <v>1170</v>
      </c>
      <c r="H20" s="53">
        <v>1243</v>
      </c>
      <c r="I20">
        <f>februari2025!H20</f>
        <v>1087</v>
      </c>
      <c r="J20">
        <f>Tabel2425678910111213141517161819212022232614[[#This Row],[Stand Espresso Einde maand]]-Tabel2425678910111213141517161819212022232614[[#This Row],[Espresso vorige maand]]</f>
        <v>156</v>
      </c>
      <c r="K20" s="53">
        <v>246</v>
      </c>
      <c r="L20">
        <f>februari2025!K20</f>
        <v>215</v>
      </c>
      <c r="M20">
        <f>Tabel2425678910111213141517161819212022232614[[#This Row],[Stand Latte Macchiato einde maand]]-Tabel2425678910111213141517161819212022232614[[#This Row],[Latte Macchiato vorige maand]]</f>
        <v>31</v>
      </c>
      <c r="N20" s="53">
        <v>470</v>
      </c>
      <c r="O20">
        <f>februari2025!N20</f>
        <v>391</v>
      </c>
      <c r="P20">
        <f>Tabel2425678910111213141517161819212022232614[[#This Row],[Stand Coffee Latte einde maand]]-Tabel2425678910111213141517161819212022232614[[#This Row],[Coffee Latte vorige maand]]</f>
        <v>79</v>
      </c>
      <c r="Q20" s="53">
        <v>2077</v>
      </c>
      <c r="R20">
        <f>februari2025!Q20</f>
        <v>1793</v>
      </c>
      <c r="S20">
        <f>Tabel2425678910111213141517161819212022232614[[#This Row],[Stand Hot Water einde maand]]-Tabel2425678910111213141517161819212022232614[[#This Row],[Hot Water vorige maand]]</f>
        <v>284</v>
      </c>
      <c r="T20" s="53">
        <v>2098</v>
      </c>
      <c r="U20">
        <f>februari2025!T20</f>
        <v>1805</v>
      </c>
      <c r="V20">
        <f>Tabel2425678910111213141517161819212022232614[[#This Row],[Stand Cappucino einde maand]]-Tabel2425678910111213141517161819212022232614[[#This Row],[Stand Cappucino vorige maand]]</f>
        <v>293</v>
      </c>
      <c r="W20" s="53">
        <v>737</v>
      </c>
      <c r="X20">
        <f>februari2025!W20</f>
        <v>669</v>
      </c>
      <c r="Y20">
        <f>Tabel2425678910111213141517161819212022232614[[#This Row],[Stand Cappucino Plantaardig einde maand]]-Tabel2425678910111213141517161819212022232614[[#This Row],[Stand Cappucino Plantaardig vorige maand]]</f>
        <v>68</v>
      </c>
      <c r="Z20" s="53">
        <v>280</v>
      </c>
      <c r="AA20">
        <f>februari2025!Z20</f>
        <v>239</v>
      </c>
      <c r="AB20">
        <f>Tabel2425678910111213141517161819212022232614[[#This Row],[Stand Latte Macchiato Plantaardig einde maand]]-Tabel2425678910111213141517161819212022232614[[#This Row],[Stand Latte Macchiato Plantaardig vorige maand]]</f>
        <v>41</v>
      </c>
      <c r="AC20" s="71">
        <f>Tabel2425678910111213141517161819212022232614[[#This Row],[Verbruik Stand Latte Macchiato Plantaardig deze maand]]+Tabel2425678910111213141517161819212022232614[[#This Row],[Verbruik  Cappucino Plantaardig deze maand]]+Tabel2425678910111213141517161819212022232614[[#This Row],[Verbruik Cappucino deze maand]]+Tabel2425678910111213141517161819212022232614[[#This Row],[Verbruik Hot Water deze maand]]+Tabel2425678910111213141517161819212022232614[[#This Row],[Verbruik Coffee Latte deze maand]]+Tabel2425678910111213141517161819212022232614[[#This Row],[Verbruik Latte Macchiato deze maand]]+Tabel2425678910111213141517161819212022232614[[#This Row],[Verbruik Espresso deze maand]]+Tabel2425678910111213141517161819212022232614[[#This Row],[Verbruik Coffee deze maand]]</f>
        <v>2122</v>
      </c>
      <c r="AD20" s="53">
        <v>162.5</v>
      </c>
      <c r="AE20">
        <f>februari2025!AD20</f>
        <v>145</v>
      </c>
      <c r="AF20">
        <f>Tabel2425678910111213141517161819212022232614[[#This Row],[Stand Kamertemp liter einde maand]]-Tabel2425678910111213141517161819212022232614[[#This Row],[Stand Kamertemp liter vorige maand]]</f>
        <v>17.5</v>
      </c>
      <c r="AG20" s="2">
        <f>Tabel2425678910111213141517161819212022232614[[#This Row],[Verbruik Kamertemp liter deze maand]]/0.15</f>
        <v>116.66666666666667</v>
      </c>
      <c r="AH20" s="51">
        <v>1423.4</v>
      </c>
      <c r="AI20">
        <f>februari2025!AH20</f>
        <v>1287.9000000000001</v>
      </c>
      <c r="AJ20">
        <f>Tabel2425678910111213141517161819212022232614[[#This Row],[Stand Gekoeld liter einde maand]]-Tabel2425678910111213141517161819212022232614[[#This Row],[Stand Gekoeld liter vorige maand]]</f>
        <v>135.5</v>
      </c>
      <c r="AK20" s="2">
        <f>Tabel2425678910111213141517161819212022232614[[#This Row],[Verbruik Gekoeld liter deze maand]]/0.15</f>
        <v>903.33333333333337</v>
      </c>
      <c r="AL20" s="51">
        <v>1636.9</v>
      </c>
      <c r="AM20">
        <f>februari2025!AL20</f>
        <v>1474.3</v>
      </c>
      <c r="AN20">
        <f>Tabel2425678910111213141517161819212022232614[[#This Row],[Stand Bruisend liter einde maand]]-Tabel2425678910111213141517161819212022232614[[#This Row],[Stand Bruisend liter vorige maand]]</f>
        <v>162.60000000000014</v>
      </c>
      <c r="AO20" s="2">
        <f>Tabel2425678910111213141517161819212022232614[[#This Row],[Verbruik Bruisend liter deze maand]]/0.15</f>
        <v>1084.0000000000009</v>
      </c>
      <c r="AP20" s="51">
        <v>385.7</v>
      </c>
      <c r="AQ20">
        <f>februari2025!AP20</f>
        <v>337.8</v>
      </c>
      <c r="AR20">
        <f>Tabel2425678910111213141517161819212022232614[[#This Row],[Stand licht bruisend liter einde maand]]-Tabel2425678910111213141517161819212022232614[[#This Row],[Stand licht bruisend liter vorige maand]]</f>
        <v>47.899999999999977</v>
      </c>
      <c r="AS20" s="2">
        <f>Tabel2425678910111213141517161819212022232614[[#This Row],[Verbruik licht bruisend liter deze maand]]/0.15</f>
        <v>319.3333333333332</v>
      </c>
      <c r="AT20" s="51">
        <v>4414.3999999999996</v>
      </c>
      <c r="AU20">
        <f>februari2025!AT20</f>
        <v>4085.4</v>
      </c>
      <c r="AV20">
        <f>Tabel2425678910111213141517161819212022232614[[#This Row],[Stand heet water liter einde maand]]-Tabel2425678910111213141517161819212022232614[[#This Row],[Stand heet water liter vorige maand]]</f>
        <v>328.99999999999955</v>
      </c>
      <c r="AW20" s="2">
        <f>Tabel2425678910111213141517161819212022232614[[#This Row],[Verbruik heet Water liter deze maand ]]/0.15</f>
        <v>2193.3333333333303</v>
      </c>
      <c r="AX20" s="77">
        <f>Tabel2425678910111213141517161819212022232614[[#This Row],[Aantal consumpties heet water deze maand]]+Tabel2425678910111213141517161819212022232614[[#This Row],[Aantal consumpties licht bruisend water deze maand]]+Tabel2425678910111213141517161819212022232614[[#This Row],[aantal consumpties Bruisend water deze maand]]+Tabel2425678910111213141517161819212022232614[[#This Row],[Aantal consumpties gekoeld water deze maand]]+Tabel2425678910111213141517161819212022232614[[#This Row],[Aantal consumpties Kamertemp deze maand]]</f>
        <v>4616.6666666666642</v>
      </c>
      <c r="AY20" s="95">
        <f>Tabel2425678910111213141517161819212022232614[[#This Row],[Subtotaal waterbar in consumpties]]+Tabel2425678910111213141517161819212022232614[[#This Row],[Subtotaal koffieautomaten]]</f>
        <v>6738.6666666666642</v>
      </c>
    </row>
    <row r="21" spans="1:130" x14ac:dyDescent="0.25">
      <c r="A21" s="65" t="s">
        <v>64</v>
      </c>
      <c r="B21" t="s">
        <v>65</v>
      </c>
      <c r="C21" t="s">
        <v>31</v>
      </c>
      <c r="E21">
        <v>22855</v>
      </c>
      <c r="F21">
        <f>februari2025!E21</f>
        <v>21699</v>
      </c>
      <c r="G21">
        <f>Tabel2425678910111213141517161819212022232614[[#This Row],[Stand Coffee einde maand]]-Tabel2425678910111213141517161819212022232614[[#This Row],[Coffee vorige maand]]</f>
        <v>1156</v>
      </c>
      <c r="H21" s="53">
        <v>6285</v>
      </c>
      <c r="I21">
        <f>februari2025!H21</f>
        <v>5994</v>
      </c>
      <c r="J21">
        <f>Tabel2425678910111213141517161819212022232614[[#This Row],[Stand Espresso Einde maand]]-Tabel2425678910111213141517161819212022232614[[#This Row],[Espresso vorige maand]]</f>
        <v>291</v>
      </c>
      <c r="K21" s="53">
        <v>2754</v>
      </c>
      <c r="L21">
        <f>februari2025!K21</f>
        <v>2642</v>
      </c>
      <c r="M21">
        <f>Tabel2425678910111213141517161819212022232614[[#This Row],[Stand Latte Macchiato einde maand]]-Tabel2425678910111213141517161819212022232614[[#This Row],[Latte Macchiato vorige maand]]</f>
        <v>112</v>
      </c>
      <c r="N21" s="53">
        <v>1160</v>
      </c>
      <c r="O21">
        <f>februari2025!N21</f>
        <v>1118</v>
      </c>
      <c r="P21">
        <f>Tabel2425678910111213141517161819212022232614[[#This Row],[Stand Coffee Latte einde maand]]-Tabel2425678910111213141517161819212022232614[[#This Row],[Coffee Latte vorige maand]]</f>
        <v>42</v>
      </c>
      <c r="Q21" s="53">
        <v>49488</v>
      </c>
      <c r="R21">
        <f>februari2025!Q21</f>
        <v>46831</v>
      </c>
      <c r="S21">
        <f>Tabel2425678910111213141517161819212022232614[[#This Row],[Stand Hot Water einde maand]]-Tabel2425678910111213141517161819212022232614[[#This Row],[Hot Water vorige maand]]</f>
        <v>2657</v>
      </c>
      <c r="T21" s="53">
        <v>14874</v>
      </c>
      <c r="U21">
        <f>februari2025!T21</f>
        <v>14257</v>
      </c>
      <c r="V21">
        <f>Tabel2425678910111213141517161819212022232614[[#This Row],[Stand Cappucino einde maand]]-Tabel2425678910111213141517161819212022232614[[#This Row],[Stand Cappucino vorige maand]]</f>
        <v>617</v>
      </c>
      <c r="W21" s="53">
        <v>2577</v>
      </c>
      <c r="X21">
        <f>februari2025!W21</f>
        <v>2484</v>
      </c>
      <c r="Y21">
        <f>Tabel2425678910111213141517161819212022232614[[#This Row],[Stand Cappucino Plantaardig einde maand]]-Tabel2425678910111213141517161819212022232614[[#This Row],[Stand Cappucino Plantaardig vorige maand]]</f>
        <v>93</v>
      </c>
      <c r="Z21" s="53">
        <v>798</v>
      </c>
      <c r="AA21">
        <f>februari2025!Z21</f>
        <v>755</v>
      </c>
      <c r="AB21">
        <f>Tabel2425678910111213141517161819212022232614[[#This Row],[Stand Latte Macchiato Plantaardig einde maand]]-Tabel2425678910111213141517161819212022232614[[#This Row],[Stand Latte Macchiato Plantaardig vorige maand]]</f>
        <v>43</v>
      </c>
      <c r="AC21" s="71">
        <f>Tabel2425678910111213141517161819212022232614[[#This Row],[Verbruik Stand Latte Macchiato Plantaardig deze maand]]+Tabel2425678910111213141517161819212022232614[[#This Row],[Verbruik  Cappucino Plantaardig deze maand]]+Tabel2425678910111213141517161819212022232614[[#This Row],[Verbruik Cappucino deze maand]]+Tabel2425678910111213141517161819212022232614[[#This Row],[Verbruik Hot Water deze maand]]+Tabel2425678910111213141517161819212022232614[[#This Row],[Verbruik Coffee Latte deze maand]]+Tabel2425678910111213141517161819212022232614[[#This Row],[Verbruik Latte Macchiato deze maand]]+Tabel2425678910111213141517161819212022232614[[#This Row],[Verbruik Espresso deze maand]]+Tabel2425678910111213141517161819212022232614[[#This Row],[Verbruik Coffee deze maand]]</f>
        <v>5011</v>
      </c>
      <c r="AD21" s="69"/>
      <c r="AE21" s="41"/>
      <c r="AF21" s="5"/>
      <c r="AG21" s="5"/>
      <c r="AH21" s="75"/>
      <c r="AI21" s="41"/>
      <c r="AJ21" s="5"/>
      <c r="AK21" s="5"/>
      <c r="AL21" s="75"/>
      <c r="AM21" s="41"/>
      <c r="AN21" s="5"/>
      <c r="AO21" s="5"/>
      <c r="AP21" s="75"/>
      <c r="AQ21" s="41"/>
      <c r="AR21" s="5"/>
      <c r="AS21" s="5"/>
      <c r="AT21" s="75"/>
      <c r="AU21" s="41"/>
      <c r="AV21" s="5"/>
      <c r="AW21" s="5"/>
      <c r="AX21" s="79"/>
      <c r="AY21" s="95">
        <f>Tabel2425678910111213141517161819212022232614[[#This Row],[Subtotaal waterbar in consumpties]]+Tabel2425678910111213141517161819212022232614[[#This Row],[Subtotaal koffieautomaten]]</f>
        <v>5011</v>
      </c>
    </row>
    <row r="22" spans="1:130" x14ac:dyDescent="0.25">
      <c r="A22" s="65" t="s">
        <v>66</v>
      </c>
      <c r="B22" t="s">
        <v>67</v>
      </c>
      <c r="C22" t="s">
        <v>31</v>
      </c>
      <c r="E22">
        <v>27600</v>
      </c>
      <c r="F22">
        <f>februari2025!E22</f>
        <v>26284</v>
      </c>
      <c r="G22">
        <f>Tabel2425678910111213141517161819212022232614[[#This Row],[Stand Coffee einde maand]]-Tabel2425678910111213141517161819212022232614[[#This Row],[Coffee vorige maand]]</f>
        <v>1316</v>
      </c>
      <c r="H22" s="53">
        <v>4481</v>
      </c>
      <c r="I22">
        <f>februari2025!H22</f>
        <v>4135</v>
      </c>
      <c r="J22">
        <f>Tabel2425678910111213141517161819212022232614[[#This Row],[Stand Espresso Einde maand]]-Tabel2425678910111213141517161819212022232614[[#This Row],[Espresso vorige maand]]</f>
        <v>346</v>
      </c>
      <c r="K22" s="53">
        <v>3359</v>
      </c>
      <c r="L22">
        <f>februari2025!K22</f>
        <v>3255</v>
      </c>
      <c r="M22">
        <f>Tabel2425678910111213141517161819212022232614[[#This Row],[Stand Latte Macchiato einde maand]]-Tabel2425678910111213141517161819212022232614[[#This Row],[Latte Macchiato vorige maand]]</f>
        <v>104</v>
      </c>
      <c r="N22" s="53">
        <v>812</v>
      </c>
      <c r="O22">
        <f>februari2025!N22</f>
        <v>792</v>
      </c>
      <c r="P22">
        <f>Tabel2425678910111213141517161819212022232614[[#This Row],[Stand Coffee Latte einde maand]]-Tabel2425678910111213141517161819212022232614[[#This Row],[Coffee Latte vorige maand]]</f>
        <v>20</v>
      </c>
      <c r="Q22" s="53">
        <v>45242</v>
      </c>
      <c r="R22">
        <f>februari2025!Q22</f>
        <v>43055</v>
      </c>
      <c r="S22">
        <f>Tabel2425678910111213141517161819212022232614[[#This Row],[Stand Hot Water einde maand]]-Tabel2425678910111213141517161819212022232614[[#This Row],[Hot Water vorige maand]]</f>
        <v>2187</v>
      </c>
      <c r="T22" s="53">
        <v>15074</v>
      </c>
      <c r="U22">
        <f>februari2025!T22</f>
        <v>14416</v>
      </c>
      <c r="V22">
        <f>Tabel2425678910111213141517161819212022232614[[#This Row],[Stand Cappucino einde maand]]-Tabel2425678910111213141517161819212022232614[[#This Row],[Stand Cappucino vorige maand]]</f>
        <v>658</v>
      </c>
      <c r="W22" s="53">
        <v>3199</v>
      </c>
      <c r="X22">
        <f>februari2025!W22</f>
        <v>3059</v>
      </c>
      <c r="Y22">
        <f>Tabel2425678910111213141517161819212022232614[[#This Row],[Stand Cappucino Plantaardig einde maand]]-Tabel2425678910111213141517161819212022232614[[#This Row],[Stand Cappucino Plantaardig vorige maand]]</f>
        <v>140</v>
      </c>
      <c r="Z22" s="53">
        <v>675</v>
      </c>
      <c r="AA22">
        <f>februari2025!Z22</f>
        <v>660</v>
      </c>
      <c r="AB22">
        <f>Tabel2425678910111213141517161819212022232614[[#This Row],[Stand Latte Macchiato Plantaardig einde maand]]-Tabel2425678910111213141517161819212022232614[[#This Row],[Stand Latte Macchiato Plantaardig vorige maand]]</f>
        <v>15</v>
      </c>
      <c r="AC22" s="71">
        <f>Tabel2425678910111213141517161819212022232614[[#This Row],[Verbruik Stand Latte Macchiato Plantaardig deze maand]]+Tabel2425678910111213141517161819212022232614[[#This Row],[Verbruik  Cappucino Plantaardig deze maand]]+Tabel2425678910111213141517161819212022232614[[#This Row],[Verbruik Cappucino deze maand]]+Tabel2425678910111213141517161819212022232614[[#This Row],[Verbruik Hot Water deze maand]]+Tabel2425678910111213141517161819212022232614[[#This Row],[Verbruik Coffee Latte deze maand]]+Tabel2425678910111213141517161819212022232614[[#This Row],[Verbruik Latte Macchiato deze maand]]+Tabel2425678910111213141517161819212022232614[[#This Row],[Verbruik Espresso deze maand]]+Tabel2425678910111213141517161819212022232614[[#This Row],[Verbruik Coffee deze maand]]</f>
        <v>4786</v>
      </c>
      <c r="AD22" s="69"/>
      <c r="AE22" s="41"/>
      <c r="AF22" s="5"/>
      <c r="AG22" s="5"/>
      <c r="AH22" s="75"/>
      <c r="AI22" s="41"/>
      <c r="AJ22" s="5"/>
      <c r="AK22" s="5"/>
      <c r="AL22" s="75"/>
      <c r="AM22" s="41"/>
      <c r="AN22" s="5"/>
      <c r="AO22" s="5"/>
      <c r="AP22" s="75"/>
      <c r="AQ22" s="41"/>
      <c r="AR22" s="5"/>
      <c r="AS22" s="5"/>
      <c r="AT22" s="75"/>
      <c r="AU22" s="41"/>
      <c r="AV22" s="5"/>
      <c r="AW22" s="5"/>
      <c r="AX22" s="79"/>
      <c r="AY22" s="95">
        <f>Tabel2425678910111213141517161819212022232614[[#This Row],[Subtotaal waterbar in consumpties]]+Tabel2425678910111213141517161819212022232614[[#This Row],[Subtotaal koffieautomaten]]</f>
        <v>4786</v>
      </c>
    </row>
    <row r="23" spans="1:130" x14ac:dyDescent="0.25">
      <c r="A23" s="65" t="s">
        <v>68</v>
      </c>
      <c r="B23" t="s">
        <v>69</v>
      </c>
      <c r="C23" t="s">
        <v>47</v>
      </c>
      <c r="E23">
        <v>16101</v>
      </c>
      <c r="F23">
        <f>februari2025!E23</f>
        <v>15283</v>
      </c>
      <c r="G23">
        <f>Tabel2425678910111213141517161819212022232614[[#This Row],[Stand Coffee einde maand]]-Tabel2425678910111213141517161819212022232614[[#This Row],[Coffee vorige maand]]</f>
        <v>818</v>
      </c>
      <c r="H23" s="53">
        <v>6693</v>
      </c>
      <c r="I23">
        <f>februari2025!H23</f>
        <v>6380</v>
      </c>
      <c r="J23">
        <f>Tabel2425678910111213141517161819212022232614[[#This Row],[Stand Espresso Einde maand]]-Tabel2425678910111213141517161819212022232614[[#This Row],[Espresso vorige maand]]</f>
        <v>313</v>
      </c>
      <c r="K23" s="53">
        <v>4860</v>
      </c>
      <c r="L23">
        <f>februari2025!K23</f>
        <v>4680</v>
      </c>
      <c r="M23">
        <f>Tabel2425678910111213141517161819212022232614[[#This Row],[Stand Latte Macchiato einde maand]]-Tabel2425678910111213141517161819212022232614[[#This Row],[Latte Macchiato vorige maand]]</f>
        <v>180</v>
      </c>
      <c r="N23" s="53">
        <v>826</v>
      </c>
      <c r="O23">
        <f>februari2025!N23</f>
        <v>817</v>
      </c>
      <c r="P23">
        <f>Tabel2425678910111213141517161819212022232614[[#This Row],[Stand Coffee Latte einde maand]]-Tabel2425678910111213141517161819212022232614[[#This Row],[Coffee Latte vorige maand]]</f>
        <v>9</v>
      </c>
      <c r="Q23" s="53">
        <v>1</v>
      </c>
      <c r="R23">
        <f>februari2025!Q23</f>
        <v>1</v>
      </c>
      <c r="S23">
        <f>Tabel2425678910111213141517161819212022232614[[#This Row],[Stand Hot Water einde maand]]-Tabel2425678910111213141517161819212022232614[[#This Row],[Hot Water vorige maand]]</f>
        <v>0</v>
      </c>
      <c r="T23" s="53">
        <v>13872</v>
      </c>
      <c r="U23">
        <f>februari2025!T23</f>
        <v>13420</v>
      </c>
      <c r="V23">
        <f>Tabel2425678910111213141517161819212022232614[[#This Row],[Stand Cappucino einde maand]]-Tabel2425678910111213141517161819212022232614[[#This Row],[Stand Cappucino vorige maand]]</f>
        <v>452</v>
      </c>
      <c r="W23" s="53">
        <v>2759</v>
      </c>
      <c r="X23">
        <f>februari2025!W23</f>
        <v>2655</v>
      </c>
      <c r="Y23">
        <f>Tabel2425678910111213141517161819212022232614[[#This Row],[Stand Cappucino Plantaardig einde maand]]-Tabel2425678910111213141517161819212022232614[[#This Row],[Stand Cappucino Plantaardig vorige maand]]</f>
        <v>104</v>
      </c>
      <c r="Z23" s="53">
        <v>707</v>
      </c>
      <c r="AA23">
        <f>februari2025!Z23</f>
        <v>661</v>
      </c>
      <c r="AB23">
        <f>Tabel2425678910111213141517161819212022232614[[#This Row],[Stand Latte Macchiato Plantaardig einde maand]]-Tabel2425678910111213141517161819212022232614[[#This Row],[Stand Latte Macchiato Plantaardig vorige maand]]</f>
        <v>46</v>
      </c>
      <c r="AC23" s="71">
        <f>Tabel2425678910111213141517161819212022232614[[#This Row],[Verbruik Stand Latte Macchiato Plantaardig deze maand]]+Tabel2425678910111213141517161819212022232614[[#This Row],[Verbruik  Cappucino Plantaardig deze maand]]+Tabel2425678910111213141517161819212022232614[[#This Row],[Verbruik Cappucino deze maand]]+Tabel2425678910111213141517161819212022232614[[#This Row],[Verbruik Hot Water deze maand]]+Tabel2425678910111213141517161819212022232614[[#This Row],[Verbruik Coffee Latte deze maand]]+Tabel2425678910111213141517161819212022232614[[#This Row],[Verbruik Latte Macchiato deze maand]]+Tabel2425678910111213141517161819212022232614[[#This Row],[Verbruik Espresso deze maand]]+Tabel2425678910111213141517161819212022232614[[#This Row],[Verbruik Coffee deze maand]]</f>
        <v>1922</v>
      </c>
      <c r="AD23" s="53">
        <v>81</v>
      </c>
      <c r="AE23">
        <f>februari2025!AD23</f>
        <v>62.4</v>
      </c>
      <c r="AF23">
        <f>Tabel2425678910111213141517161819212022232614[[#This Row],[Stand Kamertemp liter einde maand]]-Tabel2425678910111213141517161819212022232614[[#This Row],[Stand Kamertemp liter vorige maand]]</f>
        <v>18.600000000000001</v>
      </c>
      <c r="AG23" s="2">
        <f>Tabel2425678910111213141517161819212022232614[[#This Row],[Verbruik Kamertemp liter deze maand]]/0.15</f>
        <v>124.00000000000001</v>
      </c>
      <c r="AH23" s="53">
        <v>736.3</v>
      </c>
      <c r="AI23">
        <f>februari2025!AH23</f>
        <v>512.20000000000005</v>
      </c>
      <c r="AJ23">
        <f>Tabel2425678910111213141517161819212022232614[[#This Row],[Stand Gekoeld liter einde maand]]-Tabel2425678910111213141517161819212022232614[[#This Row],[Stand Gekoeld liter vorige maand]]</f>
        <v>224.09999999999991</v>
      </c>
      <c r="AK23" s="2">
        <f>Tabel2425678910111213141517161819212022232614[[#This Row],[Verbruik Gekoeld liter deze maand]]/0.15</f>
        <v>1493.9999999999995</v>
      </c>
      <c r="AL23" s="53">
        <v>327.39999999999998</v>
      </c>
      <c r="AM23">
        <f>februari2025!AL23</f>
        <v>222</v>
      </c>
      <c r="AN23">
        <f>Tabel2425678910111213141517161819212022232614[[#This Row],[Stand Bruisend liter einde maand]]-Tabel2425678910111213141517161819212022232614[[#This Row],[Stand Bruisend liter vorige maand]]</f>
        <v>105.39999999999998</v>
      </c>
      <c r="AO23" s="2">
        <f>Tabel2425678910111213141517161819212022232614[[#This Row],[Verbruik Bruisend liter deze maand]]/0.15</f>
        <v>702.66666666666652</v>
      </c>
      <c r="AP23" s="53">
        <v>50.1</v>
      </c>
      <c r="AQ23">
        <f>februari2025!AP23</f>
        <v>28.6</v>
      </c>
      <c r="AR23">
        <f>Tabel2425678910111213141517161819212022232614[[#This Row],[Stand licht bruisend liter einde maand]]-Tabel2425678910111213141517161819212022232614[[#This Row],[Stand licht bruisend liter vorige maand]]</f>
        <v>21.5</v>
      </c>
      <c r="AS23" s="2">
        <f>Tabel2425678910111213141517161819212022232614[[#This Row],[Verbruik licht bruisend liter deze maand]]/0.15</f>
        <v>143.33333333333334</v>
      </c>
      <c r="AT23" s="53">
        <v>1743.8</v>
      </c>
      <c r="AU23">
        <f>februari2025!AT23</f>
        <v>1288.5999999999999</v>
      </c>
      <c r="AV23">
        <f>Tabel2425678910111213141517161819212022232614[[#This Row],[Stand heet water liter einde maand]]-Tabel2425678910111213141517161819212022232614[[#This Row],[Stand heet water liter vorige maand]]</f>
        <v>455.20000000000005</v>
      </c>
      <c r="AW23" s="2">
        <f>Tabel2425678910111213141517161819212022232614[[#This Row],[Verbruik heet Water liter deze maand ]]/0.15</f>
        <v>3034.666666666667</v>
      </c>
      <c r="AX23" s="77">
        <f>Tabel2425678910111213141517161819212022232614[[#This Row],[Aantal consumpties heet water deze maand]]+Tabel2425678910111213141517161819212022232614[[#This Row],[Aantal consumpties licht bruisend water deze maand]]+Tabel2425678910111213141517161819212022232614[[#This Row],[aantal consumpties Bruisend water deze maand]]+Tabel2425678910111213141517161819212022232614[[#This Row],[Aantal consumpties gekoeld water deze maand]]+Tabel2425678910111213141517161819212022232614[[#This Row],[Aantal consumpties Kamertemp deze maand]]</f>
        <v>5498.6666666666661</v>
      </c>
      <c r="AY23" s="95">
        <f>Tabel2425678910111213141517161819212022232614[[#This Row],[Subtotaal waterbar in consumpties]]+Tabel2425678910111213141517161819212022232614[[#This Row],[Subtotaal koffieautomaten]]</f>
        <v>7420.6666666666661</v>
      </c>
    </row>
    <row r="24" spans="1:130" x14ac:dyDescent="0.25">
      <c r="A24" s="65" t="s">
        <v>70</v>
      </c>
      <c r="B24" t="s">
        <v>71</v>
      </c>
      <c r="C24" t="s">
        <v>31</v>
      </c>
      <c r="E24">
        <v>17832</v>
      </c>
      <c r="F24">
        <f>februari2025!E24</f>
        <v>16995</v>
      </c>
      <c r="G24">
        <f>Tabel2425678910111213141517161819212022232614[[#This Row],[Stand Coffee einde maand]]-Tabel2425678910111213141517161819212022232614[[#This Row],[Coffee vorige maand]]</f>
        <v>837</v>
      </c>
      <c r="H24" s="53">
        <v>2763</v>
      </c>
      <c r="I24">
        <f>februari2025!H24</f>
        <v>2583</v>
      </c>
      <c r="J24">
        <f>Tabel2425678910111213141517161819212022232614[[#This Row],[Stand Espresso Einde maand]]-Tabel2425678910111213141517161819212022232614[[#This Row],[Espresso vorige maand]]</f>
        <v>180</v>
      </c>
      <c r="K24" s="53">
        <v>1325</v>
      </c>
      <c r="L24">
        <f>februari2025!K24</f>
        <v>1273</v>
      </c>
      <c r="M24">
        <f>Tabel2425678910111213141517161819212022232614[[#This Row],[Stand Latte Macchiato einde maand]]-Tabel2425678910111213141517161819212022232614[[#This Row],[Latte Macchiato vorige maand]]</f>
        <v>52</v>
      </c>
      <c r="N24" s="53">
        <v>2104</v>
      </c>
      <c r="O24">
        <f>februari2025!N24</f>
        <v>2011</v>
      </c>
      <c r="P24">
        <f>Tabel2425678910111213141517161819212022232614[[#This Row],[Stand Coffee Latte einde maand]]-Tabel2425678910111213141517161819212022232614[[#This Row],[Coffee Latte vorige maand]]</f>
        <v>93</v>
      </c>
      <c r="Q24" s="53">
        <v>33871</v>
      </c>
      <c r="R24">
        <f>februari2025!Q24</f>
        <v>31948</v>
      </c>
      <c r="S24">
        <f>Tabel2425678910111213141517161819212022232614[[#This Row],[Stand Hot Water einde maand]]-Tabel2425678910111213141517161819212022232614[[#This Row],[Hot Water vorige maand]]</f>
        <v>1923</v>
      </c>
      <c r="T24" s="53">
        <v>6722</v>
      </c>
      <c r="U24">
        <f>februari2025!T24</f>
        <v>6482</v>
      </c>
      <c r="V24">
        <f>Tabel2425678910111213141517161819212022232614[[#This Row],[Stand Cappucino einde maand]]-Tabel2425678910111213141517161819212022232614[[#This Row],[Stand Cappucino vorige maand]]</f>
        <v>240</v>
      </c>
      <c r="W24" s="53">
        <v>1210</v>
      </c>
      <c r="X24">
        <f>februari2025!W24</f>
        <v>1169</v>
      </c>
      <c r="Y24">
        <f>Tabel2425678910111213141517161819212022232614[[#This Row],[Stand Cappucino Plantaardig einde maand]]-Tabel2425678910111213141517161819212022232614[[#This Row],[Stand Cappucino Plantaardig vorige maand]]</f>
        <v>41</v>
      </c>
      <c r="Z24" s="53">
        <v>2142</v>
      </c>
      <c r="AA24">
        <f>februari2025!Z24</f>
        <v>2052</v>
      </c>
      <c r="AB24">
        <f>Tabel2425678910111213141517161819212022232614[[#This Row],[Stand Latte Macchiato Plantaardig einde maand]]-Tabel2425678910111213141517161819212022232614[[#This Row],[Stand Latte Macchiato Plantaardig vorige maand]]</f>
        <v>90</v>
      </c>
      <c r="AC24" s="71">
        <f>Tabel2425678910111213141517161819212022232614[[#This Row],[Verbruik Stand Latte Macchiato Plantaardig deze maand]]+Tabel2425678910111213141517161819212022232614[[#This Row],[Verbruik  Cappucino Plantaardig deze maand]]+Tabel2425678910111213141517161819212022232614[[#This Row],[Verbruik Cappucino deze maand]]+Tabel2425678910111213141517161819212022232614[[#This Row],[Verbruik Hot Water deze maand]]+Tabel2425678910111213141517161819212022232614[[#This Row],[Verbruik Coffee Latte deze maand]]+Tabel2425678910111213141517161819212022232614[[#This Row],[Verbruik Latte Macchiato deze maand]]+Tabel2425678910111213141517161819212022232614[[#This Row],[Verbruik Espresso deze maand]]+Tabel2425678910111213141517161819212022232614[[#This Row],[Verbruik Coffee deze maand]]</f>
        <v>3456</v>
      </c>
      <c r="AD24" s="69"/>
      <c r="AE24" s="41"/>
      <c r="AF24" s="5"/>
      <c r="AG24" s="5"/>
      <c r="AH24" s="75"/>
      <c r="AI24" s="41"/>
      <c r="AJ24" s="5"/>
      <c r="AK24" s="5"/>
      <c r="AL24" s="75"/>
      <c r="AM24" s="41"/>
      <c r="AN24" s="5"/>
      <c r="AO24" s="5"/>
      <c r="AP24" s="75"/>
      <c r="AQ24" s="41"/>
      <c r="AR24" s="5"/>
      <c r="AS24" s="5"/>
      <c r="AT24" s="75"/>
      <c r="AU24" s="41"/>
      <c r="AV24" s="5"/>
      <c r="AW24" s="5"/>
      <c r="AX24" s="79"/>
      <c r="AY24" s="95">
        <f>Tabel2425678910111213141517161819212022232614[[#This Row],[Subtotaal waterbar in consumpties]]+Tabel2425678910111213141517161819212022232614[[#This Row],[Subtotaal koffieautomaten]]</f>
        <v>3456</v>
      </c>
    </row>
    <row r="25" spans="1:130" x14ac:dyDescent="0.25">
      <c r="A25" s="65" t="s">
        <v>72</v>
      </c>
      <c r="B25" t="s">
        <v>73</v>
      </c>
      <c r="C25" t="s">
        <v>47</v>
      </c>
      <c r="E25">
        <v>13221</v>
      </c>
      <c r="F25">
        <f>februari2025!E25</f>
        <v>12762</v>
      </c>
      <c r="G25">
        <f>Tabel2425678910111213141517161819212022232614[[#This Row],[Stand Coffee einde maand]]-Tabel2425678910111213141517161819212022232614[[#This Row],[Coffee vorige maand]]</f>
        <v>459</v>
      </c>
      <c r="H25" s="53">
        <v>4186</v>
      </c>
      <c r="I25">
        <f>februari2025!H25</f>
        <v>4030</v>
      </c>
      <c r="J25">
        <f>Tabel2425678910111213141517161819212022232614[[#This Row],[Stand Espresso Einde maand]]-Tabel2425678910111213141517161819212022232614[[#This Row],[Espresso vorige maand]]</f>
        <v>156</v>
      </c>
      <c r="K25" s="53">
        <v>1623</v>
      </c>
      <c r="L25">
        <f>februari2025!K25</f>
        <v>1529</v>
      </c>
      <c r="M25">
        <f>Tabel2425678910111213141517161819212022232614[[#This Row],[Stand Latte Macchiato einde maand]]-Tabel2425678910111213141517161819212022232614[[#This Row],[Latte Macchiato vorige maand]]</f>
        <v>94</v>
      </c>
      <c r="N25" s="53">
        <v>1059</v>
      </c>
      <c r="O25">
        <f>februari2025!N25</f>
        <v>1028</v>
      </c>
      <c r="P25">
        <f>Tabel2425678910111213141517161819212022232614[[#This Row],[Stand Coffee Latte einde maand]]-Tabel2425678910111213141517161819212022232614[[#This Row],[Coffee Latte vorige maand]]</f>
        <v>31</v>
      </c>
      <c r="Q25" s="53">
        <v>1</v>
      </c>
      <c r="R25">
        <f>februari2025!Q25</f>
        <v>1</v>
      </c>
      <c r="S25">
        <f>Tabel2425678910111213141517161819212022232614[[#This Row],[Stand Hot Water einde maand]]-Tabel2425678910111213141517161819212022232614[[#This Row],[Hot Water vorige maand]]</f>
        <v>0</v>
      </c>
      <c r="T25" s="53">
        <v>8702</v>
      </c>
      <c r="U25">
        <f>februari2025!T25</f>
        <v>8443</v>
      </c>
      <c r="V25">
        <f>Tabel2425678910111213141517161819212022232614[[#This Row],[Stand Cappucino einde maand]]-Tabel2425678910111213141517161819212022232614[[#This Row],[Stand Cappucino vorige maand]]</f>
        <v>259</v>
      </c>
      <c r="W25" s="53">
        <v>1583</v>
      </c>
      <c r="X25">
        <f>februari2025!W25</f>
        <v>1511</v>
      </c>
      <c r="Y25">
        <f>Tabel2425678910111213141517161819212022232614[[#This Row],[Stand Cappucino Plantaardig einde maand]]-Tabel2425678910111213141517161819212022232614[[#This Row],[Stand Cappucino Plantaardig vorige maand]]</f>
        <v>72</v>
      </c>
      <c r="Z25" s="53">
        <v>480</v>
      </c>
      <c r="AA25">
        <f>februari2025!Z25</f>
        <v>467</v>
      </c>
      <c r="AB25">
        <f>Tabel2425678910111213141517161819212022232614[[#This Row],[Stand Latte Macchiato Plantaardig einde maand]]-Tabel2425678910111213141517161819212022232614[[#This Row],[Stand Latte Macchiato Plantaardig vorige maand]]</f>
        <v>13</v>
      </c>
      <c r="AC25" s="71">
        <f>Tabel2425678910111213141517161819212022232614[[#This Row],[Verbruik Stand Latte Macchiato Plantaardig deze maand]]+Tabel2425678910111213141517161819212022232614[[#This Row],[Verbruik  Cappucino Plantaardig deze maand]]+Tabel2425678910111213141517161819212022232614[[#This Row],[Verbruik Cappucino deze maand]]+Tabel2425678910111213141517161819212022232614[[#This Row],[Verbruik Hot Water deze maand]]+Tabel2425678910111213141517161819212022232614[[#This Row],[Verbruik Coffee Latte deze maand]]+Tabel2425678910111213141517161819212022232614[[#This Row],[Verbruik Latte Macchiato deze maand]]+Tabel2425678910111213141517161819212022232614[[#This Row],[Verbruik Espresso deze maand]]+Tabel2425678910111213141517161819212022232614[[#This Row],[Verbruik Coffee deze maand]]</f>
        <v>1084</v>
      </c>
      <c r="AD25" s="53">
        <v>410.5</v>
      </c>
      <c r="AE25">
        <f>februari2025!AD25</f>
        <v>394.4</v>
      </c>
      <c r="AF25">
        <f>Tabel2425678910111213141517161819212022232614[[#This Row],[Stand Kamertemp liter einde maand]]-Tabel2425678910111213141517161819212022232614[[#This Row],[Stand Kamertemp liter vorige maand]]</f>
        <v>16.100000000000023</v>
      </c>
      <c r="AG25" s="2">
        <f>Tabel2425678910111213141517161819212022232614[[#This Row],[Verbruik Kamertemp liter deze maand]]/0.15</f>
        <v>107.33333333333348</v>
      </c>
      <c r="AH25" s="53">
        <v>2527.6</v>
      </c>
      <c r="AI25">
        <f>februari2025!AH25</f>
        <v>2388.6999999999998</v>
      </c>
      <c r="AJ25">
        <f>Tabel2425678910111213141517161819212022232614[[#This Row],[Stand Gekoeld liter einde maand]]-Tabel2425678910111213141517161819212022232614[[#This Row],[Stand Gekoeld liter vorige maand]]</f>
        <v>138.90000000000009</v>
      </c>
      <c r="AK25" s="2">
        <f>Tabel2425678910111213141517161819212022232614[[#This Row],[Verbruik Gekoeld liter deze maand]]/0.15</f>
        <v>926.00000000000068</v>
      </c>
      <c r="AL25" s="53">
        <v>1990.6</v>
      </c>
      <c r="AM25">
        <f>februari2025!AL25</f>
        <v>1919.2</v>
      </c>
      <c r="AN25">
        <f>Tabel2425678910111213141517161819212022232614[[#This Row],[Stand Bruisend liter einde maand]]-Tabel2425678910111213141517161819212022232614[[#This Row],[Stand Bruisend liter vorige maand]]</f>
        <v>71.399999999999864</v>
      </c>
      <c r="AO25" s="2">
        <f>Tabel2425678910111213141517161819212022232614[[#This Row],[Verbruik Bruisend liter deze maand]]/0.15</f>
        <v>475.99999999999909</v>
      </c>
      <c r="AP25" s="53">
        <v>611.1</v>
      </c>
      <c r="AQ25">
        <f>februari2025!AP25</f>
        <v>582.9</v>
      </c>
      <c r="AR25">
        <f>Tabel2425678910111213141517161819212022232614[[#This Row],[Stand licht bruisend liter einde maand]]-Tabel2425678910111213141517161819212022232614[[#This Row],[Stand licht bruisend liter vorige maand]]</f>
        <v>28.200000000000045</v>
      </c>
      <c r="AS25" s="2">
        <f>Tabel2425678910111213141517161819212022232614[[#This Row],[Verbruik licht bruisend liter deze maand]]/0.15</f>
        <v>188.00000000000031</v>
      </c>
      <c r="AT25" s="53">
        <v>3349.2</v>
      </c>
      <c r="AU25">
        <f>februari2025!AT25</f>
        <v>3224.8</v>
      </c>
      <c r="AV25">
        <f>Tabel2425678910111213141517161819212022232614[[#This Row],[Stand heet water liter einde maand]]-Tabel2425678910111213141517161819212022232614[[#This Row],[Stand heet water liter vorige maand]]</f>
        <v>124.39999999999964</v>
      </c>
      <c r="AW25" s="2">
        <f>Tabel2425678910111213141517161819212022232614[[#This Row],[Verbruik heet Water liter deze maand ]]/0.15</f>
        <v>829.33333333333098</v>
      </c>
      <c r="AX25" s="77">
        <f>Tabel2425678910111213141517161819212022232614[[#This Row],[Aantal consumpties heet water deze maand]]+Tabel2425678910111213141517161819212022232614[[#This Row],[Aantal consumpties licht bruisend water deze maand]]+Tabel2425678910111213141517161819212022232614[[#This Row],[aantal consumpties Bruisend water deze maand]]+Tabel2425678910111213141517161819212022232614[[#This Row],[Aantal consumpties gekoeld water deze maand]]+Tabel2425678910111213141517161819212022232614[[#This Row],[Aantal consumpties Kamertemp deze maand]]</f>
        <v>2526.6666666666647</v>
      </c>
      <c r="AY25" s="95">
        <f>Tabel2425678910111213141517161819212022232614[[#This Row],[Subtotaal waterbar in consumpties]]+Tabel2425678910111213141517161819212022232614[[#This Row],[Subtotaal koffieautomaten]]</f>
        <v>3610.6666666666647</v>
      </c>
    </row>
    <row r="26" spans="1:130" s="81" customFormat="1" x14ac:dyDescent="0.25">
      <c r="A26" s="80" t="s">
        <v>74</v>
      </c>
      <c r="D26" s="82"/>
      <c r="F26" s="81">
        <f>februari2025!E26</f>
        <v>0</v>
      </c>
      <c r="H26" s="86"/>
      <c r="I26" s="81">
        <f>februari2025!H26</f>
        <v>0</v>
      </c>
      <c r="K26" s="86"/>
      <c r="L26" s="81">
        <f>februari2025!K26</f>
        <v>0</v>
      </c>
      <c r="N26" s="86"/>
      <c r="O26" s="81">
        <f>februari2025!N26</f>
        <v>0</v>
      </c>
      <c r="Q26" s="86"/>
      <c r="R26" s="81">
        <f>februari2025!Q26</f>
        <v>0</v>
      </c>
      <c r="T26" s="86"/>
      <c r="U26" s="81">
        <f>februari2025!T26</f>
        <v>0</v>
      </c>
      <c r="W26" s="86"/>
      <c r="X26" s="81">
        <f>februari2025!W26</f>
        <v>0</v>
      </c>
      <c r="Z26" s="86"/>
      <c r="AA26" s="81">
        <f>februari2025!Z26</f>
        <v>0</v>
      </c>
      <c r="AC26" s="85"/>
      <c r="AD26" s="86"/>
      <c r="AG26" s="87"/>
      <c r="AH26" s="86"/>
      <c r="AK26" s="87"/>
      <c r="AL26" s="86"/>
      <c r="AO26" s="87"/>
      <c r="AP26" s="86"/>
      <c r="AS26" s="87"/>
      <c r="AT26" s="86"/>
      <c r="AW26" s="87"/>
      <c r="AX26" s="88"/>
      <c r="AY26" s="94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</row>
    <row r="27" spans="1:130" x14ac:dyDescent="0.25">
      <c r="A27" s="65" t="s">
        <v>32</v>
      </c>
      <c r="B27" t="s">
        <v>75</v>
      </c>
      <c r="C27" t="s">
        <v>47</v>
      </c>
      <c r="E27">
        <v>8934</v>
      </c>
      <c r="F27">
        <f>februari2025!E27</f>
        <v>8558</v>
      </c>
      <c r="G27">
        <f>Tabel2425678910111213141517161819212022232614[[#This Row],[Stand Coffee einde maand]]-Tabel2425678910111213141517161819212022232614[[#This Row],[Coffee vorige maand]]</f>
        <v>376</v>
      </c>
      <c r="H27" s="53">
        <v>2327</v>
      </c>
      <c r="I27">
        <f>februari2025!H27</f>
        <v>2227</v>
      </c>
      <c r="J27">
        <f>Tabel2425678910111213141517161819212022232614[[#This Row],[Stand Espresso Einde maand]]-Tabel2425678910111213141517161819212022232614[[#This Row],[Espresso vorige maand]]</f>
        <v>100</v>
      </c>
      <c r="K27" s="53">
        <v>1763</v>
      </c>
      <c r="L27">
        <f>februari2025!K27</f>
        <v>1744</v>
      </c>
      <c r="M27">
        <f>Tabel2425678910111213141517161819212022232614[[#This Row],[Stand Latte Macchiato einde maand]]-Tabel2425678910111213141517161819212022232614[[#This Row],[Latte Macchiato vorige maand]]</f>
        <v>19</v>
      </c>
      <c r="N27" s="53">
        <v>745</v>
      </c>
      <c r="O27">
        <f>februari2025!N27</f>
        <v>728</v>
      </c>
      <c r="P27">
        <f>Tabel2425678910111213141517161819212022232614[[#This Row],[Stand Coffee Latte einde maand]]-Tabel2425678910111213141517161819212022232614[[#This Row],[Coffee Latte vorige maand]]</f>
        <v>17</v>
      </c>
      <c r="Q27" s="53">
        <v>1</v>
      </c>
      <c r="R27">
        <f>februari2025!Q27</f>
        <v>1</v>
      </c>
      <c r="S27">
        <f>Tabel2425678910111213141517161819212022232614[[#This Row],[Stand Hot Water einde maand]]-Tabel2425678910111213141517161819212022232614[[#This Row],[Hot Water vorige maand]]</f>
        <v>0</v>
      </c>
      <c r="T27" s="53">
        <v>5479</v>
      </c>
      <c r="U27">
        <f>februari2025!T27</f>
        <v>5279</v>
      </c>
      <c r="V27">
        <f>Tabel2425678910111213141517161819212022232614[[#This Row],[Stand Cappucino einde maand]]-Tabel2425678910111213141517161819212022232614[[#This Row],[Stand Cappucino vorige maand]]</f>
        <v>200</v>
      </c>
      <c r="W27" s="53">
        <v>889</v>
      </c>
      <c r="X27">
        <f>februari2025!W27</f>
        <v>858</v>
      </c>
      <c r="Y27">
        <f>Tabel2425678910111213141517161819212022232614[[#This Row],[Stand Cappucino Plantaardig einde maand]]-Tabel2425678910111213141517161819212022232614[[#This Row],[Stand Cappucino Plantaardig vorige maand]]</f>
        <v>31</v>
      </c>
      <c r="Z27" s="53">
        <v>436</v>
      </c>
      <c r="AA27">
        <f>februari2025!Z27</f>
        <v>420</v>
      </c>
      <c r="AB27">
        <f>Tabel2425678910111213141517161819212022232614[[#This Row],[Stand Latte Macchiato Plantaardig einde maand]]-Tabel2425678910111213141517161819212022232614[[#This Row],[Stand Latte Macchiato Plantaardig vorige maand]]</f>
        <v>16</v>
      </c>
      <c r="AC27" s="71">
        <f>Tabel2425678910111213141517161819212022232614[[#This Row],[Verbruik Stand Latte Macchiato Plantaardig deze maand]]+Tabel2425678910111213141517161819212022232614[[#This Row],[Verbruik  Cappucino Plantaardig deze maand]]+Tabel2425678910111213141517161819212022232614[[#This Row],[Verbruik Cappucino deze maand]]+Tabel2425678910111213141517161819212022232614[[#This Row],[Verbruik Hot Water deze maand]]+Tabel2425678910111213141517161819212022232614[[#This Row],[Verbruik Coffee Latte deze maand]]+Tabel2425678910111213141517161819212022232614[[#This Row],[Verbruik Latte Macchiato deze maand]]+Tabel2425678910111213141517161819212022232614[[#This Row],[Verbruik Espresso deze maand]]+Tabel2425678910111213141517161819212022232614[[#This Row],[Verbruik Coffee deze maand]]</f>
        <v>759</v>
      </c>
      <c r="AD27" s="53">
        <v>242.2</v>
      </c>
      <c r="AE27">
        <f>februari2025!AD27</f>
        <v>227.2</v>
      </c>
      <c r="AF27">
        <f>Tabel2425678910111213141517161819212022232614[[#This Row],[Stand Kamertemp liter einde maand]]-Tabel2425678910111213141517161819212022232614[[#This Row],[Stand Kamertemp liter vorige maand]]</f>
        <v>15</v>
      </c>
      <c r="AG27" s="2">
        <f>Tabel2425678910111213141517161819212022232614[[#This Row],[Verbruik Kamertemp liter deze maand]]/0.15</f>
        <v>100</v>
      </c>
      <c r="AH27" s="53">
        <v>899.2</v>
      </c>
      <c r="AI27">
        <f>februari2025!AH27</f>
        <v>820.2</v>
      </c>
      <c r="AJ27">
        <f>Tabel2425678910111213141517161819212022232614[[#This Row],[Stand Gekoeld liter einde maand]]-Tabel2425678910111213141517161819212022232614[[#This Row],[Stand Gekoeld liter vorige maand]]</f>
        <v>79</v>
      </c>
      <c r="AK27" s="2">
        <f>Tabel2425678910111213141517161819212022232614[[#This Row],[Verbruik Gekoeld liter deze maand]]/0.15</f>
        <v>526.66666666666674</v>
      </c>
      <c r="AL27" s="53">
        <v>414.8</v>
      </c>
      <c r="AM27">
        <f>februari2025!AL27</f>
        <v>393</v>
      </c>
      <c r="AN27">
        <f>Tabel2425678910111213141517161819212022232614[[#This Row],[Stand Bruisend liter einde maand]]-Tabel2425678910111213141517161819212022232614[[#This Row],[Stand Bruisend liter vorige maand]]</f>
        <v>21.800000000000011</v>
      </c>
      <c r="AO27" s="2">
        <f>Tabel2425678910111213141517161819212022232614[[#This Row],[Verbruik Bruisend liter deze maand]]/0.15</f>
        <v>145.33333333333343</v>
      </c>
      <c r="AP27" s="53">
        <v>331.1</v>
      </c>
      <c r="AQ27">
        <f>februari2025!AP27</f>
        <v>316.60000000000002</v>
      </c>
      <c r="AR27">
        <f>Tabel2425678910111213141517161819212022232614[[#This Row],[Stand licht bruisend liter einde maand]]-Tabel2425678910111213141517161819212022232614[[#This Row],[Stand licht bruisend liter vorige maand]]</f>
        <v>14.5</v>
      </c>
      <c r="AS27" s="2">
        <f>Tabel2425678910111213141517161819212022232614[[#This Row],[Verbruik licht bruisend liter deze maand]]/0.15</f>
        <v>96.666666666666671</v>
      </c>
      <c r="AT27" s="53">
        <v>2310.4</v>
      </c>
      <c r="AU27">
        <f>februari2025!AT27</f>
        <v>2133.9</v>
      </c>
      <c r="AV27">
        <f>Tabel2425678910111213141517161819212022232614[[#This Row],[Stand heet water liter einde maand]]-Tabel2425678910111213141517161819212022232614[[#This Row],[Stand heet water liter vorige maand]]</f>
        <v>176.5</v>
      </c>
      <c r="AW27" s="2">
        <f>Tabel2425678910111213141517161819212022232614[[#This Row],[Verbruik heet Water liter deze maand ]]/0.15</f>
        <v>1176.6666666666667</v>
      </c>
      <c r="AX27" s="77">
        <f>Tabel2425678910111213141517161819212022232614[[#This Row],[Aantal consumpties heet water deze maand]]+Tabel2425678910111213141517161819212022232614[[#This Row],[Aantal consumpties licht bruisend water deze maand]]+Tabel2425678910111213141517161819212022232614[[#This Row],[aantal consumpties Bruisend water deze maand]]+Tabel2425678910111213141517161819212022232614[[#This Row],[Aantal consumpties gekoeld water deze maand]]+Tabel2425678910111213141517161819212022232614[[#This Row],[Aantal consumpties Kamertemp deze maand]]</f>
        <v>2045.3333333333337</v>
      </c>
      <c r="AY27" s="95">
        <f>Tabel2425678910111213141517161819212022232614[[#This Row],[Subtotaal waterbar in consumpties]]+Tabel2425678910111213141517161819212022232614[[#This Row],[Subtotaal koffieautomaten]]</f>
        <v>2804.3333333333339</v>
      </c>
    </row>
    <row r="28" spans="1:130" x14ac:dyDescent="0.25">
      <c r="A28" s="65" t="s">
        <v>39</v>
      </c>
      <c r="B28" t="s">
        <v>163</v>
      </c>
      <c r="C28" t="s">
        <v>31</v>
      </c>
      <c r="E28">
        <v>26575</v>
      </c>
      <c r="F28">
        <f>februari2025!E28</f>
        <v>25843</v>
      </c>
      <c r="G28">
        <f>Tabel2425678910111213141517161819212022232614[[#This Row],[Stand Coffee einde maand]]-Tabel2425678910111213141517161819212022232614[[#This Row],[Coffee vorige maand]]</f>
        <v>732</v>
      </c>
      <c r="H28" s="53">
        <v>6576</v>
      </c>
      <c r="I28">
        <f>februari2025!H28</f>
        <v>6362</v>
      </c>
      <c r="J28">
        <f>Tabel2425678910111213141517161819212022232614[[#This Row],[Stand Espresso Einde maand]]-Tabel2425678910111213141517161819212022232614[[#This Row],[Espresso vorige maand]]</f>
        <v>214</v>
      </c>
      <c r="K28" s="53">
        <v>3220</v>
      </c>
      <c r="L28">
        <f>februari2025!K28</f>
        <v>3103</v>
      </c>
      <c r="M28">
        <f>Tabel2425678910111213141517161819212022232614[[#This Row],[Stand Latte Macchiato einde maand]]-Tabel2425678910111213141517161819212022232614[[#This Row],[Latte Macchiato vorige maand]]</f>
        <v>117</v>
      </c>
      <c r="N28" s="53">
        <v>1364</v>
      </c>
      <c r="O28">
        <f>februari2025!N28</f>
        <v>1312</v>
      </c>
      <c r="P28">
        <f>Tabel2425678910111213141517161819212022232614[[#This Row],[Stand Coffee Latte einde maand]]-Tabel2425678910111213141517161819212022232614[[#This Row],[Coffee Latte vorige maand]]</f>
        <v>52</v>
      </c>
      <c r="Q28" s="53">
        <v>22675</v>
      </c>
      <c r="R28">
        <f>februari2025!Q28</f>
        <v>21985</v>
      </c>
      <c r="S28">
        <f>Tabel2425678910111213141517161819212022232614[[#This Row],[Stand Hot Water einde maand]]-Tabel2425678910111213141517161819212022232614[[#This Row],[Hot Water vorige maand]]</f>
        <v>690</v>
      </c>
      <c r="T28" s="53">
        <v>18500</v>
      </c>
      <c r="U28">
        <f>februari2025!T28</f>
        <v>17990</v>
      </c>
      <c r="V28">
        <f>Tabel2425678910111213141517161819212022232614[[#This Row],[Stand Cappucino einde maand]]-Tabel2425678910111213141517161819212022232614[[#This Row],[Stand Cappucino vorige maand]]</f>
        <v>510</v>
      </c>
      <c r="W28" s="53">
        <v>2232</v>
      </c>
      <c r="X28">
        <f>februari2025!W28</f>
        <v>2172</v>
      </c>
      <c r="Y28">
        <f>Tabel2425678910111213141517161819212022232614[[#This Row],[Stand Cappucino Plantaardig einde maand]]-Tabel2425678910111213141517161819212022232614[[#This Row],[Stand Cappucino Plantaardig vorige maand]]</f>
        <v>60</v>
      </c>
      <c r="Z28" s="53">
        <v>696</v>
      </c>
      <c r="AA28">
        <f>februari2025!Z28</f>
        <v>678</v>
      </c>
      <c r="AB28">
        <f>Tabel2425678910111213141517161819212022232614[[#This Row],[Stand Latte Macchiato Plantaardig einde maand]]-Tabel2425678910111213141517161819212022232614[[#This Row],[Stand Latte Macchiato Plantaardig vorige maand]]</f>
        <v>18</v>
      </c>
      <c r="AC28" s="71">
        <f>Tabel2425678910111213141517161819212022232614[[#This Row],[Verbruik Stand Latte Macchiato Plantaardig deze maand]]+Tabel2425678910111213141517161819212022232614[[#This Row],[Verbruik  Cappucino Plantaardig deze maand]]+Tabel2425678910111213141517161819212022232614[[#This Row],[Verbruik Cappucino deze maand]]+Tabel2425678910111213141517161819212022232614[[#This Row],[Verbruik Hot Water deze maand]]+Tabel2425678910111213141517161819212022232614[[#This Row],[Verbruik Coffee Latte deze maand]]+Tabel2425678910111213141517161819212022232614[[#This Row],[Verbruik Latte Macchiato deze maand]]+Tabel2425678910111213141517161819212022232614[[#This Row],[Verbruik Espresso deze maand]]+Tabel2425678910111213141517161819212022232614[[#This Row],[Verbruik Coffee deze maand]]</f>
        <v>2393</v>
      </c>
      <c r="AD28" s="69"/>
      <c r="AE28" s="41"/>
      <c r="AF28" s="5"/>
      <c r="AG28" s="5"/>
      <c r="AH28" s="75"/>
      <c r="AI28" s="41"/>
      <c r="AJ28" s="5"/>
      <c r="AK28" s="5"/>
      <c r="AL28" s="75"/>
      <c r="AM28" s="41"/>
      <c r="AN28" s="5"/>
      <c r="AO28" s="5"/>
      <c r="AP28" s="75"/>
      <c r="AQ28" s="41"/>
      <c r="AR28" s="5"/>
      <c r="AS28" s="5"/>
      <c r="AT28" s="75"/>
      <c r="AU28" s="41"/>
      <c r="AV28" s="5"/>
      <c r="AW28" s="5"/>
      <c r="AX28" s="79"/>
      <c r="AY28" s="95">
        <f>Tabel2425678910111213141517161819212022232614[[#This Row],[Subtotaal waterbar in consumpties]]+Tabel2425678910111213141517161819212022232614[[#This Row],[Subtotaal koffieautomaten]]</f>
        <v>2393</v>
      </c>
    </row>
    <row r="29" spans="1:130" x14ac:dyDescent="0.25">
      <c r="A29" s="65" t="s">
        <v>39</v>
      </c>
      <c r="B29" t="s">
        <v>77</v>
      </c>
      <c r="C29" t="s">
        <v>36</v>
      </c>
      <c r="E29" s="46"/>
      <c r="F29" s="46"/>
      <c r="G29" s="47"/>
      <c r="H29" s="54"/>
      <c r="I29" s="46"/>
      <c r="J29" s="47"/>
      <c r="K29" s="54"/>
      <c r="L29" s="46"/>
      <c r="M29" s="47"/>
      <c r="N29" s="54"/>
      <c r="O29" s="46"/>
      <c r="P29" s="47"/>
      <c r="Q29" s="54"/>
      <c r="R29" s="46"/>
      <c r="S29" s="47"/>
      <c r="T29" s="54"/>
      <c r="U29" s="46"/>
      <c r="V29" s="47"/>
      <c r="W29" s="54"/>
      <c r="X29" s="46"/>
      <c r="Y29" s="47"/>
      <c r="Z29" s="54"/>
      <c r="AA29" s="46"/>
      <c r="AB29" s="47"/>
      <c r="AC29" s="72"/>
      <c r="AD29" s="53">
        <v>204</v>
      </c>
      <c r="AE29">
        <f>februari2025!AD29</f>
        <v>184.5</v>
      </c>
      <c r="AF29">
        <f>Tabel2425678910111213141517161819212022232614[[#This Row],[Stand Kamertemp liter einde maand]]-Tabel2425678910111213141517161819212022232614[[#This Row],[Stand Kamertemp liter vorige maand]]</f>
        <v>19.5</v>
      </c>
      <c r="AG29" s="2">
        <f>Tabel2425678910111213141517161819212022232614[[#This Row],[Verbruik Kamertemp liter deze maand]]/0.15</f>
        <v>130</v>
      </c>
      <c r="AH29" s="53">
        <v>1991.8</v>
      </c>
      <c r="AI29">
        <f>februari2025!AH29</f>
        <v>1790.6</v>
      </c>
      <c r="AJ29">
        <f>Tabel2425678910111213141517161819212022232614[[#This Row],[Stand Gekoeld liter einde maand]]-Tabel2425678910111213141517161819212022232614[[#This Row],[Stand Gekoeld liter vorige maand]]</f>
        <v>201.20000000000005</v>
      </c>
      <c r="AK29" s="2">
        <f>Tabel2425678910111213141517161819212022232614[[#This Row],[Verbruik Gekoeld liter deze maand]]/0.15</f>
        <v>1341.3333333333337</v>
      </c>
      <c r="AL29" s="53">
        <v>1295</v>
      </c>
      <c r="AM29">
        <f>februari2025!AL29</f>
        <v>1220.0999999999999</v>
      </c>
      <c r="AN29">
        <f>Tabel2425678910111213141517161819212022232614[[#This Row],[Stand Bruisend liter einde maand]]-Tabel2425678910111213141517161819212022232614[[#This Row],[Stand Bruisend liter vorige maand]]</f>
        <v>74.900000000000091</v>
      </c>
      <c r="AO29" s="2">
        <f>Tabel2425678910111213141517161819212022232614[[#This Row],[Verbruik Bruisend liter deze maand]]/0.15</f>
        <v>499.33333333333394</v>
      </c>
      <c r="AP29" s="53">
        <v>374.2</v>
      </c>
      <c r="AQ29">
        <f>februari2025!AP29</f>
        <v>344.2</v>
      </c>
      <c r="AR29">
        <f>Tabel2425678910111213141517161819212022232614[[#This Row],[Stand licht bruisend liter einde maand]]-Tabel2425678910111213141517161819212022232614[[#This Row],[Stand licht bruisend liter vorige maand]]</f>
        <v>30</v>
      </c>
      <c r="AS29" s="2">
        <f>Tabel2425678910111213141517161819212022232614[[#This Row],[Verbruik licht bruisend liter deze maand]]/0.15</f>
        <v>200</v>
      </c>
      <c r="AT29" s="53">
        <v>1150.9000000000001</v>
      </c>
      <c r="AU29">
        <f>februari2025!AT29</f>
        <v>1049.0999999999999</v>
      </c>
      <c r="AV29">
        <f>Tabel2425678910111213141517161819212022232614[[#This Row],[Stand heet water liter einde maand]]-Tabel2425678910111213141517161819212022232614[[#This Row],[Stand heet water liter vorige maand]]</f>
        <v>101.80000000000018</v>
      </c>
      <c r="AW29" s="2">
        <f>Tabel2425678910111213141517161819212022232614[[#This Row],[Verbruik heet Water liter deze maand ]]/0.15</f>
        <v>678.66666666666788</v>
      </c>
      <c r="AX29" s="77">
        <f>Tabel2425678910111213141517161819212022232614[[#This Row],[Aantal consumpties heet water deze maand]]+Tabel2425678910111213141517161819212022232614[[#This Row],[Aantal consumpties licht bruisend water deze maand]]+Tabel2425678910111213141517161819212022232614[[#This Row],[aantal consumpties Bruisend water deze maand]]+Tabel2425678910111213141517161819212022232614[[#This Row],[Aantal consumpties gekoeld water deze maand]]+Tabel2425678910111213141517161819212022232614[[#This Row],[Aantal consumpties Kamertemp deze maand]]</f>
        <v>2849.3333333333358</v>
      </c>
      <c r="AY29" s="95">
        <f>Tabel2425678910111213141517161819212022232614[[#This Row],[Subtotaal waterbar in consumpties]]+Tabel2425678910111213141517161819212022232614[[#This Row],[Subtotaal koffieautomaten]]</f>
        <v>2849.3333333333358</v>
      </c>
    </row>
    <row r="30" spans="1:130" x14ac:dyDescent="0.25">
      <c r="A30" s="65" t="s">
        <v>41</v>
      </c>
      <c r="B30" t="s">
        <v>78</v>
      </c>
      <c r="C30" t="s">
        <v>47</v>
      </c>
      <c r="E30">
        <v>6289</v>
      </c>
      <c r="F30">
        <f>februari2025!E30</f>
        <v>5984</v>
      </c>
      <c r="G30">
        <f>Tabel2425678910111213141517161819212022232614[[#This Row],[Stand Coffee einde maand]]-Tabel2425678910111213141517161819212022232614[[#This Row],[Coffee vorige maand]]</f>
        <v>305</v>
      </c>
      <c r="H30" s="53">
        <v>2121</v>
      </c>
      <c r="I30">
        <f>februari2025!H30</f>
        <v>2071</v>
      </c>
      <c r="J30">
        <f>Tabel2425678910111213141517161819212022232614[[#This Row],[Stand Espresso Einde maand]]-Tabel2425678910111213141517161819212022232614[[#This Row],[Espresso vorige maand]]</f>
        <v>50</v>
      </c>
      <c r="K30" s="53">
        <v>471</v>
      </c>
      <c r="L30">
        <f>februari2025!K30</f>
        <v>459</v>
      </c>
      <c r="M30">
        <f>Tabel2425678910111213141517161819212022232614[[#This Row],[Stand Latte Macchiato einde maand]]-Tabel2425678910111213141517161819212022232614[[#This Row],[Latte Macchiato vorige maand]]</f>
        <v>12</v>
      </c>
      <c r="N30" s="53">
        <v>352</v>
      </c>
      <c r="O30">
        <f>februari2025!N30</f>
        <v>341</v>
      </c>
      <c r="P30">
        <f>Tabel2425678910111213141517161819212022232614[[#This Row],[Stand Coffee Latte einde maand]]-Tabel2425678910111213141517161819212022232614[[#This Row],[Coffee Latte vorige maand]]</f>
        <v>11</v>
      </c>
      <c r="Q30" s="53">
        <v>1</v>
      </c>
      <c r="R30">
        <f>februari2025!Q30</f>
        <v>1</v>
      </c>
      <c r="S30">
        <f>Tabel2425678910111213141517161819212022232614[[#This Row],[Stand Hot Water einde maand]]-Tabel2425678910111213141517161819212022232614[[#This Row],[Hot Water vorige maand]]</f>
        <v>0</v>
      </c>
      <c r="T30" s="53">
        <v>2868</v>
      </c>
      <c r="U30">
        <f>februari2025!T30</f>
        <v>2772</v>
      </c>
      <c r="V30">
        <f>Tabel2425678910111213141517161819212022232614[[#This Row],[Stand Cappucino einde maand]]-Tabel2425678910111213141517161819212022232614[[#This Row],[Stand Cappucino vorige maand]]</f>
        <v>96</v>
      </c>
      <c r="W30" s="53">
        <v>1476</v>
      </c>
      <c r="X30">
        <f>februari2025!W30</f>
        <v>1459</v>
      </c>
      <c r="Y30">
        <f>Tabel2425678910111213141517161819212022232614[[#This Row],[Stand Cappucino Plantaardig einde maand]]-Tabel2425678910111213141517161819212022232614[[#This Row],[Stand Cappucino Plantaardig vorige maand]]</f>
        <v>17</v>
      </c>
      <c r="Z30" s="53">
        <v>1045</v>
      </c>
      <c r="AA30">
        <f>februari2025!Z30</f>
        <v>1024</v>
      </c>
      <c r="AB30">
        <f>Tabel2425678910111213141517161819212022232614[[#This Row],[Stand Latte Macchiato Plantaardig einde maand]]-Tabel2425678910111213141517161819212022232614[[#This Row],[Stand Latte Macchiato Plantaardig vorige maand]]</f>
        <v>21</v>
      </c>
      <c r="AC30" s="71">
        <f>Tabel2425678910111213141517161819212022232614[[#This Row],[Verbruik Stand Latte Macchiato Plantaardig deze maand]]+Tabel2425678910111213141517161819212022232614[[#This Row],[Verbruik  Cappucino Plantaardig deze maand]]+Tabel2425678910111213141517161819212022232614[[#This Row],[Verbruik Cappucino deze maand]]+Tabel2425678910111213141517161819212022232614[[#This Row],[Verbruik Hot Water deze maand]]+Tabel2425678910111213141517161819212022232614[[#This Row],[Verbruik Coffee Latte deze maand]]+Tabel2425678910111213141517161819212022232614[[#This Row],[Verbruik Latte Macchiato deze maand]]+Tabel2425678910111213141517161819212022232614[[#This Row],[Verbruik Espresso deze maand]]+Tabel2425678910111213141517161819212022232614[[#This Row],[Verbruik Coffee deze maand]]</f>
        <v>512</v>
      </c>
      <c r="AD30" s="53">
        <v>170.1</v>
      </c>
      <c r="AE30">
        <f>februari2025!AD30</f>
        <v>155.69999999999999</v>
      </c>
      <c r="AF30">
        <f>Tabel2425678910111213141517161819212022232614[[#This Row],[Stand Kamertemp liter einde maand]]-Tabel2425678910111213141517161819212022232614[[#This Row],[Stand Kamertemp liter vorige maand]]</f>
        <v>14.400000000000006</v>
      </c>
      <c r="AG30" s="2">
        <f>Tabel2425678910111213141517161819212022232614[[#This Row],[Verbruik Kamertemp liter deze maand]]/0.15</f>
        <v>96.000000000000043</v>
      </c>
      <c r="AH30" s="53">
        <v>1183.5</v>
      </c>
      <c r="AI30">
        <f>februari2025!AH30</f>
        <v>1082</v>
      </c>
      <c r="AJ30">
        <f>Tabel2425678910111213141517161819212022232614[[#This Row],[Stand Gekoeld liter einde maand]]-Tabel2425678910111213141517161819212022232614[[#This Row],[Stand Gekoeld liter vorige maand]]</f>
        <v>101.5</v>
      </c>
      <c r="AK30" s="2">
        <f>Tabel2425678910111213141517161819212022232614[[#This Row],[Verbruik Gekoeld liter deze maand]]/0.15</f>
        <v>676.66666666666674</v>
      </c>
      <c r="AL30" s="53">
        <v>787.2</v>
      </c>
      <c r="AM30">
        <f>februari2025!AL30</f>
        <v>723.3</v>
      </c>
      <c r="AN30">
        <f>Tabel2425678910111213141517161819212022232614[[#This Row],[Stand Bruisend liter einde maand]]-Tabel2425678910111213141517161819212022232614[[#This Row],[Stand Bruisend liter vorige maand]]</f>
        <v>63.900000000000091</v>
      </c>
      <c r="AO30" s="2">
        <f>Tabel2425678910111213141517161819212022232614[[#This Row],[Verbruik Bruisend liter deze maand]]/0.15</f>
        <v>426.00000000000063</v>
      </c>
      <c r="AP30" s="53">
        <v>578</v>
      </c>
      <c r="AQ30">
        <f>februari2025!AP30</f>
        <v>558.9</v>
      </c>
      <c r="AR30">
        <f>Tabel2425678910111213141517161819212022232614[[#This Row],[Stand licht bruisend liter einde maand]]-Tabel2425678910111213141517161819212022232614[[#This Row],[Stand licht bruisend liter vorige maand]]</f>
        <v>19.100000000000023</v>
      </c>
      <c r="AS30" s="2">
        <f>Tabel2425678910111213141517161819212022232614[[#This Row],[Verbruik licht bruisend liter deze maand]]/0.15</f>
        <v>127.33333333333348</v>
      </c>
      <c r="AT30" s="53">
        <v>3687.8</v>
      </c>
      <c r="AU30">
        <f>februari2025!AT30</f>
        <v>3356.9</v>
      </c>
      <c r="AV30">
        <f>Tabel2425678910111213141517161819212022232614[[#This Row],[Stand heet water liter einde maand]]-Tabel2425678910111213141517161819212022232614[[#This Row],[Stand heet water liter vorige maand]]</f>
        <v>330.90000000000009</v>
      </c>
      <c r="AW30" s="2">
        <f>Tabel2425678910111213141517161819212022232614[[#This Row],[Verbruik heet Water liter deze maand ]]/0.15</f>
        <v>2206.0000000000009</v>
      </c>
      <c r="AX30" s="77">
        <f>Tabel2425678910111213141517161819212022232614[[#This Row],[Aantal consumpties heet water deze maand]]+Tabel2425678910111213141517161819212022232614[[#This Row],[Aantal consumpties licht bruisend water deze maand]]+Tabel2425678910111213141517161819212022232614[[#This Row],[aantal consumpties Bruisend water deze maand]]+Tabel2425678910111213141517161819212022232614[[#This Row],[Aantal consumpties gekoeld water deze maand]]+Tabel2425678910111213141517161819212022232614[[#This Row],[Aantal consumpties Kamertemp deze maand]]</f>
        <v>3532.0000000000018</v>
      </c>
      <c r="AY30" s="95">
        <f>Tabel2425678910111213141517161819212022232614[[#This Row],[Subtotaal waterbar in consumpties]]+Tabel2425678910111213141517161819212022232614[[#This Row],[Subtotaal koffieautomaten]]</f>
        <v>4044.0000000000018</v>
      </c>
    </row>
    <row r="31" spans="1:130" x14ac:dyDescent="0.25">
      <c r="A31" s="65" t="s">
        <v>43</v>
      </c>
      <c r="B31" t="s">
        <v>79</v>
      </c>
      <c r="C31" t="s">
        <v>31</v>
      </c>
      <c r="E31">
        <v>11721</v>
      </c>
      <c r="F31">
        <f>februari2025!E31</f>
        <v>11265</v>
      </c>
      <c r="G31">
        <f>Tabel2425678910111213141517161819212022232614[[#This Row],[Stand Coffee einde maand]]-Tabel2425678910111213141517161819212022232614[[#This Row],[Coffee vorige maand]]</f>
        <v>456</v>
      </c>
      <c r="H31" s="53">
        <v>4586</v>
      </c>
      <c r="I31">
        <f>februari2025!H31</f>
        <v>4248</v>
      </c>
      <c r="J31">
        <f>Tabel2425678910111213141517161819212022232614[[#This Row],[Stand Espresso Einde maand]]-Tabel2425678910111213141517161819212022232614[[#This Row],[Espresso vorige maand]]</f>
        <v>338</v>
      </c>
      <c r="K31" s="53">
        <v>742</v>
      </c>
      <c r="L31">
        <f>februari2025!K31</f>
        <v>704</v>
      </c>
      <c r="M31">
        <f>Tabel2425678910111213141517161819212022232614[[#This Row],[Stand Latte Macchiato einde maand]]-Tabel2425678910111213141517161819212022232614[[#This Row],[Latte Macchiato vorige maand]]</f>
        <v>38</v>
      </c>
      <c r="N31" s="53">
        <v>150</v>
      </c>
      <c r="O31">
        <f>februari2025!N31</f>
        <v>148</v>
      </c>
      <c r="P31">
        <f>Tabel2425678910111213141517161819212022232614[[#This Row],[Stand Coffee Latte einde maand]]-Tabel2425678910111213141517161819212022232614[[#This Row],[Coffee Latte vorige maand]]</f>
        <v>2</v>
      </c>
      <c r="Q31" s="53">
        <v>10266</v>
      </c>
      <c r="R31">
        <f>februari2025!Q31</f>
        <v>9841</v>
      </c>
      <c r="S31">
        <f>Tabel2425678910111213141517161819212022232614[[#This Row],[Stand Hot Water einde maand]]-Tabel2425678910111213141517161819212022232614[[#This Row],[Hot Water vorige maand]]</f>
        <v>425</v>
      </c>
      <c r="T31" s="53">
        <v>6384</v>
      </c>
      <c r="U31">
        <f>februari2025!T31</f>
        <v>5949</v>
      </c>
      <c r="V31">
        <f>Tabel2425678910111213141517161819212022232614[[#This Row],[Stand Cappucino einde maand]]-Tabel2425678910111213141517161819212022232614[[#This Row],[Stand Cappucino vorige maand]]</f>
        <v>435</v>
      </c>
      <c r="W31" s="53">
        <v>450</v>
      </c>
      <c r="X31">
        <f>februari2025!W31</f>
        <v>414</v>
      </c>
      <c r="Y31">
        <f>Tabel2425678910111213141517161819212022232614[[#This Row],[Stand Cappucino Plantaardig einde maand]]-Tabel2425678910111213141517161819212022232614[[#This Row],[Stand Cappucino Plantaardig vorige maand]]</f>
        <v>36</v>
      </c>
      <c r="Z31" s="53">
        <v>113</v>
      </c>
      <c r="AA31">
        <f>februari2025!Z31</f>
        <v>107</v>
      </c>
      <c r="AB31">
        <f>Tabel2425678910111213141517161819212022232614[[#This Row],[Stand Latte Macchiato Plantaardig einde maand]]-Tabel2425678910111213141517161819212022232614[[#This Row],[Stand Latte Macchiato Plantaardig vorige maand]]</f>
        <v>6</v>
      </c>
      <c r="AC31" s="71">
        <f>Tabel2425678910111213141517161819212022232614[[#This Row],[Verbruik Stand Latte Macchiato Plantaardig deze maand]]+Tabel2425678910111213141517161819212022232614[[#This Row],[Verbruik  Cappucino Plantaardig deze maand]]+Tabel2425678910111213141517161819212022232614[[#This Row],[Verbruik Cappucino deze maand]]+Tabel2425678910111213141517161819212022232614[[#This Row],[Verbruik Hot Water deze maand]]+Tabel2425678910111213141517161819212022232614[[#This Row],[Verbruik Coffee Latte deze maand]]+Tabel2425678910111213141517161819212022232614[[#This Row],[Verbruik Latte Macchiato deze maand]]+Tabel2425678910111213141517161819212022232614[[#This Row],[Verbruik Espresso deze maand]]+Tabel2425678910111213141517161819212022232614[[#This Row],[Verbruik Coffee deze maand]]</f>
        <v>1736</v>
      </c>
      <c r="AD31" s="69"/>
      <c r="AE31" s="41"/>
      <c r="AF31" s="5"/>
      <c r="AG31" s="5"/>
      <c r="AH31" s="75"/>
      <c r="AI31" s="41"/>
      <c r="AJ31" s="5"/>
      <c r="AK31" s="5"/>
      <c r="AL31" s="75"/>
      <c r="AM31" s="41"/>
      <c r="AN31" s="5"/>
      <c r="AO31" s="5"/>
      <c r="AP31" s="75"/>
      <c r="AQ31" s="41"/>
      <c r="AR31" s="5"/>
      <c r="AS31" s="5"/>
      <c r="AT31" s="75"/>
      <c r="AU31" s="41"/>
      <c r="AV31" s="5"/>
      <c r="AW31" s="5"/>
      <c r="AX31" s="79"/>
      <c r="AY31" s="95">
        <f>Tabel2425678910111213141517161819212022232614[[#This Row],[Subtotaal waterbar in consumpties]]+Tabel2425678910111213141517161819212022232614[[#This Row],[Subtotaal koffieautomaten]]</f>
        <v>1736</v>
      </c>
    </row>
    <row r="32" spans="1:130" x14ac:dyDescent="0.25">
      <c r="A32" s="65" t="s">
        <v>45</v>
      </c>
      <c r="B32" t="s">
        <v>80</v>
      </c>
      <c r="C32" t="s">
        <v>36</v>
      </c>
      <c r="E32" s="46"/>
      <c r="F32" s="46"/>
      <c r="G32" s="47"/>
      <c r="H32" s="54"/>
      <c r="I32" s="46"/>
      <c r="J32" s="47"/>
      <c r="K32" s="54"/>
      <c r="L32" s="46"/>
      <c r="M32" s="47"/>
      <c r="N32" s="54"/>
      <c r="O32" s="46"/>
      <c r="P32" s="47"/>
      <c r="Q32" s="54"/>
      <c r="R32" s="46"/>
      <c r="S32" s="47"/>
      <c r="T32" s="54"/>
      <c r="U32" s="46"/>
      <c r="V32" s="47"/>
      <c r="W32" s="54"/>
      <c r="X32" s="46"/>
      <c r="Y32" s="47"/>
      <c r="Z32" s="54"/>
      <c r="AA32" s="46"/>
      <c r="AB32" s="47"/>
      <c r="AC32" s="72"/>
      <c r="AD32" s="53">
        <v>39</v>
      </c>
      <c r="AE32">
        <f>februari2025!AD32</f>
        <v>31</v>
      </c>
      <c r="AF32">
        <f>Tabel2425678910111213141517161819212022232614[[#This Row],[Stand Kamertemp liter einde maand]]-Tabel2425678910111213141517161819212022232614[[#This Row],[Stand Kamertemp liter vorige maand]]</f>
        <v>8</v>
      </c>
      <c r="AG32" s="2">
        <f>Tabel2425678910111213141517161819212022232614[[#This Row],[Verbruik Kamertemp liter deze maand]]/0.15</f>
        <v>53.333333333333336</v>
      </c>
      <c r="AH32" s="53">
        <v>192.8</v>
      </c>
      <c r="AI32">
        <f>februari2025!AH32</f>
        <v>149.80000000000001</v>
      </c>
      <c r="AJ32">
        <f>Tabel2425678910111213141517161819212022232614[[#This Row],[Stand Gekoeld liter einde maand]]-Tabel2425678910111213141517161819212022232614[[#This Row],[Stand Gekoeld liter vorige maand]]</f>
        <v>43</v>
      </c>
      <c r="AK32" s="2">
        <f>Tabel2425678910111213141517161819212022232614[[#This Row],[Verbruik Gekoeld liter deze maand]]/0.15</f>
        <v>286.66666666666669</v>
      </c>
      <c r="AL32" s="53">
        <v>160.80000000000001</v>
      </c>
      <c r="AM32">
        <f>februari2025!AL32</f>
        <v>113.5</v>
      </c>
      <c r="AN32">
        <f>Tabel2425678910111213141517161819212022232614[[#This Row],[Stand Bruisend liter einde maand]]-Tabel2425678910111213141517161819212022232614[[#This Row],[Stand Bruisend liter vorige maand]]</f>
        <v>47.300000000000011</v>
      </c>
      <c r="AO32" s="2">
        <f>Tabel2425678910111213141517161819212022232614[[#This Row],[Verbruik Bruisend liter deze maand]]/0.15</f>
        <v>315.33333333333343</v>
      </c>
      <c r="AP32" s="53">
        <v>51.2</v>
      </c>
      <c r="AQ32">
        <f>februari2025!AP32</f>
        <v>34.200000000000003</v>
      </c>
      <c r="AR32">
        <f>Tabel2425678910111213141517161819212022232614[[#This Row],[Stand licht bruisend liter einde maand]]-Tabel2425678910111213141517161819212022232614[[#This Row],[Stand licht bruisend liter vorige maand]]</f>
        <v>17</v>
      </c>
      <c r="AS32" s="2">
        <f>Tabel2425678910111213141517161819212022232614[[#This Row],[Verbruik licht bruisend liter deze maand]]/0.15</f>
        <v>113.33333333333334</v>
      </c>
      <c r="AT32" s="53">
        <v>843.8</v>
      </c>
      <c r="AU32">
        <f>februari2025!AT32</f>
        <v>691.7</v>
      </c>
      <c r="AV32">
        <f>Tabel2425678910111213141517161819212022232614[[#This Row],[Stand heet water liter einde maand]]-Tabel2425678910111213141517161819212022232614[[#This Row],[Stand heet water liter vorige maand]]</f>
        <v>152.09999999999991</v>
      </c>
      <c r="AW32" s="2">
        <f>Tabel2425678910111213141517161819212022232614[[#This Row],[Verbruik heet Water liter deze maand ]]/0.15</f>
        <v>1013.9999999999994</v>
      </c>
      <c r="AX32" s="77">
        <f>Tabel2425678910111213141517161819212022232614[[#This Row],[Aantal consumpties heet water deze maand]]+Tabel2425678910111213141517161819212022232614[[#This Row],[Aantal consumpties licht bruisend water deze maand]]+Tabel2425678910111213141517161819212022232614[[#This Row],[aantal consumpties Bruisend water deze maand]]+Tabel2425678910111213141517161819212022232614[[#This Row],[Aantal consumpties gekoeld water deze maand]]+Tabel2425678910111213141517161819212022232614[[#This Row],[Aantal consumpties Kamertemp deze maand]]</f>
        <v>1782.6666666666663</v>
      </c>
      <c r="AY32" s="95">
        <f>Tabel2425678910111213141517161819212022232614[[#This Row],[Subtotaal waterbar in consumpties]]+Tabel2425678910111213141517161819212022232614[[#This Row],[Subtotaal koffieautomaten]]</f>
        <v>1782.6666666666663</v>
      </c>
    </row>
    <row r="33" spans="1:130" x14ac:dyDescent="0.25">
      <c r="A33" s="65" t="s">
        <v>48</v>
      </c>
      <c r="B33" t="s">
        <v>81</v>
      </c>
      <c r="C33" t="s">
        <v>31</v>
      </c>
      <c r="E33">
        <v>10789</v>
      </c>
      <c r="F33">
        <f>februari2025!E33</f>
        <v>10247</v>
      </c>
      <c r="G33">
        <f>Tabel2425678910111213141517161819212022232614[[#This Row],[Stand Coffee einde maand]]-Tabel2425678910111213141517161819212022232614[[#This Row],[Coffee vorige maand]]</f>
        <v>542</v>
      </c>
      <c r="H33" s="53">
        <v>470</v>
      </c>
      <c r="I33">
        <f>februari2025!H33</f>
        <v>454</v>
      </c>
      <c r="J33">
        <f>Tabel2425678910111213141517161819212022232614[[#This Row],[Stand Espresso Einde maand]]-Tabel2425678910111213141517161819212022232614[[#This Row],[Espresso vorige maand]]</f>
        <v>16</v>
      </c>
      <c r="K33" s="53">
        <v>712</v>
      </c>
      <c r="L33">
        <f>februari2025!K33</f>
        <v>700</v>
      </c>
      <c r="M33">
        <f>Tabel2425678910111213141517161819212022232614[[#This Row],[Stand Latte Macchiato einde maand]]-Tabel2425678910111213141517161819212022232614[[#This Row],[Latte Macchiato vorige maand]]</f>
        <v>12</v>
      </c>
      <c r="N33" s="53">
        <v>400</v>
      </c>
      <c r="O33">
        <f>februari2025!N33</f>
        <v>397</v>
      </c>
      <c r="P33">
        <f>Tabel2425678910111213141517161819212022232614[[#This Row],[Stand Coffee Latte einde maand]]-Tabel2425678910111213141517161819212022232614[[#This Row],[Coffee Latte vorige maand]]</f>
        <v>3</v>
      </c>
      <c r="Q33" s="53">
        <v>24136</v>
      </c>
      <c r="R33">
        <f>februari2025!Q33</f>
        <v>23120</v>
      </c>
      <c r="S33">
        <f>Tabel2425678910111213141517161819212022232614[[#This Row],[Stand Hot Water einde maand]]-Tabel2425678910111213141517161819212022232614[[#This Row],[Hot Water vorige maand]]</f>
        <v>1016</v>
      </c>
      <c r="T33" s="53">
        <v>4048</v>
      </c>
      <c r="U33">
        <f>februari2025!T33</f>
        <v>3849</v>
      </c>
      <c r="V33">
        <f>Tabel2425678910111213141517161819212022232614[[#This Row],[Stand Cappucino einde maand]]-Tabel2425678910111213141517161819212022232614[[#This Row],[Stand Cappucino vorige maand]]</f>
        <v>199</v>
      </c>
      <c r="W33" s="53">
        <v>404</v>
      </c>
      <c r="X33">
        <f>februari2025!W33</f>
        <v>381</v>
      </c>
      <c r="Y33">
        <f>Tabel2425678910111213141517161819212022232614[[#This Row],[Stand Cappucino Plantaardig einde maand]]-Tabel2425678910111213141517161819212022232614[[#This Row],[Stand Cappucino Plantaardig vorige maand]]</f>
        <v>23</v>
      </c>
      <c r="Z33" s="53">
        <v>69</v>
      </c>
      <c r="AA33">
        <f>februari2025!Z33</f>
        <v>67</v>
      </c>
      <c r="AB33">
        <f>Tabel2425678910111213141517161819212022232614[[#This Row],[Stand Latte Macchiato Plantaardig einde maand]]-Tabel2425678910111213141517161819212022232614[[#This Row],[Stand Latte Macchiato Plantaardig vorige maand]]</f>
        <v>2</v>
      </c>
      <c r="AC33" s="71">
        <f>Tabel2425678910111213141517161819212022232614[[#This Row],[Verbruik Stand Latte Macchiato Plantaardig deze maand]]+Tabel2425678910111213141517161819212022232614[[#This Row],[Verbruik  Cappucino Plantaardig deze maand]]+Tabel2425678910111213141517161819212022232614[[#This Row],[Verbruik Cappucino deze maand]]+Tabel2425678910111213141517161819212022232614[[#This Row],[Verbruik Hot Water deze maand]]+Tabel2425678910111213141517161819212022232614[[#This Row],[Verbruik Coffee Latte deze maand]]+Tabel2425678910111213141517161819212022232614[[#This Row],[Verbruik Latte Macchiato deze maand]]+Tabel2425678910111213141517161819212022232614[[#This Row],[Verbruik Espresso deze maand]]+Tabel2425678910111213141517161819212022232614[[#This Row],[Verbruik Coffee deze maand]]</f>
        <v>1813</v>
      </c>
      <c r="AD33" s="69"/>
      <c r="AE33" s="41"/>
      <c r="AF33" s="5"/>
      <c r="AG33" s="5"/>
      <c r="AH33" s="75"/>
      <c r="AI33" s="41"/>
      <c r="AJ33" s="5"/>
      <c r="AK33" s="5"/>
      <c r="AL33" s="75"/>
      <c r="AM33" s="41"/>
      <c r="AN33" s="5"/>
      <c r="AO33" s="5"/>
      <c r="AP33" s="75"/>
      <c r="AQ33" s="41"/>
      <c r="AR33" s="5"/>
      <c r="AS33" s="5"/>
      <c r="AT33" s="75"/>
      <c r="AU33" s="41"/>
      <c r="AV33" s="5"/>
      <c r="AW33" s="5"/>
      <c r="AX33" s="79"/>
      <c r="AY33" s="95">
        <f>Tabel2425678910111213141517161819212022232614[[#This Row],[Subtotaal waterbar in consumpties]]+Tabel2425678910111213141517161819212022232614[[#This Row],[Subtotaal koffieautomaten]]</f>
        <v>1813</v>
      </c>
    </row>
    <row r="34" spans="1:130" x14ac:dyDescent="0.25">
      <c r="A34" s="65" t="s">
        <v>50</v>
      </c>
      <c r="B34" t="s">
        <v>82</v>
      </c>
      <c r="C34" t="s">
        <v>47</v>
      </c>
      <c r="E34">
        <v>7623</v>
      </c>
      <c r="F34">
        <f>februari2025!E34</f>
        <v>7348</v>
      </c>
      <c r="G34">
        <f>Tabel2425678910111213141517161819212022232614[[#This Row],[Stand Coffee einde maand]]-Tabel2425678910111213141517161819212022232614[[#This Row],[Coffee vorige maand]]</f>
        <v>275</v>
      </c>
      <c r="H34" s="53">
        <v>1400</v>
      </c>
      <c r="I34">
        <f>februari2025!H34</f>
        <v>1318</v>
      </c>
      <c r="J34">
        <f>Tabel2425678910111213141517161819212022232614[[#This Row],[Stand Espresso Einde maand]]-Tabel2425678910111213141517161819212022232614[[#This Row],[Espresso vorige maand]]</f>
        <v>82</v>
      </c>
      <c r="K34" s="53">
        <v>1902</v>
      </c>
      <c r="L34">
        <f>februari2025!K34</f>
        <v>1826</v>
      </c>
      <c r="M34">
        <f>Tabel2425678910111213141517161819212022232614[[#This Row],[Stand Latte Macchiato einde maand]]-Tabel2425678910111213141517161819212022232614[[#This Row],[Latte Macchiato vorige maand]]</f>
        <v>76</v>
      </c>
      <c r="N34" s="53">
        <v>1849</v>
      </c>
      <c r="O34">
        <f>februari2025!N34</f>
        <v>1718</v>
      </c>
      <c r="P34">
        <f>Tabel2425678910111213141517161819212022232614[[#This Row],[Stand Coffee Latte einde maand]]-Tabel2425678910111213141517161819212022232614[[#This Row],[Coffee Latte vorige maand]]</f>
        <v>131</v>
      </c>
      <c r="Q34" s="53">
        <v>1</v>
      </c>
      <c r="R34">
        <f>februari2025!Q34</f>
        <v>1</v>
      </c>
      <c r="S34">
        <f>Tabel2425678910111213141517161819212022232614[[#This Row],[Stand Hot Water einde maand]]-Tabel2425678910111213141517161819212022232614[[#This Row],[Hot Water vorige maand]]</f>
        <v>0</v>
      </c>
      <c r="T34" s="53">
        <v>4163</v>
      </c>
      <c r="U34">
        <f>februari2025!T34</f>
        <v>4043</v>
      </c>
      <c r="V34">
        <f>Tabel2425678910111213141517161819212022232614[[#This Row],[Stand Cappucino einde maand]]-Tabel2425678910111213141517161819212022232614[[#This Row],[Stand Cappucino vorige maand]]</f>
        <v>120</v>
      </c>
      <c r="W34" s="53">
        <v>795</v>
      </c>
      <c r="X34">
        <f>februari2025!W34</f>
        <v>734</v>
      </c>
      <c r="Y34">
        <f>Tabel2425678910111213141517161819212022232614[[#This Row],[Stand Cappucino Plantaardig einde maand]]-Tabel2425678910111213141517161819212022232614[[#This Row],[Stand Cappucino Plantaardig vorige maand]]</f>
        <v>61</v>
      </c>
      <c r="Z34" s="53">
        <v>100</v>
      </c>
      <c r="AA34">
        <f>februari2025!Z34</f>
        <v>100</v>
      </c>
      <c r="AB34">
        <f>Tabel2425678910111213141517161819212022232614[[#This Row],[Stand Latte Macchiato Plantaardig einde maand]]-Tabel2425678910111213141517161819212022232614[[#This Row],[Stand Latte Macchiato Plantaardig vorige maand]]</f>
        <v>0</v>
      </c>
      <c r="AC34" s="71">
        <f>Tabel2425678910111213141517161819212022232614[[#This Row],[Verbruik Stand Latte Macchiato Plantaardig deze maand]]+Tabel2425678910111213141517161819212022232614[[#This Row],[Verbruik  Cappucino Plantaardig deze maand]]+Tabel2425678910111213141517161819212022232614[[#This Row],[Verbruik Cappucino deze maand]]+Tabel2425678910111213141517161819212022232614[[#This Row],[Verbruik Hot Water deze maand]]+Tabel2425678910111213141517161819212022232614[[#This Row],[Verbruik Coffee Latte deze maand]]+Tabel2425678910111213141517161819212022232614[[#This Row],[Verbruik Latte Macchiato deze maand]]+Tabel2425678910111213141517161819212022232614[[#This Row],[Verbruik Espresso deze maand]]+Tabel2425678910111213141517161819212022232614[[#This Row],[Verbruik Coffee deze maand]]</f>
        <v>745</v>
      </c>
      <c r="AD34" s="53">
        <v>57.8</v>
      </c>
      <c r="AE34">
        <f>februari2025!AD34</f>
        <v>49.6</v>
      </c>
      <c r="AF34">
        <f>Tabel2425678910111213141517161819212022232614[[#This Row],[Stand Kamertemp liter einde maand]]-Tabel2425678910111213141517161819212022232614[[#This Row],[Stand Kamertemp liter vorige maand]]</f>
        <v>8.1999999999999957</v>
      </c>
      <c r="AG34" s="2">
        <f>Tabel2425678910111213141517161819212022232614[[#This Row],[Verbruik Kamertemp liter deze maand]]/0.15</f>
        <v>54.666666666666643</v>
      </c>
      <c r="AH34" s="53">
        <v>206.7</v>
      </c>
      <c r="AI34">
        <f>februari2025!AH34</f>
        <v>169.3</v>
      </c>
      <c r="AJ34">
        <f>Tabel2425678910111213141517161819212022232614[[#This Row],[Stand Gekoeld liter einde maand]]-Tabel2425678910111213141517161819212022232614[[#This Row],[Stand Gekoeld liter vorige maand]]</f>
        <v>37.399999999999977</v>
      </c>
      <c r="AK34" s="2">
        <f>Tabel2425678910111213141517161819212022232614[[#This Row],[Verbruik Gekoeld liter deze maand]]/0.15</f>
        <v>249.3333333333332</v>
      </c>
      <c r="AL34" s="53">
        <v>143.1</v>
      </c>
      <c r="AM34">
        <f>februari2025!AL34</f>
        <v>118.1</v>
      </c>
      <c r="AN34">
        <f>Tabel2425678910111213141517161819212022232614[[#This Row],[Stand Bruisend liter einde maand]]-Tabel2425678910111213141517161819212022232614[[#This Row],[Stand Bruisend liter vorige maand]]</f>
        <v>25</v>
      </c>
      <c r="AO34" s="2">
        <f>Tabel2425678910111213141517161819212022232614[[#This Row],[Verbruik Bruisend liter deze maand]]/0.15</f>
        <v>166.66666666666669</v>
      </c>
      <c r="AP34" s="53">
        <v>62.3</v>
      </c>
      <c r="AQ34">
        <f>februari2025!AP34</f>
        <v>46.1</v>
      </c>
      <c r="AR34">
        <f>Tabel2425678910111213141517161819212022232614[[#This Row],[Stand licht bruisend liter einde maand]]-Tabel2425678910111213141517161819212022232614[[#This Row],[Stand licht bruisend liter vorige maand]]</f>
        <v>16.199999999999996</v>
      </c>
      <c r="AS34" s="2">
        <f>Tabel2425678910111213141517161819212022232614[[#This Row],[Verbruik licht bruisend liter deze maand]]/0.15</f>
        <v>107.99999999999997</v>
      </c>
      <c r="AT34" s="53">
        <v>938.2</v>
      </c>
      <c r="AU34">
        <f>februari2025!AT34</f>
        <v>758.9</v>
      </c>
      <c r="AV34">
        <f>Tabel2425678910111213141517161819212022232614[[#This Row],[Stand heet water liter einde maand]]-Tabel2425678910111213141517161819212022232614[[#This Row],[Stand heet water liter vorige maand]]</f>
        <v>179.30000000000007</v>
      </c>
      <c r="AW34" s="2">
        <f>Tabel2425678910111213141517161819212022232614[[#This Row],[Verbruik heet Water liter deze maand ]]/0.15</f>
        <v>1195.3333333333339</v>
      </c>
      <c r="AX34" s="77">
        <f>Tabel2425678910111213141517161819212022232614[[#This Row],[Aantal consumpties heet water deze maand]]+Tabel2425678910111213141517161819212022232614[[#This Row],[Aantal consumpties licht bruisend water deze maand]]+Tabel2425678910111213141517161819212022232614[[#This Row],[aantal consumpties Bruisend water deze maand]]+Tabel2425678910111213141517161819212022232614[[#This Row],[Aantal consumpties gekoeld water deze maand]]+Tabel2425678910111213141517161819212022232614[[#This Row],[Aantal consumpties Kamertemp deze maand]]</f>
        <v>1774.0000000000007</v>
      </c>
      <c r="AY34" s="95">
        <f>Tabel2425678910111213141517161819212022232614[[#This Row],[Subtotaal waterbar in consumpties]]+Tabel2425678910111213141517161819212022232614[[#This Row],[Subtotaal koffieautomaten]]</f>
        <v>2519.0000000000009</v>
      </c>
    </row>
    <row r="35" spans="1:130" x14ac:dyDescent="0.25">
      <c r="A35" s="65" t="s">
        <v>52</v>
      </c>
      <c r="B35" t="s">
        <v>83</v>
      </c>
      <c r="C35" t="s">
        <v>47</v>
      </c>
      <c r="E35">
        <v>8160</v>
      </c>
      <c r="F35">
        <f>februari2025!E35</f>
        <v>7840</v>
      </c>
      <c r="G35">
        <f>Tabel2425678910111213141517161819212022232614[[#This Row],[Stand Coffee einde maand]]-Tabel2425678910111213141517161819212022232614[[#This Row],[Coffee vorige maand]]</f>
        <v>320</v>
      </c>
      <c r="H35" s="53">
        <v>3029</v>
      </c>
      <c r="I35">
        <f>februari2025!H35</f>
        <v>2926</v>
      </c>
      <c r="J35">
        <f>Tabel2425678910111213141517161819212022232614[[#This Row],[Stand Espresso Einde maand]]-Tabel2425678910111213141517161819212022232614[[#This Row],[Espresso vorige maand]]</f>
        <v>103</v>
      </c>
      <c r="K35" s="53">
        <v>1379</v>
      </c>
      <c r="L35">
        <f>februari2025!K35</f>
        <v>1354</v>
      </c>
      <c r="M35">
        <f>Tabel2425678910111213141517161819212022232614[[#This Row],[Stand Latte Macchiato einde maand]]-Tabel2425678910111213141517161819212022232614[[#This Row],[Latte Macchiato vorige maand]]</f>
        <v>25</v>
      </c>
      <c r="N35" s="53">
        <v>271</v>
      </c>
      <c r="O35">
        <f>februari2025!N35</f>
        <v>269</v>
      </c>
      <c r="P35">
        <f>Tabel2425678910111213141517161819212022232614[[#This Row],[Stand Coffee Latte einde maand]]-Tabel2425678910111213141517161819212022232614[[#This Row],[Coffee Latte vorige maand]]</f>
        <v>2</v>
      </c>
      <c r="Q35" s="53">
        <v>1</v>
      </c>
      <c r="R35">
        <f>februari2025!Q35</f>
        <v>1</v>
      </c>
      <c r="S35">
        <f>Tabel2425678910111213141517161819212022232614[[#This Row],[Stand Hot Water einde maand]]-Tabel2425678910111213141517161819212022232614[[#This Row],[Hot Water vorige maand]]</f>
        <v>0</v>
      </c>
      <c r="T35" s="53">
        <v>2970</v>
      </c>
      <c r="U35">
        <f>februari2025!T35</f>
        <v>2777</v>
      </c>
      <c r="V35">
        <f>Tabel2425678910111213141517161819212022232614[[#This Row],[Stand Cappucino einde maand]]-Tabel2425678910111213141517161819212022232614[[#This Row],[Stand Cappucino vorige maand]]</f>
        <v>193</v>
      </c>
      <c r="W35" s="53">
        <v>930</v>
      </c>
      <c r="X35">
        <f>februari2025!W35</f>
        <v>870</v>
      </c>
      <c r="Y35">
        <f>Tabel2425678910111213141517161819212022232614[[#This Row],[Stand Cappucino Plantaardig einde maand]]-Tabel2425678910111213141517161819212022232614[[#This Row],[Stand Cappucino Plantaardig vorige maand]]</f>
        <v>60</v>
      </c>
      <c r="Z35" s="53">
        <v>571</v>
      </c>
      <c r="AA35">
        <f>februari2025!Z35</f>
        <v>566</v>
      </c>
      <c r="AB35">
        <f>Tabel2425678910111213141517161819212022232614[[#This Row],[Stand Latte Macchiato Plantaardig einde maand]]-Tabel2425678910111213141517161819212022232614[[#This Row],[Stand Latte Macchiato Plantaardig vorige maand]]</f>
        <v>5</v>
      </c>
      <c r="AC35" s="71">
        <f>Tabel2425678910111213141517161819212022232614[[#This Row],[Verbruik Stand Latte Macchiato Plantaardig deze maand]]+Tabel2425678910111213141517161819212022232614[[#This Row],[Verbruik  Cappucino Plantaardig deze maand]]+Tabel2425678910111213141517161819212022232614[[#This Row],[Verbruik Cappucino deze maand]]+Tabel2425678910111213141517161819212022232614[[#This Row],[Verbruik Hot Water deze maand]]+Tabel2425678910111213141517161819212022232614[[#This Row],[Verbruik Coffee Latte deze maand]]+Tabel2425678910111213141517161819212022232614[[#This Row],[Verbruik Latte Macchiato deze maand]]+Tabel2425678910111213141517161819212022232614[[#This Row],[Verbruik Espresso deze maand]]+Tabel2425678910111213141517161819212022232614[[#This Row],[Verbruik Coffee deze maand]]</f>
        <v>708</v>
      </c>
      <c r="AD35" s="53">
        <v>193.7</v>
      </c>
      <c r="AE35">
        <f>februari2025!AD35</f>
        <v>190.4</v>
      </c>
      <c r="AF35">
        <f>Tabel2425678910111213141517161819212022232614[[#This Row],[Stand Kamertemp liter einde maand]]-Tabel2425678910111213141517161819212022232614[[#This Row],[Stand Kamertemp liter vorige maand]]</f>
        <v>3.2999999999999829</v>
      </c>
      <c r="AG35" s="2">
        <f>Tabel2425678910111213141517161819212022232614[[#This Row],[Verbruik Kamertemp liter deze maand]]/0.15</f>
        <v>21.999999999999886</v>
      </c>
      <c r="AH35" s="53">
        <v>904.1</v>
      </c>
      <c r="AI35">
        <f>februari2025!AH35</f>
        <v>875.7</v>
      </c>
      <c r="AJ35">
        <f>Tabel2425678910111213141517161819212022232614[[#This Row],[Stand Gekoeld liter einde maand]]-Tabel2425678910111213141517161819212022232614[[#This Row],[Stand Gekoeld liter vorige maand]]</f>
        <v>28.399999999999977</v>
      </c>
      <c r="AK35" s="2">
        <f>Tabel2425678910111213141517161819212022232614[[#This Row],[Verbruik Gekoeld liter deze maand]]/0.15</f>
        <v>189.3333333333332</v>
      </c>
      <c r="AL35" s="53">
        <v>884.9</v>
      </c>
      <c r="AM35">
        <f>februari2025!AL35</f>
        <v>863.9</v>
      </c>
      <c r="AN35">
        <f>Tabel2425678910111213141517161819212022232614[[#This Row],[Stand Bruisend liter einde maand]]-Tabel2425678910111213141517161819212022232614[[#This Row],[Stand Bruisend liter vorige maand]]</f>
        <v>21</v>
      </c>
      <c r="AO35" s="2">
        <f>Tabel2425678910111213141517161819212022232614[[#This Row],[Verbruik Bruisend liter deze maand]]/0.15</f>
        <v>140</v>
      </c>
      <c r="AP35" s="53">
        <v>346.1</v>
      </c>
      <c r="AQ35">
        <f>februari2025!AP35</f>
        <v>319.3</v>
      </c>
      <c r="AR35">
        <f>Tabel2425678910111213141517161819212022232614[[#This Row],[Stand licht bruisend liter einde maand]]-Tabel2425678910111213141517161819212022232614[[#This Row],[Stand licht bruisend liter vorige maand]]</f>
        <v>26.800000000000011</v>
      </c>
      <c r="AS35" s="2">
        <f>Tabel2425678910111213141517161819212022232614[[#This Row],[Verbruik licht bruisend liter deze maand]]/0.15</f>
        <v>178.66666666666674</v>
      </c>
      <c r="AT35" s="53">
        <v>6041.5</v>
      </c>
      <c r="AU35">
        <f>februari2025!AT35</f>
        <v>5780.1</v>
      </c>
      <c r="AV35">
        <f>Tabel2425678910111213141517161819212022232614[[#This Row],[Stand heet water liter einde maand]]-Tabel2425678910111213141517161819212022232614[[#This Row],[Stand heet water liter vorige maand]]</f>
        <v>261.39999999999964</v>
      </c>
      <c r="AW35" s="2">
        <f>Tabel2425678910111213141517161819212022232614[[#This Row],[Verbruik heet Water liter deze maand ]]/0.15</f>
        <v>1742.6666666666642</v>
      </c>
      <c r="AX35" s="77">
        <f>Tabel2425678910111213141517161819212022232614[[#This Row],[Aantal consumpties heet water deze maand]]+Tabel2425678910111213141517161819212022232614[[#This Row],[Aantal consumpties licht bruisend water deze maand]]+Tabel2425678910111213141517161819212022232614[[#This Row],[aantal consumpties Bruisend water deze maand]]+Tabel2425678910111213141517161819212022232614[[#This Row],[Aantal consumpties gekoeld water deze maand]]+Tabel2425678910111213141517161819212022232614[[#This Row],[Aantal consumpties Kamertemp deze maand]]</f>
        <v>2272.6666666666642</v>
      </c>
      <c r="AY35" s="95">
        <f>Tabel2425678910111213141517161819212022232614[[#This Row],[Subtotaal waterbar in consumpties]]+Tabel2425678910111213141517161819212022232614[[#This Row],[Subtotaal koffieautomaten]]</f>
        <v>2980.6666666666642</v>
      </c>
    </row>
    <row r="36" spans="1:130" x14ac:dyDescent="0.25">
      <c r="A36" s="65" t="s">
        <v>54</v>
      </c>
      <c r="B36" t="s">
        <v>84</v>
      </c>
      <c r="C36" t="s">
        <v>31</v>
      </c>
      <c r="E36">
        <v>12347</v>
      </c>
      <c r="F36">
        <f>februari2025!E36</f>
        <v>11726</v>
      </c>
      <c r="G36">
        <f>Tabel2425678910111213141517161819212022232614[[#This Row],[Stand Coffee einde maand]]-Tabel2425678910111213141517161819212022232614[[#This Row],[Coffee vorige maand]]</f>
        <v>621</v>
      </c>
      <c r="H36" s="53">
        <v>2002</v>
      </c>
      <c r="I36">
        <f>februari2025!H36</f>
        <v>1942</v>
      </c>
      <c r="J36">
        <f>Tabel2425678910111213141517161819212022232614[[#This Row],[Stand Espresso Einde maand]]-Tabel2425678910111213141517161819212022232614[[#This Row],[Espresso vorige maand]]</f>
        <v>60</v>
      </c>
      <c r="K36" s="53">
        <v>1199</v>
      </c>
      <c r="L36">
        <f>februari2025!K36</f>
        <v>1119</v>
      </c>
      <c r="M36">
        <f>Tabel2425678910111213141517161819212022232614[[#This Row],[Stand Latte Macchiato einde maand]]-Tabel2425678910111213141517161819212022232614[[#This Row],[Latte Macchiato vorige maand]]</f>
        <v>80</v>
      </c>
      <c r="N36" s="53">
        <v>360</v>
      </c>
      <c r="O36">
        <f>februari2025!N36</f>
        <v>344</v>
      </c>
      <c r="P36">
        <f>Tabel2425678910111213141517161819212022232614[[#This Row],[Stand Coffee Latte einde maand]]-Tabel2425678910111213141517161819212022232614[[#This Row],[Coffee Latte vorige maand]]</f>
        <v>16</v>
      </c>
      <c r="Q36" s="53">
        <v>17658</v>
      </c>
      <c r="R36">
        <f>februari2025!Q36</f>
        <v>16799</v>
      </c>
      <c r="S36">
        <f>Tabel2425678910111213141517161819212022232614[[#This Row],[Stand Hot Water einde maand]]-Tabel2425678910111213141517161819212022232614[[#This Row],[Hot Water vorige maand]]</f>
        <v>859</v>
      </c>
      <c r="T36" s="53">
        <v>4092</v>
      </c>
      <c r="U36">
        <f>februari2025!T36</f>
        <v>3849</v>
      </c>
      <c r="V36">
        <f>Tabel2425678910111213141517161819212022232614[[#This Row],[Stand Cappucino einde maand]]-Tabel2425678910111213141517161819212022232614[[#This Row],[Stand Cappucino vorige maand]]</f>
        <v>243</v>
      </c>
      <c r="W36" s="53">
        <v>589</v>
      </c>
      <c r="X36">
        <f>februari2025!W36</f>
        <v>563</v>
      </c>
      <c r="Y36">
        <f>Tabel2425678910111213141517161819212022232614[[#This Row],[Stand Cappucino Plantaardig einde maand]]-Tabel2425678910111213141517161819212022232614[[#This Row],[Stand Cappucino Plantaardig vorige maand]]</f>
        <v>26</v>
      </c>
      <c r="Z36" s="53">
        <v>783</v>
      </c>
      <c r="AA36">
        <f>februari2025!Z36</f>
        <v>720</v>
      </c>
      <c r="AB36">
        <f>Tabel2425678910111213141517161819212022232614[[#This Row],[Stand Latte Macchiato Plantaardig einde maand]]-Tabel2425678910111213141517161819212022232614[[#This Row],[Stand Latte Macchiato Plantaardig vorige maand]]</f>
        <v>63</v>
      </c>
      <c r="AC36" s="71">
        <f>Tabel2425678910111213141517161819212022232614[[#This Row],[Verbruik Stand Latte Macchiato Plantaardig deze maand]]+Tabel2425678910111213141517161819212022232614[[#This Row],[Verbruik  Cappucino Plantaardig deze maand]]+Tabel2425678910111213141517161819212022232614[[#This Row],[Verbruik Cappucino deze maand]]+Tabel2425678910111213141517161819212022232614[[#This Row],[Verbruik Hot Water deze maand]]+Tabel2425678910111213141517161819212022232614[[#This Row],[Verbruik Coffee Latte deze maand]]+Tabel2425678910111213141517161819212022232614[[#This Row],[Verbruik Latte Macchiato deze maand]]+Tabel2425678910111213141517161819212022232614[[#This Row],[Verbruik Espresso deze maand]]+Tabel2425678910111213141517161819212022232614[[#This Row],[Verbruik Coffee deze maand]]</f>
        <v>1968</v>
      </c>
      <c r="AD36" s="69"/>
      <c r="AE36" s="41"/>
      <c r="AF36" s="5"/>
      <c r="AG36" s="5"/>
      <c r="AH36" s="75"/>
      <c r="AI36" s="41"/>
      <c r="AJ36" s="5"/>
      <c r="AK36" s="5"/>
      <c r="AL36" s="75"/>
      <c r="AM36" s="41"/>
      <c r="AN36" s="5"/>
      <c r="AO36" s="5"/>
      <c r="AP36" s="75"/>
      <c r="AQ36" s="41"/>
      <c r="AR36" s="5"/>
      <c r="AS36" s="5"/>
      <c r="AT36" s="75"/>
      <c r="AU36" s="41"/>
      <c r="AV36" s="5"/>
      <c r="AW36" s="5"/>
      <c r="AX36" s="79"/>
      <c r="AY36" s="95">
        <f>Tabel2425678910111213141517161819212022232614[[#This Row],[Subtotaal waterbar in consumpties]]+Tabel2425678910111213141517161819212022232614[[#This Row],[Subtotaal koffieautomaten]]</f>
        <v>1968</v>
      </c>
    </row>
    <row r="37" spans="1:130" x14ac:dyDescent="0.25">
      <c r="A37" s="65" t="s">
        <v>56</v>
      </c>
      <c r="B37" t="s">
        <v>85</v>
      </c>
      <c r="C37" t="s">
        <v>36</v>
      </c>
      <c r="E37" s="46"/>
      <c r="F37" s="46"/>
      <c r="G37" s="47"/>
      <c r="H37" s="54"/>
      <c r="I37" s="46"/>
      <c r="J37" s="47"/>
      <c r="K37" s="54"/>
      <c r="L37" s="46"/>
      <c r="M37" s="47"/>
      <c r="N37" s="54"/>
      <c r="O37" s="46"/>
      <c r="P37" s="47"/>
      <c r="Q37" s="54"/>
      <c r="R37" s="46"/>
      <c r="S37" s="47"/>
      <c r="T37" s="54"/>
      <c r="U37" s="46"/>
      <c r="V37" s="47"/>
      <c r="W37" s="54"/>
      <c r="X37" s="46"/>
      <c r="Y37" s="47"/>
      <c r="Z37" s="54"/>
      <c r="AA37" s="46"/>
      <c r="AB37" s="47"/>
      <c r="AC37" s="72"/>
      <c r="AD37" s="53">
        <v>124.4</v>
      </c>
      <c r="AE37">
        <f>februari2025!AD37</f>
        <v>114.2</v>
      </c>
      <c r="AF37">
        <f>Tabel2425678910111213141517161819212022232614[[#This Row],[Stand Kamertemp liter einde maand]]-Tabel2425678910111213141517161819212022232614[[#This Row],[Stand Kamertemp liter vorige maand]]</f>
        <v>10.200000000000003</v>
      </c>
      <c r="AG37" s="2">
        <f>Tabel2425678910111213141517161819212022232614[[#This Row],[Verbruik Kamertemp liter deze maand]]/0.15</f>
        <v>68.000000000000028</v>
      </c>
      <c r="AH37" s="53">
        <v>672.8</v>
      </c>
      <c r="AI37">
        <f>februari2025!AH37</f>
        <v>634.20000000000005</v>
      </c>
      <c r="AJ37">
        <f>Tabel2425678910111213141517161819212022232614[[#This Row],[Stand Gekoeld liter einde maand]]-Tabel2425678910111213141517161819212022232614[[#This Row],[Stand Gekoeld liter vorige maand]]</f>
        <v>38.599999999999909</v>
      </c>
      <c r="AK37" s="2">
        <f>Tabel2425678910111213141517161819212022232614[[#This Row],[Verbruik Gekoeld liter deze maand]]/0.15</f>
        <v>257.33333333333275</v>
      </c>
      <c r="AL37" s="53">
        <v>445.3</v>
      </c>
      <c r="AM37">
        <f>februari2025!AL37</f>
        <v>395</v>
      </c>
      <c r="AN37">
        <f>Tabel2425678910111213141517161819212022232614[[#This Row],[Stand Bruisend liter einde maand]]-Tabel2425678910111213141517161819212022232614[[#This Row],[Stand Bruisend liter vorige maand]]</f>
        <v>50.300000000000011</v>
      </c>
      <c r="AO37" s="2">
        <f>Tabel2425678910111213141517161819212022232614[[#This Row],[Verbruik Bruisend liter deze maand]]/0.15</f>
        <v>335.33333333333343</v>
      </c>
      <c r="AP37" s="53">
        <v>273.60000000000002</v>
      </c>
      <c r="AQ37">
        <f>februari2025!AP37</f>
        <v>258.3</v>
      </c>
      <c r="AR37">
        <f>Tabel2425678910111213141517161819212022232614[[#This Row],[Stand licht bruisend liter einde maand]]-Tabel2425678910111213141517161819212022232614[[#This Row],[Stand licht bruisend liter vorige maand]]</f>
        <v>15.300000000000011</v>
      </c>
      <c r="AS37" s="2">
        <f>Tabel2425678910111213141517161819212022232614[[#This Row],[Verbruik licht bruisend liter deze maand]]/0.15</f>
        <v>102.00000000000009</v>
      </c>
      <c r="AT37" s="53">
        <v>2058.8000000000002</v>
      </c>
      <c r="AU37">
        <f>februari2025!AT37</f>
        <v>1896.2</v>
      </c>
      <c r="AV37">
        <f>Tabel2425678910111213141517161819212022232614[[#This Row],[Stand heet water liter einde maand]]-Tabel2425678910111213141517161819212022232614[[#This Row],[Stand heet water liter vorige maand]]</f>
        <v>162.60000000000014</v>
      </c>
      <c r="AW37" s="2">
        <f>Tabel2425678910111213141517161819212022232614[[#This Row],[Verbruik heet Water liter deze maand ]]/0.15</f>
        <v>1084.0000000000009</v>
      </c>
      <c r="AX37" s="77">
        <f>Tabel2425678910111213141517161819212022232614[[#This Row],[Aantal consumpties heet water deze maand]]+Tabel2425678910111213141517161819212022232614[[#This Row],[Aantal consumpties licht bruisend water deze maand]]+Tabel2425678910111213141517161819212022232614[[#This Row],[aantal consumpties Bruisend water deze maand]]+Tabel2425678910111213141517161819212022232614[[#This Row],[Aantal consumpties gekoeld water deze maand]]+Tabel2425678910111213141517161819212022232614[[#This Row],[Aantal consumpties Kamertemp deze maand]]</f>
        <v>1846.6666666666672</v>
      </c>
      <c r="AY37" s="95">
        <f>Tabel2425678910111213141517161819212022232614[[#This Row],[Subtotaal waterbar in consumpties]]+Tabel2425678910111213141517161819212022232614[[#This Row],[Subtotaal koffieautomaten]]</f>
        <v>1846.6666666666672</v>
      </c>
    </row>
    <row r="38" spans="1:130" x14ac:dyDescent="0.25">
      <c r="A38" s="65" t="s">
        <v>58</v>
      </c>
      <c r="B38" t="s">
        <v>86</v>
      </c>
      <c r="C38" t="s">
        <v>47</v>
      </c>
      <c r="E38">
        <v>11867</v>
      </c>
      <c r="F38">
        <f>februari2025!E38</f>
        <v>11510</v>
      </c>
      <c r="G38">
        <f>Tabel2425678910111213141517161819212022232614[[#This Row],[Stand Coffee einde maand]]-Tabel2425678910111213141517161819212022232614[[#This Row],[Coffee vorige maand]]</f>
        <v>357</v>
      </c>
      <c r="H38" s="53">
        <v>3533</v>
      </c>
      <c r="I38">
        <f>februari2025!H38</f>
        <v>3469</v>
      </c>
      <c r="J38">
        <f>Tabel2425678910111213141517161819212022232614[[#This Row],[Stand Espresso Einde maand]]-Tabel2425678910111213141517161819212022232614[[#This Row],[Espresso vorige maand]]</f>
        <v>64</v>
      </c>
      <c r="K38" s="53">
        <v>1951</v>
      </c>
      <c r="L38">
        <f>februari2025!K38</f>
        <v>1874</v>
      </c>
      <c r="M38">
        <f>Tabel2425678910111213141517161819212022232614[[#This Row],[Stand Latte Macchiato einde maand]]-Tabel2425678910111213141517161819212022232614[[#This Row],[Latte Macchiato vorige maand]]</f>
        <v>77</v>
      </c>
      <c r="N38" s="53">
        <v>1009</v>
      </c>
      <c r="O38">
        <f>februari2025!N38</f>
        <v>977</v>
      </c>
      <c r="P38">
        <f>Tabel2425678910111213141517161819212022232614[[#This Row],[Stand Coffee Latte einde maand]]-Tabel2425678910111213141517161819212022232614[[#This Row],[Coffee Latte vorige maand]]</f>
        <v>32</v>
      </c>
      <c r="Q38" s="53">
        <v>1153</v>
      </c>
      <c r="R38">
        <f>februari2025!Q38</f>
        <v>1088</v>
      </c>
      <c r="S38">
        <f>Tabel2425678910111213141517161819212022232614[[#This Row],[Stand Hot Water einde maand]]-Tabel2425678910111213141517161819212022232614[[#This Row],[Hot Water vorige maand]]</f>
        <v>65</v>
      </c>
      <c r="T38" s="53">
        <v>6295</v>
      </c>
      <c r="U38">
        <f>februari2025!T38</f>
        <v>6099</v>
      </c>
      <c r="V38">
        <f>Tabel2425678910111213141517161819212022232614[[#This Row],[Stand Cappucino einde maand]]-Tabel2425678910111213141517161819212022232614[[#This Row],[Stand Cappucino vorige maand]]</f>
        <v>196</v>
      </c>
      <c r="W38" s="53">
        <v>923</v>
      </c>
      <c r="X38">
        <f>februari2025!W38</f>
        <v>886</v>
      </c>
      <c r="Y38">
        <f>Tabel2425678910111213141517161819212022232614[[#This Row],[Stand Cappucino Plantaardig einde maand]]-Tabel2425678910111213141517161819212022232614[[#This Row],[Stand Cappucino Plantaardig vorige maand]]</f>
        <v>37</v>
      </c>
      <c r="Z38" s="53">
        <v>773</v>
      </c>
      <c r="AA38">
        <f>februari2025!Z38</f>
        <v>736</v>
      </c>
      <c r="AB38">
        <f>Tabel2425678910111213141517161819212022232614[[#This Row],[Stand Latte Macchiato Plantaardig einde maand]]-Tabel2425678910111213141517161819212022232614[[#This Row],[Stand Latte Macchiato Plantaardig vorige maand]]</f>
        <v>37</v>
      </c>
      <c r="AC38" s="71">
        <f>Tabel2425678910111213141517161819212022232614[[#This Row],[Verbruik Stand Latte Macchiato Plantaardig deze maand]]+Tabel2425678910111213141517161819212022232614[[#This Row],[Verbruik  Cappucino Plantaardig deze maand]]+Tabel2425678910111213141517161819212022232614[[#This Row],[Verbruik Cappucino deze maand]]+Tabel2425678910111213141517161819212022232614[[#This Row],[Verbruik Hot Water deze maand]]+Tabel2425678910111213141517161819212022232614[[#This Row],[Verbruik Coffee Latte deze maand]]+Tabel2425678910111213141517161819212022232614[[#This Row],[Verbruik Latte Macchiato deze maand]]+Tabel2425678910111213141517161819212022232614[[#This Row],[Verbruik Espresso deze maand]]+Tabel2425678910111213141517161819212022232614[[#This Row],[Verbruik Coffee deze maand]]</f>
        <v>865</v>
      </c>
      <c r="AD38" s="53">
        <v>106</v>
      </c>
      <c r="AE38">
        <f>februari2025!AD38</f>
        <v>97.7</v>
      </c>
      <c r="AF38">
        <f>Tabel2425678910111213141517161819212022232614[[#This Row],[Stand Kamertemp liter einde maand]]-Tabel2425678910111213141517161819212022232614[[#This Row],[Stand Kamertemp liter vorige maand]]</f>
        <v>8.2999999999999972</v>
      </c>
      <c r="AG38" s="2">
        <f>Tabel2425678910111213141517161819212022232614[[#This Row],[Verbruik Kamertemp liter deze maand]]/0.15</f>
        <v>55.333333333333314</v>
      </c>
      <c r="AH38" s="53">
        <v>456.9</v>
      </c>
      <c r="AI38">
        <f>februari2025!AH38</f>
        <v>416.6</v>
      </c>
      <c r="AJ38">
        <f>Tabel2425678910111213141517161819212022232614[[#This Row],[Stand Gekoeld liter einde maand]]-Tabel2425678910111213141517161819212022232614[[#This Row],[Stand Gekoeld liter vorige maand]]</f>
        <v>40.299999999999955</v>
      </c>
      <c r="AK38" s="2">
        <f>Tabel2425678910111213141517161819212022232614[[#This Row],[Verbruik Gekoeld liter deze maand]]/0.15</f>
        <v>268.6666666666664</v>
      </c>
      <c r="AL38" s="53">
        <v>378.8</v>
      </c>
      <c r="AM38">
        <f>februari2025!AL38</f>
        <v>351.7</v>
      </c>
      <c r="AN38">
        <f>Tabel2425678910111213141517161819212022232614[[#This Row],[Stand Bruisend liter einde maand]]-Tabel2425678910111213141517161819212022232614[[#This Row],[Stand Bruisend liter vorige maand]]</f>
        <v>27.100000000000023</v>
      </c>
      <c r="AO38" s="2">
        <f>Tabel2425678910111213141517161819212022232614[[#This Row],[Verbruik Bruisend liter deze maand]]/0.15</f>
        <v>180.66666666666683</v>
      </c>
      <c r="AP38" s="53">
        <v>118.1</v>
      </c>
      <c r="AQ38">
        <f>februari2025!AP38</f>
        <v>113</v>
      </c>
      <c r="AR38">
        <f>Tabel2425678910111213141517161819212022232614[[#This Row],[Stand licht bruisend liter einde maand]]-Tabel2425678910111213141517161819212022232614[[#This Row],[Stand licht bruisend liter vorige maand]]</f>
        <v>5.0999999999999943</v>
      </c>
      <c r="AS38" s="2">
        <f>Tabel2425678910111213141517161819212022232614[[#This Row],[Verbruik licht bruisend liter deze maand]]/0.15</f>
        <v>33.999999999999964</v>
      </c>
      <c r="AT38" s="53">
        <v>1534.7</v>
      </c>
      <c r="AU38">
        <f>februari2025!AT38</f>
        <v>1367.7</v>
      </c>
      <c r="AV38">
        <f>Tabel2425678910111213141517161819212022232614[[#This Row],[Stand heet water liter einde maand]]-Tabel2425678910111213141517161819212022232614[[#This Row],[Stand heet water liter vorige maand]]</f>
        <v>167</v>
      </c>
      <c r="AW38" s="2">
        <f>Tabel2425678910111213141517161819212022232614[[#This Row],[Verbruik heet Water liter deze maand ]]/0.15</f>
        <v>1113.3333333333335</v>
      </c>
      <c r="AX38" s="77">
        <f>Tabel2425678910111213141517161819212022232614[[#This Row],[Aantal consumpties heet water deze maand]]+Tabel2425678910111213141517161819212022232614[[#This Row],[Aantal consumpties licht bruisend water deze maand]]+Tabel2425678910111213141517161819212022232614[[#This Row],[aantal consumpties Bruisend water deze maand]]+Tabel2425678910111213141517161819212022232614[[#This Row],[Aantal consumpties gekoeld water deze maand]]+Tabel2425678910111213141517161819212022232614[[#This Row],[Aantal consumpties Kamertemp deze maand]]</f>
        <v>1651.9999999999998</v>
      </c>
      <c r="AY38" s="95">
        <f>Tabel2425678910111213141517161819212022232614[[#This Row],[Subtotaal waterbar in consumpties]]+Tabel2425678910111213141517161819212022232614[[#This Row],[Subtotaal koffieautomaten]]</f>
        <v>2517</v>
      </c>
    </row>
    <row r="39" spans="1:130" x14ac:dyDescent="0.25">
      <c r="A39" s="65" t="s">
        <v>60</v>
      </c>
      <c r="B39" t="s">
        <v>87</v>
      </c>
      <c r="C39" t="s">
        <v>31</v>
      </c>
      <c r="E39">
        <v>6332</v>
      </c>
      <c r="F39">
        <f>februari2025!E39</f>
        <v>6085</v>
      </c>
      <c r="G39">
        <f>Tabel2425678910111213141517161819212022232614[[#This Row],[Stand Coffee einde maand]]-Tabel2425678910111213141517161819212022232614[[#This Row],[Coffee vorige maand]]</f>
        <v>247</v>
      </c>
      <c r="H39" s="53">
        <v>1012</v>
      </c>
      <c r="I39">
        <f>februari2025!H39</f>
        <v>1000</v>
      </c>
      <c r="J39">
        <f>Tabel2425678910111213141517161819212022232614[[#This Row],[Stand Espresso Einde maand]]-Tabel2425678910111213141517161819212022232614[[#This Row],[Espresso vorige maand]]</f>
        <v>12</v>
      </c>
      <c r="K39" s="53">
        <v>678</v>
      </c>
      <c r="L39">
        <f>februari2025!K39</f>
        <v>655</v>
      </c>
      <c r="M39">
        <f>Tabel2425678910111213141517161819212022232614[[#This Row],[Stand Latte Macchiato einde maand]]-Tabel2425678910111213141517161819212022232614[[#This Row],[Latte Macchiato vorige maand]]</f>
        <v>23</v>
      </c>
      <c r="N39" s="53">
        <v>793</v>
      </c>
      <c r="O39">
        <f>februari2025!N39</f>
        <v>760</v>
      </c>
      <c r="P39">
        <f>Tabel2425678910111213141517161819212022232614[[#This Row],[Stand Coffee Latte einde maand]]-Tabel2425678910111213141517161819212022232614[[#This Row],[Coffee Latte vorige maand]]</f>
        <v>33</v>
      </c>
      <c r="Q39" s="53">
        <v>17354</v>
      </c>
      <c r="R39">
        <f>februari2025!Q39</f>
        <v>16718</v>
      </c>
      <c r="S39">
        <f>Tabel2425678910111213141517161819212022232614[[#This Row],[Stand Hot Water einde maand]]-Tabel2425678910111213141517161819212022232614[[#This Row],[Hot Water vorige maand]]</f>
        <v>636</v>
      </c>
      <c r="T39" s="53">
        <v>4106</v>
      </c>
      <c r="U39">
        <f>februari2025!T39</f>
        <v>3976</v>
      </c>
      <c r="V39">
        <f>Tabel2425678910111213141517161819212022232614[[#This Row],[Stand Cappucino einde maand]]-Tabel2425678910111213141517161819212022232614[[#This Row],[Stand Cappucino vorige maand]]</f>
        <v>130</v>
      </c>
      <c r="W39" s="53">
        <v>339</v>
      </c>
      <c r="X39">
        <f>februari2025!W39</f>
        <v>329</v>
      </c>
      <c r="Y39">
        <f>Tabel2425678910111213141517161819212022232614[[#This Row],[Stand Cappucino Plantaardig einde maand]]-Tabel2425678910111213141517161819212022232614[[#This Row],[Stand Cappucino Plantaardig vorige maand]]</f>
        <v>10</v>
      </c>
      <c r="Z39" s="53">
        <v>218</v>
      </c>
      <c r="AA39">
        <f>februari2025!Z39</f>
        <v>211</v>
      </c>
      <c r="AB39">
        <f>Tabel2425678910111213141517161819212022232614[[#This Row],[Stand Latte Macchiato Plantaardig einde maand]]-Tabel2425678910111213141517161819212022232614[[#This Row],[Stand Latte Macchiato Plantaardig vorige maand]]</f>
        <v>7</v>
      </c>
      <c r="AC39" s="71">
        <f>Tabel2425678910111213141517161819212022232614[[#This Row],[Verbruik Stand Latte Macchiato Plantaardig deze maand]]+Tabel2425678910111213141517161819212022232614[[#This Row],[Verbruik  Cappucino Plantaardig deze maand]]+Tabel2425678910111213141517161819212022232614[[#This Row],[Verbruik Cappucino deze maand]]+Tabel2425678910111213141517161819212022232614[[#This Row],[Verbruik Hot Water deze maand]]+Tabel2425678910111213141517161819212022232614[[#This Row],[Verbruik Coffee Latte deze maand]]+Tabel2425678910111213141517161819212022232614[[#This Row],[Verbruik Latte Macchiato deze maand]]+Tabel2425678910111213141517161819212022232614[[#This Row],[Verbruik Espresso deze maand]]+Tabel2425678910111213141517161819212022232614[[#This Row],[Verbruik Coffee deze maand]]</f>
        <v>1098</v>
      </c>
      <c r="AD39" s="69"/>
      <c r="AE39" s="41"/>
      <c r="AF39" s="5"/>
      <c r="AG39" s="5"/>
      <c r="AH39" s="75"/>
      <c r="AI39" s="41"/>
      <c r="AJ39" s="5"/>
      <c r="AK39" s="5"/>
      <c r="AL39" s="75"/>
      <c r="AM39" s="41"/>
      <c r="AN39" s="5"/>
      <c r="AO39" s="5"/>
      <c r="AP39" s="75"/>
      <c r="AQ39" s="41"/>
      <c r="AR39" s="5"/>
      <c r="AS39" s="5"/>
      <c r="AT39" s="75"/>
      <c r="AU39" s="41"/>
      <c r="AV39" s="5"/>
      <c r="AW39" s="5"/>
      <c r="AX39" s="79"/>
      <c r="AY39" s="95">
        <f>Tabel2425678910111213141517161819212022232614[[#This Row],[Subtotaal waterbar in consumpties]]+Tabel2425678910111213141517161819212022232614[[#This Row],[Subtotaal koffieautomaten]]</f>
        <v>1098</v>
      </c>
    </row>
    <row r="40" spans="1:130" s="81" customFormat="1" x14ac:dyDescent="0.25">
      <c r="A40" s="80" t="s">
        <v>88</v>
      </c>
      <c r="D40" s="82"/>
      <c r="F40" s="81">
        <f>februari2025!E40</f>
        <v>0</v>
      </c>
      <c r="H40" s="86"/>
      <c r="I40" s="81">
        <f>februari2025!H40</f>
        <v>0</v>
      </c>
      <c r="K40" s="86"/>
      <c r="L40" s="81">
        <f>februari2025!K40</f>
        <v>0</v>
      </c>
      <c r="N40" s="86"/>
      <c r="O40" s="81">
        <f>februari2025!N40</f>
        <v>0</v>
      </c>
      <c r="Q40" s="86"/>
      <c r="R40" s="81">
        <f>februari2025!Q40</f>
        <v>0</v>
      </c>
      <c r="T40" s="86"/>
      <c r="U40" s="81">
        <f>februari2025!T40</f>
        <v>0</v>
      </c>
      <c r="W40" s="86"/>
      <c r="X40" s="81">
        <f>februari2025!W40</f>
        <v>0</v>
      </c>
      <c r="Z40" s="86"/>
      <c r="AA40" s="81">
        <f>februari2025!Z40</f>
        <v>0</v>
      </c>
      <c r="AC40" s="85"/>
      <c r="AD40" s="86"/>
      <c r="AG40" s="87"/>
      <c r="AH40" s="86"/>
      <c r="AK40" s="87"/>
      <c r="AL40" s="86"/>
      <c r="AO40" s="87"/>
      <c r="AP40" s="86"/>
      <c r="AS40" s="87"/>
      <c r="AT40" s="86"/>
      <c r="AW40" s="87"/>
      <c r="AX40" s="88"/>
      <c r="AY40" s="94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</row>
    <row r="41" spans="1:130" x14ac:dyDescent="0.25">
      <c r="A41" s="65" t="s">
        <v>39</v>
      </c>
      <c r="B41" t="s">
        <v>89</v>
      </c>
      <c r="C41" t="s">
        <v>47</v>
      </c>
      <c r="E41">
        <v>7756</v>
      </c>
      <c r="F41">
        <f>februari2025!E41</f>
        <v>7175</v>
      </c>
      <c r="G41" s="40">
        <f>Tabel2425678910111213141517161819212022232614[[#This Row],[Stand Coffee einde maand]]-Tabel2425678910111213141517161819212022232614[[#This Row],[Coffee vorige maand]]</f>
        <v>581</v>
      </c>
      <c r="H41" s="53">
        <v>1866</v>
      </c>
      <c r="I41">
        <f>februari2025!H41</f>
        <v>1729</v>
      </c>
      <c r="J41" s="40">
        <f>Tabel2425678910111213141517161819212022232614[[#This Row],[Stand Espresso Einde maand]]-Tabel2425678910111213141517161819212022232614[[#This Row],[Espresso vorige maand]]</f>
        <v>137</v>
      </c>
      <c r="K41" s="53">
        <v>977</v>
      </c>
      <c r="L41">
        <f>februari2025!K41</f>
        <v>889</v>
      </c>
      <c r="M41" s="40">
        <f>Tabel2425678910111213141517161819212022232614[[#This Row],[Stand Latte Macchiato einde maand]]-Tabel2425678910111213141517161819212022232614[[#This Row],[Latte Macchiato vorige maand]]</f>
        <v>88</v>
      </c>
      <c r="N41" s="53">
        <v>539</v>
      </c>
      <c r="O41">
        <f>februari2025!N41</f>
        <v>504</v>
      </c>
      <c r="P41" s="40">
        <f>Tabel2425678910111213141517161819212022232614[[#This Row],[Stand Coffee Latte einde maand]]-Tabel2425678910111213141517161819212022232614[[#This Row],[Coffee Latte vorige maand]]</f>
        <v>35</v>
      </c>
      <c r="Q41" s="53">
        <v>3628</v>
      </c>
      <c r="R41">
        <f>februari2025!Q41</f>
        <v>3411</v>
      </c>
      <c r="S41" s="40">
        <f>Tabel2425678910111213141517161819212022232614[[#This Row],[Stand Hot Water einde maand]]-Tabel2425678910111213141517161819212022232614[[#This Row],[Hot Water vorige maand]]</f>
        <v>217</v>
      </c>
      <c r="T41" s="53">
        <v>6041</v>
      </c>
      <c r="U41">
        <f>februari2025!T41</f>
        <v>5675</v>
      </c>
      <c r="V41" s="40">
        <f>Tabel2425678910111213141517161819212022232614[[#This Row],[Stand Cappucino einde maand]]-Tabel2425678910111213141517161819212022232614[[#This Row],[Stand Cappucino vorige maand]]</f>
        <v>366</v>
      </c>
      <c r="W41" s="53">
        <v>504</v>
      </c>
      <c r="X41">
        <f>februari2025!W41</f>
        <v>467</v>
      </c>
      <c r="Y41" s="40">
        <f>Tabel2425678910111213141517161819212022232614[[#This Row],[Stand Cappucino Plantaardig einde maand]]-Tabel2425678910111213141517161819212022232614[[#This Row],[Stand Cappucino Plantaardig vorige maand]]</f>
        <v>37</v>
      </c>
      <c r="Z41" s="53">
        <v>184</v>
      </c>
      <c r="AA41">
        <f>februari2025!Z41</f>
        <v>169</v>
      </c>
      <c r="AB41" s="40">
        <f>Tabel2425678910111213141517161819212022232614[[#This Row],[Stand Latte Macchiato Plantaardig einde maand]]-Tabel2425678910111213141517161819212022232614[[#This Row],[Stand Latte Macchiato Plantaardig vorige maand]]</f>
        <v>15</v>
      </c>
      <c r="AC41" s="73">
        <f>Tabel2425678910111213141517161819212022232614[[#This Row],[Verbruik Stand Latte Macchiato Plantaardig deze maand]]+Tabel2425678910111213141517161819212022232614[[#This Row],[Verbruik  Cappucino Plantaardig deze maand]]+Tabel2425678910111213141517161819212022232614[[#This Row],[Verbruik Cappucino deze maand]]+Tabel2425678910111213141517161819212022232614[[#This Row],[Verbruik Hot Water deze maand]]+Tabel2425678910111213141517161819212022232614[[#This Row],[Verbruik Coffee Latte deze maand]]+Tabel2425678910111213141517161819212022232614[[#This Row],[Verbruik Latte Macchiato deze maand]]+Tabel2425678910111213141517161819212022232614[[#This Row],[Verbruik Espresso deze maand]]+Tabel2425678910111213141517161819212022232614[[#This Row],[Verbruik Coffee deze maand]]</f>
        <v>1476</v>
      </c>
      <c r="AD41" s="53">
        <v>142.9</v>
      </c>
      <c r="AE41">
        <f>februari2025!AD41</f>
        <v>125.4</v>
      </c>
      <c r="AF41">
        <f>Tabel2425678910111213141517161819212022232614[[#This Row],[Stand Kamertemp liter einde maand]]-Tabel2425678910111213141517161819212022232614[[#This Row],[Stand Kamertemp liter vorige maand]]</f>
        <v>17.5</v>
      </c>
      <c r="AG41" s="2">
        <f>Tabel2425678910111213141517161819212022232614[[#This Row],[Verbruik Kamertemp liter deze maand]]/0.15</f>
        <v>116.66666666666667</v>
      </c>
      <c r="AH41" s="53">
        <v>925.1</v>
      </c>
      <c r="AI41">
        <f>februari2025!AH41</f>
        <v>780.1</v>
      </c>
      <c r="AJ41">
        <f>Tabel2425678910111213141517161819212022232614[[#This Row],[Stand Gekoeld liter einde maand]]-Tabel2425678910111213141517161819212022232614[[#This Row],[Stand Gekoeld liter vorige maand]]</f>
        <v>145</v>
      </c>
      <c r="AK41" s="2">
        <f>Tabel2425678910111213141517161819212022232614[[#This Row],[Verbruik Gekoeld liter deze maand]]/0.15</f>
        <v>966.66666666666674</v>
      </c>
      <c r="AL41" s="53">
        <v>367.5</v>
      </c>
      <c r="AM41">
        <f>februari2025!AL41</f>
        <v>284.3</v>
      </c>
      <c r="AN41">
        <f>Tabel2425678910111213141517161819212022232614[[#This Row],[Stand Bruisend liter einde maand]]-Tabel2425678910111213141517161819212022232614[[#This Row],[Stand Bruisend liter vorige maand]]</f>
        <v>83.199999999999989</v>
      </c>
      <c r="AO41" s="2">
        <f>Tabel2425678910111213141517161819212022232614[[#This Row],[Verbruik Bruisend liter deze maand]]/0.15</f>
        <v>554.66666666666663</v>
      </c>
      <c r="AP41" s="53">
        <v>144.80000000000001</v>
      </c>
      <c r="AQ41">
        <f>februari2025!AP41</f>
        <v>109.6</v>
      </c>
      <c r="AR41">
        <f>Tabel2425678910111213141517161819212022232614[[#This Row],[Stand licht bruisend liter einde maand]]-Tabel2425678910111213141517161819212022232614[[#This Row],[Stand licht bruisend liter vorige maand]]</f>
        <v>35.200000000000017</v>
      </c>
      <c r="AS41" s="2">
        <f>Tabel2425678910111213141517161819212022232614[[#This Row],[Verbruik licht bruisend liter deze maand]]/0.15</f>
        <v>234.6666666666668</v>
      </c>
      <c r="AT41" s="53">
        <v>443.2</v>
      </c>
      <c r="AU41">
        <f>februari2025!AT41</f>
        <v>364.7</v>
      </c>
      <c r="AV41">
        <f>Tabel2425678910111213141517161819212022232614[[#This Row],[Stand heet water liter einde maand]]-Tabel2425678910111213141517161819212022232614[[#This Row],[Stand heet water liter vorige maand]]</f>
        <v>78.5</v>
      </c>
      <c r="AW41" s="2">
        <f>Tabel2425678910111213141517161819212022232614[[#This Row],[Verbruik heet Water liter deze maand ]]/0.15</f>
        <v>523.33333333333337</v>
      </c>
      <c r="AX41" s="77">
        <f>Tabel2425678910111213141517161819212022232614[[#This Row],[Aantal consumpties heet water deze maand]]+Tabel2425678910111213141517161819212022232614[[#This Row],[Aantal consumpties licht bruisend water deze maand]]+Tabel2425678910111213141517161819212022232614[[#This Row],[aantal consumpties Bruisend water deze maand]]+Tabel2425678910111213141517161819212022232614[[#This Row],[Aantal consumpties gekoeld water deze maand]]+Tabel2425678910111213141517161819212022232614[[#This Row],[Aantal consumpties Kamertemp deze maand]]</f>
        <v>2396.0000000000005</v>
      </c>
      <c r="AY41" s="95">
        <f>Tabel2425678910111213141517161819212022232614[[#This Row],[Subtotaal waterbar in consumpties]]+Tabel2425678910111213141517161819212022232614[[#This Row],[Subtotaal koffieautomaten]]</f>
        <v>3872.0000000000005</v>
      </c>
    </row>
    <row r="42" spans="1:130" x14ac:dyDescent="0.25">
      <c r="A42" s="65" t="s">
        <v>41</v>
      </c>
      <c r="B42" t="s">
        <v>90</v>
      </c>
      <c r="C42" t="s">
        <v>31</v>
      </c>
      <c r="E42">
        <v>12961</v>
      </c>
      <c r="F42">
        <f>februari2025!E42</f>
        <v>12592</v>
      </c>
      <c r="G42">
        <f>Tabel2425678910111213141517161819212022232614[[#This Row],[Stand Coffee einde maand]]-Tabel2425678910111213141517161819212022232614[[#This Row],[Coffee vorige maand]]</f>
        <v>369</v>
      </c>
      <c r="H42" s="53">
        <v>4353</v>
      </c>
      <c r="I42">
        <f>februari2025!H42</f>
        <v>4233</v>
      </c>
      <c r="J42">
        <f>Tabel2425678910111213141517161819212022232614[[#This Row],[Stand Espresso Einde maand]]-Tabel2425678910111213141517161819212022232614[[#This Row],[Espresso vorige maand]]</f>
        <v>120</v>
      </c>
      <c r="K42" s="53">
        <v>1102</v>
      </c>
      <c r="L42">
        <f>februari2025!K42</f>
        <v>1088</v>
      </c>
      <c r="M42">
        <f>Tabel2425678910111213141517161819212022232614[[#This Row],[Stand Latte Macchiato einde maand]]-Tabel2425678910111213141517161819212022232614[[#This Row],[Latte Macchiato vorige maand]]</f>
        <v>14</v>
      </c>
      <c r="N42" s="53">
        <v>2105</v>
      </c>
      <c r="O42">
        <f>februari2025!N42</f>
        <v>1968</v>
      </c>
      <c r="P42">
        <f>Tabel2425678910111213141517161819212022232614[[#This Row],[Stand Coffee Latte einde maand]]-Tabel2425678910111213141517161819212022232614[[#This Row],[Coffee Latte vorige maand]]</f>
        <v>137</v>
      </c>
      <c r="Q42" s="53">
        <v>38261</v>
      </c>
      <c r="R42">
        <f>februari2025!Q42</f>
        <v>36456</v>
      </c>
      <c r="S42">
        <f>Tabel2425678910111213141517161819212022232614[[#This Row],[Stand Hot Water einde maand]]-Tabel2425678910111213141517161819212022232614[[#This Row],[Hot Water vorige maand]]</f>
        <v>1805</v>
      </c>
      <c r="T42" s="53">
        <v>5810</v>
      </c>
      <c r="U42">
        <f>februari2025!T42</f>
        <v>5550</v>
      </c>
      <c r="V42">
        <f>Tabel2425678910111213141517161819212022232614[[#This Row],[Stand Cappucino einde maand]]-Tabel2425678910111213141517161819212022232614[[#This Row],[Stand Cappucino vorige maand]]</f>
        <v>260</v>
      </c>
      <c r="W42" s="53">
        <v>453</v>
      </c>
      <c r="X42">
        <f>februari2025!W42</f>
        <v>435</v>
      </c>
      <c r="Y42">
        <f>Tabel2425678910111213141517161819212022232614[[#This Row],[Stand Cappucino Plantaardig einde maand]]-Tabel2425678910111213141517161819212022232614[[#This Row],[Stand Cappucino Plantaardig vorige maand]]</f>
        <v>18</v>
      </c>
      <c r="Z42" s="53">
        <v>368</v>
      </c>
      <c r="AA42">
        <f>februari2025!Z42</f>
        <v>323</v>
      </c>
      <c r="AB42">
        <f>Tabel2425678910111213141517161819212022232614[[#This Row],[Stand Latte Macchiato Plantaardig einde maand]]-Tabel2425678910111213141517161819212022232614[[#This Row],[Stand Latte Macchiato Plantaardig vorige maand]]</f>
        <v>45</v>
      </c>
      <c r="AC42" s="71">
        <f>Tabel2425678910111213141517161819212022232614[[#This Row],[Verbruik Stand Latte Macchiato Plantaardig deze maand]]+Tabel2425678910111213141517161819212022232614[[#This Row],[Verbruik  Cappucino Plantaardig deze maand]]+Tabel2425678910111213141517161819212022232614[[#This Row],[Verbruik Cappucino deze maand]]+Tabel2425678910111213141517161819212022232614[[#This Row],[Verbruik Hot Water deze maand]]+Tabel2425678910111213141517161819212022232614[[#This Row],[Verbruik Coffee Latte deze maand]]+Tabel2425678910111213141517161819212022232614[[#This Row],[Verbruik Latte Macchiato deze maand]]+Tabel2425678910111213141517161819212022232614[[#This Row],[Verbruik Espresso deze maand]]+Tabel2425678910111213141517161819212022232614[[#This Row],[Verbruik Coffee deze maand]]</f>
        <v>2768</v>
      </c>
      <c r="AD42" s="69"/>
      <c r="AE42" s="41"/>
      <c r="AF42" s="5"/>
      <c r="AG42" s="5"/>
      <c r="AH42" s="75"/>
      <c r="AI42" s="41"/>
      <c r="AJ42" s="5"/>
      <c r="AK42" s="5"/>
      <c r="AL42" s="75"/>
      <c r="AM42" s="41"/>
      <c r="AN42" s="5"/>
      <c r="AO42" s="5"/>
      <c r="AP42" s="75"/>
      <c r="AQ42" s="41"/>
      <c r="AR42" s="5"/>
      <c r="AS42" s="5"/>
      <c r="AT42" s="75"/>
      <c r="AU42" s="41"/>
      <c r="AV42" s="5"/>
      <c r="AW42" s="5"/>
      <c r="AX42" s="79"/>
      <c r="AY42" s="95">
        <f>Tabel2425678910111213141517161819212022232614[[#This Row],[Subtotaal waterbar in consumpties]]+Tabel2425678910111213141517161819212022232614[[#This Row],[Subtotaal koffieautomaten]]</f>
        <v>2768</v>
      </c>
    </row>
    <row r="43" spans="1:130" x14ac:dyDescent="0.25">
      <c r="A43" s="65" t="s">
        <v>43</v>
      </c>
      <c r="B43" t="s">
        <v>91</v>
      </c>
      <c r="C43" t="s">
        <v>47</v>
      </c>
      <c r="E43">
        <v>14417</v>
      </c>
      <c r="F43">
        <f>februari2025!E43</f>
        <v>13858</v>
      </c>
      <c r="G43">
        <f>Tabel2425678910111213141517161819212022232614[[#This Row],[Stand Coffee einde maand]]-Tabel2425678910111213141517161819212022232614[[#This Row],[Coffee vorige maand]]</f>
        <v>559</v>
      </c>
      <c r="H43" s="53">
        <v>2879</v>
      </c>
      <c r="I43">
        <f>februari2025!H43</f>
        <v>2762</v>
      </c>
      <c r="J43">
        <f>Tabel2425678910111213141517161819212022232614[[#This Row],[Stand Espresso Einde maand]]-Tabel2425678910111213141517161819212022232614[[#This Row],[Espresso vorige maand]]</f>
        <v>117</v>
      </c>
      <c r="K43" s="53">
        <v>650</v>
      </c>
      <c r="L43">
        <f>februari2025!K43</f>
        <v>582</v>
      </c>
      <c r="M43">
        <f>Tabel2425678910111213141517161819212022232614[[#This Row],[Stand Latte Macchiato einde maand]]-Tabel2425678910111213141517161819212022232614[[#This Row],[Latte Macchiato vorige maand]]</f>
        <v>68</v>
      </c>
      <c r="N43" s="53">
        <v>1208</v>
      </c>
      <c r="O43">
        <f>februari2025!N43</f>
        <v>1178</v>
      </c>
      <c r="P43">
        <f>Tabel2425678910111213141517161819212022232614[[#This Row],[Stand Coffee Latte einde maand]]-Tabel2425678910111213141517161819212022232614[[#This Row],[Coffee Latte vorige maand]]</f>
        <v>30</v>
      </c>
      <c r="Q43" s="53">
        <v>1560</v>
      </c>
      <c r="R43">
        <f>februari2025!Q43</f>
        <v>1479</v>
      </c>
      <c r="S43">
        <f>Tabel2425678910111213141517161819212022232614[[#This Row],[Stand Hot Water einde maand]]-Tabel2425678910111213141517161819212022232614[[#This Row],[Hot Water vorige maand]]</f>
        <v>81</v>
      </c>
      <c r="T43" s="53">
        <v>4464</v>
      </c>
      <c r="U43">
        <f>februari2025!T43</f>
        <v>4286</v>
      </c>
      <c r="V43">
        <f>Tabel2425678910111213141517161819212022232614[[#This Row],[Stand Cappucino einde maand]]-Tabel2425678910111213141517161819212022232614[[#This Row],[Stand Cappucino vorige maand]]</f>
        <v>178</v>
      </c>
      <c r="W43" s="53">
        <v>3344</v>
      </c>
      <c r="X43">
        <f>februari2025!W43</f>
        <v>3243</v>
      </c>
      <c r="Y43">
        <f>Tabel2425678910111213141517161819212022232614[[#This Row],[Stand Cappucino Plantaardig einde maand]]-Tabel2425678910111213141517161819212022232614[[#This Row],[Stand Cappucino Plantaardig vorige maand]]</f>
        <v>101</v>
      </c>
      <c r="Z43" s="53">
        <v>385</v>
      </c>
      <c r="AA43">
        <f>februari2025!Z43</f>
        <v>379</v>
      </c>
      <c r="AB43">
        <f>Tabel2425678910111213141517161819212022232614[[#This Row],[Stand Latte Macchiato Plantaardig einde maand]]-Tabel2425678910111213141517161819212022232614[[#This Row],[Stand Latte Macchiato Plantaardig vorige maand]]</f>
        <v>6</v>
      </c>
      <c r="AC43" s="71">
        <f>Tabel2425678910111213141517161819212022232614[[#This Row],[Verbruik Stand Latte Macchiato Plantaardig deze maand]]+Tabel2425678910111213141517161819212022232614[[#This Row],[Verbruik  Cappucino Plantaardig deze maand]]+Tabel2425678910111213141517161819212022232614[[#This Row],[Verbruik Cappucino deze maand]]+Tabel2425678910111213141517161819212022232614[[#This Row],[Verbruik Hot Water deze maand]]+Tabel2425678910111213141517161819212022232614[[#This Row],[Verbruik Coffee Latte deze maand]]+Tabel2425678910111213141517161819212022232614[[#This Row],[Verbruik Latte Macchiato deze maand]]+Tabel2425678910111213141517161819212022232614[[#This Row],[Verbruik Espresso deze maand]]+Tabel2425678910111213141517161819212022232614[[#This Row],[Verbruik Coffee deze maand]]</f>
        <v>1140</v>
      </c>
      <c r="AD43" s="53">
        <v>199.8</v>
      </c>
      <c r="AE43">
        <f>februari2025!AD43</f>
        <v>170</v>
      </c>
      <c r="AF43">
        <f>Tabel2425678910111213141517161819212022232614[[#This Row],[Stand Kamertemp liter einde maand]]-Tabel2425678910111213141517161819212022232614[[#This Row],[Stand Kamertemp liter vorige maand]]</f>
        <v>29.800000000000011</v>
      </c>
      <c r="AG43" s="2">
        <f>Tabel2425678910111213141517161819212022232614[[#This Row],[Verbruik Kamertemp liter deze maand]]/0.15</f>
        <v>198.66666666666674</v>
      </c>
      <c r="AH43" s="53">
        <v>1321.6</v>
      </c>
      <c r="AI43">
        <f>februari2025!AH43</f>
        <v>1150.5</v>
      </c>
      <c r="AJ43">
        <f>Tabel2425678910111213141517161819212022232614[[#This Row],[Stand Gekoeld liter einde maand]]-Tabel2425678910111213141517161819212022232614[[#This Row],[Stand Gekoeld liter vorige maand]]</f>
        <v>171.09999999999991</v>
      </c>
      <c r="AK43" s="2">
        <f>Tabel2425678910111213141517161819212022232614[[#This Row],[Verbruik Gekoeld liter deze maand]]/0.15</f>
        <v>1140.6666666666661</v>
      </c>
      <c r="AL43" s="53">
        <v>908</v>
      </c>
      <c r="AM43">
        <f>februari2025!AL43</f>
        <v>804</v>
      </c>
      <c r="AN43">
        <f>Tabel2425678910111213141517161819212022232614[[#This Row],[Stand Bruisend liter einde maand]]-Tabel2425678910111213141517161819212022232614[[#This Row],[Stand Bruisend liter vorige maand]]</f>
        <v>104</v>
      </c>
      <c r="AO43" s="2">
        <f>Tabel2425678910111213141517161819212022232614[[#This Row],[Verbruik Bruisend liter deze maand]]/0.15</f>
        <v>693.33333333333337</v>
      </c>
      <c r="AP43" s="53">
        <v>334.4</v>
      </c>
      <c r="AQ43">
        <f>februari2025!AP43</f>
        <v>292</v>
      </c>
      <c r="AR43">
        <f>Tabel2425678910111213141517161819212022232614[[#This Row],[Stand licht bruisend liter einde maand]]-Tabel2425678910111213141517161819212022232614[[#This Row],[Stand licht bruisend liter vorige maand]]</f>
        <v>42.399999999999977</v>
      </c>
      <c r="AS43" s="2">
        <f>Tabel2425678910111213141517161819212022232614[[#This Row],[Verbruik licht bruisend liter deze maand]]/0.15</f>
        <v>282.66666666666652</v>
      </c>
      <c r="AT43" s="53">
        <v>3640.1</v>
      </c>
      <c r="AU43">
        <f>februari2025!AT43</f>
        <v>3153.7</v>
      </c>
      <c r="AV43">
        <f>Tabel2425678910111213141517161819212022232614[[#This Row],[Stand heet water liter einde maand]]-Tabel2425678910111213141517161819212022232614[[#This Row],[Stand heet water liter vorige maand]]</f>
        <v>486.40000000000009</v>
      </c>
      <c r="AW43" s="2">
        <f>Tabel2425678910111213141517161819212022232614[[#This Row],[Verbruik heet Water liter deze maand ]]/0.15</f>
        <v>3242.6666666666674</v>
      </c>
      <c r="AX43" s="77">
        <f>Tabel2425678910111213141517161819212022232614[[#This Row],[Aantal consumpties heet water deze maand]]+Tabel2425678910111213141517161819212022232614[[#This Row],[Aantal consumpties licht bruisend water deze maand]]+Tabel2425678910111213141517161819212022232614[[#This Row],[aantal consumpties Bruisend water deze maand]]+Tabel2425678910111213141517161819212022232614[[#This Row],[Aantal consumpties gekoeld water deze maand]]+Tabel2425678910111213141517161819212022232614[[#This Row],[Aantal consumpties Kamertemp deze maand]]</f>
        <v>5558</v>
      </c>
      <c r="AY43" s="95">
        <f>Tabel2425678910111213141517161819212022232614[[#This Row],[Subtotaal waterbar in consumpties]]+Tabel2425678910111213141517161819212022232614[[#This Row],[Subtotaal koffieautomaten]]</f>
        <v>6698</v>
      </c>
    </row>
    <row r="44" spans="1:130" x14ac:dyDescent="0.25">
      <c r="A44" s="65" t="s">
        <v>45</v>
      </c>
      <c r="B44" t="s">
        <v>92</v>
      </c>
      <c r="C44" t="s">
        <v>36</v>
      </c>
      <c r="E44" s="46"/>
      <c r="F44" s="46"/>
      <c r="G44" s="47"/>
      <c r="H44" s="54"/>
      <c r="I44" s="46"/>
      <c r="J44" s="47"/>
      <c r="K44" s="54"/>
      <c r="L44" s="46"/>
      <c r="M44" s="47"/>
      <c r="N44" s="54"/>
      <c r="O44" s="46"/>
      <c r="P44" s="47"/>
      <c r="Q44" s="54"/>
      <c r="R44" s="46"/>
      <c r="S44" s="47"/>
      <c r="T44" s="54"/>
      <c r="U44" s="46"/>
      <c r="V44" s="47"/>
      <c r="W44" s="54"/>
      <c r="X44" s="46"/>
      <c r="Y44" s="47"/>
      <c r="Z44" s="54"/>
      <c r="AA44" s="46"/>
      <c r="AB44" s="47"/>
      <c r="AC44" s="72"/>
      <c r="AD44" s="53">
        <v>148.6</v>
      </c>
      <c r="AE44">
        <f>februari2025!AD44</f>
        <v>126.5</v>
      </c>
      <c r="AF44">
        <f>Tabel2425678910111213141517161819212022232614[[#This Row],[Stand Kamertemp liter einde maand]]-Tabel2425678910111213141517161819212022232614[[#This Row],[Stand Kamertemp liter vorige maand]]</f>
        <v>22.099999999999994</v>
      </c>
      <c r="AG44" s="2">
        <f>Tabel2425678910111213141517161819212022232614[[#This Row],[Verbruik Kamertemp liter deze maand]]/0.15</f>
        <v>147.33333333333331</v>
      </c>
      <c r="AH44" s="53">
        <v>422</v>
      </c>
      <c r="AI44">
        <f>februari2025!AH44</f>
        <v>357</v>
      </c>
      <c r="AJ44">
        <f>Tabel2425678910111213141517161819212022232614[[#This Row],[Stand Gekoeld liter einde maand]]-Tabel2425678910111213141517161819212022232614[[#This Row],[Stand Gekoeld liter vorige maand]]</f>
        <v>65</v>
      </c>
      <c r="AK44" s="2">
        <f>Tabel2425678910111213141517161819212022232614[[#This Row],[Verbruik Gekoeld liter deze maand]]/0.15</f>
        <v>433.33333333333337</v>
      </c>
      <c r="AL44" s="53">
        <v>479.8</v>
      </c>
      <c r="AM44">
        <f>februari2025!AL44</f>
        <v>378.7</v>
      </c>
      <c r="AN44">
        <f>Tabel2425678910111213141517161819212022232614[[#This Row],[Stand Bruisend liter einde maand]]-Tabel2425678910111213141517161819212022232614[[#This Row],[Stand Bruisend liter vorige maand]]</f>
        <v>101.10000000000002</v>
      </c>
      <c r="AO44" s="2">
        <f>Tabel2425678910111213141517161819212022232614[[#This Row],[Verbruik Bruisend liter deze maand]]/0.15</f>
        <v>674.00000000000023</v>
      </c>
      <c r="AP44" s="53">
        <v>100.2</v>
      </c>
      <c r="AQ44">
        <f>februari2025!AP44</f>
        <v>75.900000000000006</v>
      </c>
      <c r="AR44">
        <f>Tabel2425678910111213141517161819212022232614[[#This Row],[Stand licht bruisend liter einde maand]]-Tabel2425678910111213141517161819212022232614[[#This Row],[Stand licht bruisend liter vorige maand]]</f>
        <v>24.299999999999997</v>
      </c>
      <c r="AS44" s="2">
        <f>Tabel2425678910111213141517161819212022232614[[#This Row],[Verbruik licht bruisend liter deze maand]]/0.15</f>
        <v>162</v>
      </c>
      <c r="AT44" s="53">
        <v>1594</v>
      </c>
      <c r="AU44">
        <f>februari2025!AT44</f>
        <v>1331.7</v>
      </c>
      <c r="AV44">
        <f>Tabel2425678910111213141517161819212022232614[[#This Row],[Stand heet water liter einde maand]]-Tabel2425678910111213141517161819212022232614[[#This Row],[Stand heet water liter vorige maand]]</f>
        <v>262.29999999999995</v>
      </c>
      <c r="AW44" s="2">
        <f>Tabel2425678910111213141517161819212022232614[[#This Row],[Verbruik heet Water liter deze maand ]]/0.15</f>
        <v>1748.6666666666665</v>
      </c>
      <c r="AX44" s="77">
        <f>Tabel2425678910111213141517161819212022232614[[#This Row],[Aantal consumpties heet water deze maand]]+Tabel2425678910111213141517161819212022232614[[#This Row],[Aantal consumpties licht bruisend water deze maand]]+Tabel2425678910111213141517161819212022232614[[#This Row],[aantal consumpties Bruisend water deze maand]]+Tabel2425678910111213141517161819212022232614[[#This Row],[Aantal consumpties gekoeld water deze maand]]+Tabel2425678910111213141517161819212022232614[[#This Row],[Aantal consumpties Kamertemp deze maand]]</f>
        <v>3165.3333333333339</v>
      </c>
      <c r="AY44" s="95">
        <f>Tabel2425678910111213141517161819212022232614[[#This Row],[Subtotaal waterbar in consumpties]]+Tabel2425678910111213141517161819212022232614[[#This Row],[Subtotaal koffieautomaten]]</f>
        <v>3165.3333333333339</v>
      </c>
    </row>
    <row r="45" spans="1:130" x14ac:dyDescent="0.25">
      <c r="A45" s="65" t="s">
        <v>48</v>
      </c>
      <c r="B45" t="s">
        <v>158</v>
      </c>
      <c r="C45" t="s">
        <v>31</v>
      </c>
      <c r="E45">
        <v>24566</v>
      </c>
      <c r="F45">
        <f>februari2025!E45</f>
        <v>23380</v>
      </c>
      <c r="G45">
        <f>Tabel2425678910111213141517161819212022232614[[#This Row],[Stand Coffee einde maand]]-Tabel2425678910111213141517161819212022232614[[#This Row],[Coffee vorige maand]]</f>
        <v>1186</v>
      </c>
      <c r="H45" s="53">
        <v>6325</v>
      </c>
      <c r="I45">
        <f>februari2025!H45</f>
        <v>5976</v>
      </c>
      <c r="J45">
        <f>Tabel2425678910111213141517161819212022232614[[#This Row],[Stand Espresso Einde maand]]-Tabel2425678910111213141517161819212022232614[[#This Row],[Espresso vorige maand]]</f>
        <v>349</v>
      </c>
      <c r="K45" s="53">
        <v>2432</v>
      </c>
      <c r="L45">
        <f>februari2025!K45</f>
        <v>2321</v>
      </c>
      <c r="M45">
        <f>Tabel2425678910111213141517161819212022232614[[#This Row],[Stand Latte Macchiato einde maand]]-Tabel2425678910111213141517161819212022232614[[#This Row],[Latte Macchiato vorige maand]]</f>
        <v>111</v>
      </c>
      <c r="N45" s="53">
        <v>544</v>
      </c>
      <c r="O45">
        <f>februari2025!N45</f>
        <v>519</v>
      </c>
      <c r="P45">
        <f>Tabel2425678910111213141517161819212022232614[[#This Row],[Stand Coffee Latte einde maand]]-Tabel2425678910111213141517161819212022232614[[#This Row],[Coffee Latte vorige maand]]</f>
        <v>25</v>
      </c>
      <c r="Q45" s="53">
        <v>23713</v>
      </c>
      <c r="R45">
        <f>februari2025!Q45</f>
        <v>22526</v>
      </c>
      <c r="S45">
        <f>Tabel2425678910111213141517161819212022232614[[#This Row],[Stand Hot Water einde maand]]-Tabel2425678910111213141517161819212022232614[[#This Row],[Hot Water vorige maand]]</f>
        <v>1187</v>
      </c>
      <c r="T45" s="53">
        <v>9010</v>
      </c>
      <c r="U45">
        <f>februari2025!T45</f>
        <v>8530</v>
      </c>
      <c r="V45">
        <f>Tabel2425678910111213141517161819212022232614[[#This Row],[Stand Cappucino einde maand]]-Tabel2425678910111213141517161819212022232614[[#This Row],[Stand Cappucino vorige maand]]</f>
        <v>480</v>
      </c>
      <c r="W45" s="53">
        <v>1524</v>
      </c>
      <c r="X45">
        <f>februari2025!W45</f>
        <v>1473</v>
      </c>
      <c r="Y45">
        <f>Tabel2425678910111213141517161819212022232614[[#This Row],[Stand Cappucino Plantaardig einde maand]]-Tabel2425678910111213141517161819212022232614[[#This Row],[Stand Cappucino Plantaardig vorige maand]]</f>
        <v>51</v>
      </c>
      <c r="Z45" s="53">
        <v>1121</v>
      </c>
      <c r="AA45">
        <f>februari2025!Z45</f>
        <v>1071</v>
      </c>
      <c r="AB45">
        <f>Tabel2425678910111213141517161819212022232614[[#This Row],[Stand Latte Macchiato Plantaardig einde maand]]-Tabel2425678910111213141517161819212022232614[[#This Row],[Stand Latte Macchiato Plantaardig vorige maand]]</f>
        <v>50</v>
      </c>
      <c r="AC45" s="71">
        <f>Tabel2425678910111213141517161819212022232614[[#This Row],[Verbruik Stand Latte Macchiato Plantaardig deze maand]]+Tabel2425678910111213141517161819212022232614[[#This Row],[Verbruik  Cappucino Plantaardig deze maand]]+Tabel2425678910111213141517161819212022232614[[#This Row],[Verbruik Cappucino deze maand]]+Tabel2425678910111213141517161819212022232614[[#This Row],[Verbruik Hot Water deze maand]]+Tabel2425678910111213141517161819212022232614[[#This Row],[Verbruik Coffee Latte deze maand]]+Tabel2425678910111213141517161819212022232614[[#This Row],[Verbruik Latte Macchiato deze maand]]+Tabel2425678910111213141517161819212022232614[[#This Row],[Verbruik Espresso deze maand]]+Tabel2425678910111213141517161819212022232614[[#This Row],[Verbruik Coffee deze maand]]</f>
        <v>3439</v>
      </c>
      <c r="AD45" s="69"/>
      <c r="AE45" s="41"/>
      <c r="AF45" s="5"/>
      <c r="AG45" s="5"/>
      <c r="AH45" s="75"/>
      <c r="AI45" s="41"/>
      <c r="AJ45" s="5"/>
      <c r="AK45" s="5"/>
      <c r="AL45" s="75"/>
      <c r="AM45" s="41"/>
      <c r="AN45" s="5"/>
      <c r="AO45" s="5"/>
      <c r="AP45" s="75"/>
      <c r="AQ45" s="41"/>
      <c r="AR45" s="5"/>
      <c r="AS45" s="5"/>
      <c r="AT45" s="75"/>
      <c r="AU45" s="41"/>
      <c r="AV45" s="5"/>
      <c r="AW45" s="5"/>
      <c r="AX45" s="79"/>
      <c r="AY45" s="95">
        <f>Tabel2425678910111213141517161819212022232614[[#This Row],[Subtotaal waterbar in consumpties]]+Tabel2425678910111213141517161819212022232614[[#This Row],[Subtotaal koffieautomaten]]</f>
        <v>3439</v>
      </c>
    </row>
    <row r="46" spans="1:130" x14ac:dyDescent="0.25">
      <c r="A46" s="65" t="s">
        <v>50</v>
      </c>
      <c r="B46" t="s">
        <v>93</v>
      </c>
      <c r="C46" t="s">
        <v>36</v>
      </c>
      <c r="E46" s="46"/>
      <c r="F46" s="46"/>
      <c r="G46" s="47"/>
      <c r="H46" s="54"/>
      <c r="I46" s="46"/>
      <c r="J46" s="47"/>
      <c r="K46" s="54"/>
      <c r="L46" s="46"/>
      <c r="M46" s="47"/>
      <c r="N46" s="54"/>
      <c r="O46" s="46"/>
      <c r="P46" s="47"/>
      <c r="Q46" s="54"/>
      <c r="R46" s="46"/>
      <c r="S46" s="47"/>
      <c r="T46" s="54"/>
      <c r="U46" s="46"/>
      <c r="V46" s="47"/>
      <c r="W46" s="54"/>
      <c r="X46" s="46"/>
      <c r="Y46" s="47"/>
      <c r="Z46" s="54"/>
      <c r="AA46" s="46"/>
      <c r="AB46" s="47"/>
      <c r="AC46" s="72"/>
      <c r="AD46" s="53">
        <v>60.9</v>
      </c>
      <c r="AE46">
        <f>februari2025!AD46</f>
        <v>57.7</v>
      </c>
      <c r="AF46">
        <f>Tabel2425678910111213141517161819212022232614[[#This Row],[Stand Kamertemp liter einde maand]]-Tabel2425678910111213141517161819212022232614[[#This Row],[Stand Kamertemp liter vorige maand]]</f>
        <v>3.1999999999999957</v>
      </c>
      <c r="AG46" s="2">
        <f>Tabel2425678910111213141517161819212022232614[[#This Row],[Verbruik Kamertemp liter deze maand]]/0.15</f>
        <v>21.333333333333307</v>
      </c>
      <c r="AH46" s="53">
        <v>433.5</v>
      </c>
      <c r="AI46">
        <f>februari2025!AH46</f>
        <v>367.7</v>
      </c>
      <c r="AJ46">
        <f>Tabel2425678910111213141517161819212022232614[[#This Row],[Stand Gekoeld liter einde maand]]-Tabel2425678910111213141517161819212022232614[[#This Row],[Stand Gekoeld liter vorige maand]]</f>
        <v>65.800000000000011</v>
      </c>
      <c r="AK46" s="2">
        <f>Tabel2425678910111213141517161819212022232614[[#This Row],[Verbruik Gekoeld liter deze maand]]/0.15</f>
        <v>438.66666666666674</v>
      </c>
      <c r="AL46" s="53">
        <v>227</v>
      </c>
      <c r="AM46">
        <f>februari2025!AL46</f>
        <v>191</v>
      </c>
      <c r="AN46">
        <f>Tabel2425678910111213141517161819212022232614[[#This Row],[Stand Bruisend liter einde maand]]-Tabel2425678910111213141517161819212022232614[[#This Row],[Stand Bruisend liter vorige maand]]</f>
        <v>36</v>
      </c>
      <c r="AO46" s="2">
        <f>Tabel2425678910111213141517161819212022232614[[#This Row],[Verbruik Bruisend liter deze maand]]/0.15</f>
        <v>240</v>
      </c>
      <c r="AP46" s="53">
        <v>92.7</v>
      </c>
      <c r="AQ46">
        <f>februari2025!AP46</f>
        <v>79.7</v>
      </c>
      <c r="AR46">
        <f>Tabel2425678910111213141517161819212022232614[[#This Row],[Stand licht bruisend liter einde maand]]-Tabel2425678910111213141517161819212022232614[[#This Row],[Stand licht bruisend liter vorige maand]]</f>
        <v>13</v>
      </c>
      <c r="AS46" s="2">
        <f>Tabel2425678910111213141517161819212022232614[[#This Row],[Verbruik licht bruisend liter deze maand]]/0.15</f>
        <v>86.666666666666671</v>
      </c>
      <c r="AT46" s="53">
        <v>1106</v>
      </c>
      <c r="AU46">
        <f>februari2025!AT46</f>
        <v>996.9</v>
      </c>
      <c r="AV46">
        <f>Tabel2425678910111213141517161819212022232614[[#This Row],[Stand heet water liter einde maand]]-Tabel2425678910111213141517161819212022232614[[#This Row],[Stand heet water liter vorige maand]]</f>
        <v>109.10000000000002</v>
      </c>
      <c r="AW46" s="2">
        <f>Tabel2425678910111213141517161819212022232614[[#This Row],[Verbruik heet Water liter deze maand ]]/0.15</f>
        <v>727.33333333333348</v>
      </c>
      <c r="AX46" s="77">
        <f>Tabel2425678910111213141517161819212022232614[[#This Row],[Aantal consumpties heet water deze maand]]+Tabel2425678910111213141517161819212022232614[[#This Row],[Aantal consumpties licht bruisend water deze maand]]+Tabel2425678910111213141517161819212022232614[[#This Row],[aantal consumpties Bruisend water deze maand]]+Tabel2425678910111213141517161819212022232614[[#This Row],[Aantal consumpties gekoeld water deze maand]]+Tabel2425678910111213141517161819212022232614[[#This Row],[Aantal consumpties Kamertemp deze maand]]</f>
        <v>1514</v>
      </c>
      <c r="AY46" s="95">
        <f>Tabel2425678910111213141517161819212022232614[[#This Row],[Subtotaal waterbar in consumpties]]+Tabel2425678910111213141517161819212022232614[[#This Row],[Subtotaal koffieautomaten]]</f>
        <v>1514</v>
      </c>
    </row>
    <row r="47" spans="1:130" x14ac:dyDescent="0.25">
      <c r="A47" s="67">
        <v>10</v>
      </c>
      <c r="B47" t="s">
        <v>94</v>
      </c>
      <c r="C47" t="s">
        <v>31</v>
      </c>
      <c r="E47">
        <v>9048</v>
      </c>
      <c r="F47">
        <f>februari2025!E47</f>
        <v>8725</v>
      </c>
      <c r="G47">
        <f>Tabel2425678910111213141517161819212022232614[[#This Row],[Stand Coffee einde maand]]-Tabel2425678910111213141517161819212022232614[[#This Row],[Coffee vorige maand]]</f>
        <v>323</v>
      </c>
      <c r="H47" s="53">
        <v>7112</v>
      </c>
      <c r="I47">
        <f>februari2025!H47</f>
        <v>6735</v>
      </c>
      <c r="J47">
        <f>Tabel2425678910111213141517161819212022232614[[#This Row],[Stand Espresso Einde maand]]-Tabel2425678910111213141517161819212022232614[[#This Row],[Espresso vorige maand]]</f>
        <v>377</v>
      </c>
      <c r="K47" s="53">
        <v>1197</v>
      </c>
      <c r="L47">
        <f>februari2025!K47</f>
        <v>1134</v>
      </c>
      <c r="M47">
        <f>Tabel2425678910111213141517161819212022232614[[#This Row],[Stand Latte Macchiato einde maand]]-Tabel2425678910111213141517161819212022232614[[#This Row],[Latte Macchiato vorige maand]]</f>
        <v>63</v>
      </c>
      <c r="N47" s="53">
        <v>870</v>
      </c>
      <c r="O47">
        <f>februari2025!N47</f>
        <v>819</v>
      </c>
      <c r="P47">
        <f>Tabel2425678910111213141517161819212022232614[[#This Row],[Stand Coffee Latte einde maand]]-Tabel2425678910111213141517161819212022232614[[#This Row],[Coffee Latte vorige maand]]</f>
        <v>51</v>
      </c>
      <c r="Q47" s="53">
        <v>18340</v>
      </c>
      <c r="R47">
        <f>februari2025!Q47</f>
        <v>17560</v>
      </c>
      <c r="S47">
        <f>Tabel2425678910111213141517161819212022232614[[#This Row],[Stand Hot Water einde maand]]-Tabel2425678910111213141517161819212022232614[[#This Row],[Hot Water vorige maand]]</f>
        <v>780</v>
      </c>
      <c r="T47" s="53">
        <v>7280</v>
      </c>
      <c r="U47">
        <f>februari2025!T47</f>
        <v>7104</v>
      </c>
      <c r="V47">
        <f>Tabel2425678910111213141517161819212022232614[[#This Row],[Stand Cappucino einde maand]]-Tabel2425678910111213141517161819212022232614[[#This Row],[Stand Cappucino vorige maand]]</f>
        <v>176</v>
      </c>
      <c r="W47" s="53">
        <v>1001</v>
      </c>
      <c r="X47">
        <f>februari2025!W47</f>
        <v>986</v>
      </c>
      <c r="Y47">
        <f>Tabel2425678910111213141517161819212022232614[[#This Row],[Stand Cappucino Plantaardig einde maand]]-Tabel2425678910111213141517161819212022232614[[#This Row],[Stand Cappucino Plantaardig vorige maand]]</f>
        <v>15</v>
      </c>
      <c r="Z47" s="53">
        <v>189</v>
      </c>
      <c r="AA47">
        <f>februari2025!Z47</f>
        <v>183</v>
      </c>
      <c r="AB47">
        <f>Tabel2425678910111213141517161819212022232614[[#This Row],[Stand Latte Macchiato Plantaardig einde maand]]-Tabel2425678910111213141517161819212022232614[[#This Row],[Stand Latte Macchiato Plantaardig vorige maand]]</f>
        <v>6</v>
      </c>
      <c r="AC47" s="71">
        <f>Tabel2425678910111213141517161819212022232614[[#This Row],[Verbruik Stand Latte Macchiato Plantaardig deze maand]]+Tabel2425678910111213141517161819212022232614[[#This Row],[Verbruik  Cappucino Plantaardig deze maand]]+Tabel2425678910111213141517161819212022232614[[#This Row],[Verbruik Cappucino deze maand]]+Tabel2425678910111213141517161819212022232614[[#This Row],[Verbruik Hot Water deze maand]]+Tabel2425678910111213141517161819212022232614[[#This Row],[Verbruik Coffee Latte deze maand]]+Tabel2425678910111213141517161819212022232614[[#This Row],[Verbruik Latte Macchiato deze maand]]+Tabel2425678910111213141517161819212022232614[[#This Row],[Verbruik Espresso deze maand]]+Tabel2425678910111213141517161819212022232614[[#This Row],[Verbruik Coffee deze maand]]</f>
        <v>1791</v>
      </c>
      <c r="AD47" s="69"/>
      <c r="AE47" s="41"/>
      <c r="AF47" s="5"/>
      <c r="AG47" s="5"/>
      <c r="AH47" s="75"/>
      <c r="AI47" s="41"/>
      <c r="AJ47" s="5"/>
      <c r="AK47" s="5"/>
      <c r="AL47" s="75"/>
      <c r="AM47" s="41"/>
      <c r="AN47" s="5"/>
      <c r="AO47" s="5"/>
      <c r="AP47" s="75"/>
      <c r="AQ47" s="41"/>
      <c r="AR47" s="5"/>
      <c r="AS47" s="5"/>
      <c r="AT47" s="75"/>
      <c r="AU47" s="41"/>
      <c r="AV47" s="5"/>
      <c r="AW47" s="5"/>
      <c r="AX47" s="79"/>
      <c r="AY47" s="95">
        <f>Tabel2425678910111213141517161819212022232614[[#This Row],[Subtotaal waterbar in consumpties]]+Tabel2425678910111213141517161819212022232614[[#This Row],[Subtotaal koffieautomaten]]</f>
        <v>1791</v>
      </c>
    </row>
    <row r="48" spans="1:130" x14ac:dyDescent="0.25">
      <c r="A48" s="65" t="s">
        <v>54</v>
      </c>
      <c r="B48" t="s">
        <v>95</v>
      </c>
      <c r="C48" t="s">
        <v>47</v>
      </c>
      <c r="E48">
        <v>11177</v>
      </c>
      <c r="F48">
        <f>februari2025!E48</f>
        <v>10766</v>
      </c>
      <c r="G48">
        <f>Tabel2425678910111213141517161819212022232614[[#This Row],[Stand Coffee einde maand]]-Tabel2425678910111213141517161819212022232614[[#This Row],[Coffee vorige maand]]</f>
        <v>411</v>
      </c>
      <c r="H48" s="53">
        <v>3459</v>
      </c>
      <c r="I48">
        <f>februari2025!H48</f>
        <v>3293</v>
      </c>
      <c r="J48">
        <f>Tabel2425678910111213141517161819212022232614[[#This Row],[Stand Espresso Einde maand]]-Tabel2425678910111213141517161819212022232614[[#This Row],[Espresso vorige maand]]</f>
        <v>166</v>
      </c>
      <c r="K48" s="53">
        <v>1061</v>
      </c>
      <c r="L48">
        <f>februari2025!K48</f>
        <v>1017</v>
      </c>
      <c r="M48">
        <f>Tabel2425678910111213141517161819212022232614[[#This Row],[Stand Latte Macchiato einde maand]]-Tabel2425678910111213141517161819212022232614[[#This Row],[Latte Macchiato vorige maand]]</f>
        <v>44</v>
      </c>
      <c r="N48" s="53">
        <v>526</v>
      </c>
      <c r="O48">
        <f>februari2025!N48</f>
        <v>502</v>
      </c>
      <c r="P48">
        <f>Tabel2425678910111213141517161819212022232614[[#This Row],[Stand Coffee Latte einde maand]]-Tabel2425678910111213141517161819212022232614[[#This Row],[Coffee Latte vorige maand]]</f>
        <v>24</v>
      </c>
      <c r="Q48" s="53">
        <v>0</v>
      </c>
      <c r="R48">
        <f>februari2025!Q48</f>
        <v>0</v>
      </c>
      <c r="S48">
        <v>0</v>
      </c>
      <c r="T48" s="53">
        <v>5129</v>
      </c>
      <c r="U48">
        <f>februari2025!T48</f>
        <v>4926</v>
      </c>
      <c r="V48">
        <f>Tabel2425678910111213141517161819212022232614[[#This Row],[Stand Cappucino einde maand]]-Tabel2425678910111213141517161819212022232614[[#This Row],[Stand Cappucino vorige maand]]</f>
        <v>203</v>
      </c>
      <c r="W48" s="53">
        <v>1253</v>
      </c>
      <c r="X48">
        <f>februari2025!W48</f>
        <v>1224</v>
      </c>
      <c r="Y48">
        <f>Tabel2425678910111213141517161819212022232614[[#This Row],[Stand Cappucino Plantaardig einde maand]]-Tabel2425678910111213141517161819212022232614[[#This Row],[Stand Cappucino Plantaardig vorige maand]]</f>
        <v>29</v>
      </c>
      <c r="Z48" s="53">
        <v>711</v>
      </c>
      <c r="AA48">
        <f>februari2025!Z48</f>
        <v>693</v>
      </c>
      <c r="AB48">
        <f>Tabel2425678910111213141517161819212022232614[[#This Row],[Stand Latte Macchiato Plantaardig einde maand]]-Tabel2425678910111213141517161819212022232614[[#This Row],[Stand Latte Macchiato Plantaardig vorige maand]]</f>
        <v>18</v>
      </c>
      <c r="AC48" s="71">
        <f>Tabel2425678910111213141517161819212022232614[[#This Row],[Verbruik Stand Latte Macchiato Plantaardig deze maand]]+Tabel2425678910111213141517161819212022232614[[#This Row],[Verbruik  Cappucino Plantaardig deze maand]]+Tabel2425678910111213141517161819212022232614[[#This Row],[Verbruik Cappucino deze maand]]+Tabel2425678910111213141517161819212022232614[[#This Row],[Verbruik Hot Water deze maand]]+Tabel2425678910111213141517161819212022232614[[#This Row],[Verbruik Coffee Latte deze maand]]+Tabel2425678910111213141517161819212022232614[[#This Row],[Verbruik Latte Macchiato deze maand]]+Tabel2425678910111213141517161819212022232614[[#This Row],[Verbruik Espresso deze maand]]+Tabel2425678910111213141517161819212022232614[[#This Row],[Verbruik Coffee deze maand]]</f>
        <v>895</v>
      </c>
      <c r="AD48" s="53">
        <v>125.9</v>
      </c>
      <c r="AE48">
        <f>februari2025!AD48</f>
        <v>99.6</v>
      </c>
      <c r="AF48">
        <f>Tabel2425678910111213141517161819212022232614[[#This Row],[Stand Kamertemp liter einde maand]]-Tabel2425678910111213141517161819212022232614[[#This Row],[Stand Kamertemp liter vorige maand]]</f>
        <v>26.300000000000011</v>
      </c>
      <c r="AG48" s="2">
        <f>Tabel2425678910111213141517161819212022232614[[#This Row],[Verbruik Kamertemp liter deze maand]]/0.15</f>
        <v>175.33333333333343</v>
      </c>
      <c r="AH48" s="53">
        <v>1093.9000000000001</v>
      </c>
      <c r="AI48">
        <f>februari2025!AH48</f>
        <v>973.9</v>
      </c>
      <c r="AJ48">
        <f>Tabel2425678910111213141517161819212022232614[[#This Row],[Stand Gekoeld liter einde maand]]-Tabel2425678910111213141517161819212022232614[[#This Row],[Stand Gekoeld liter vorige maand]]</f>
        <v>120.00000000000011</v>
      </c>
      <c r="AK48" s="2">
        <f>Tabel2425678910111213141517161819212022232614[[#This Row],[Verbruik Gekoeld liter deze maand]]/0.15</f>
        <v>800.0000000000008</v>
      </c>
      <c r="AL48" s="53">
        <v>523.9</v>
      </c>
      <c r="AM48">
        <f>februari2025!AL48</f>
        <v>443.1</v>
      </c>
      <c r="AN48">
        <f>Tabel2425678910111213141517161819212022232614[[#This Row],[Stand Bruisend liter einde maand]]-Tabel2425678910111213141517161819212022232614[[#This Row],[Stand Bruisend liter vorige maand]]</f>
        <v>80.799999999999955</v>
      </c>
      <c r="AO48" s="2">
        <f>Tabel2425678910111213141517161819212022232614[[#This Row],[Verbruik Bruisend liter deze maand]]/0.15</f>
        <v>538.6666666666664</v>
      </c>
      <c r="AP48" s="53">
        <v>213.5</v>
      </c>
      <c r="AQ48">
        <f>februari2025!AP48</f>
        <v>184.6</v>
      </c>
      <c r="AR48">
        <f>Tabel2425678910111213141517161819212022232614[[#This Row],[Stand licht bruisend liter einde maand]]-Tabel2425678910111213141517161819212022232614[[#This Row],[Stand licht bruisend liter vorige maand]]</f>
        <v>28.900000000000006</v>
      </c>
      <c r="AS48" s="2">
        <f>Tabel2425678910111213141517161819212022232614[[#This Row],[Verbruik licht bruisend liter deze maand]]/0.15</f>
        <v>192.66666666666671</v>
      </c>
      <c r="AT48" s="53">
        <v>2074.8000000000002</v>
      </c>
      <c r="AU48">
        <f>februari2025!AT48</f>
        <v>1785.4</v>
      </c>
      <c r="AV48">
        <f>Tabel2425678910111213141517161819212022232614[[#This Row],[Stand heet water liter einde maand]]-Tabel2425678910111213141517161819212022232614[[#This Row],[Stand heet water liter vorige maand]]</f>
        <v>289.40000000000009</v>
      </c>
      <c r="AW48" s="2">
        <f>Tabel2425678910111213141517161819212022232614[[#This Row],[Verbruik heet Water liter deze maand ]]/0.15</f>
        <v>1929.3333333333339</v>
      </c>
      <c r="AX48" s="77">
        <f>Tabel2425678910111213141517161819212022232614[[#This Row],[Aantal consumpties heet water deze maand]]+Tabel2425678910111213141517161819212022232614[[#This Row],[Aantal consumpties licht bruisend water deze maand]]+Tabel2425678910111213141517161819212022232614[[#This Row],[aantal consumpties Bruisend water deze maand]]+Tabel2425678910111213141517161819212022232614[[#This Row],[Aantal consumpties gekoeld water deze maand]]+Tabel2425678910111213141517161819212022232614[[#This Row],[Aantal consumpties Kamertemp deze maand]]</f>
        <v>3636.0000000000014</v>
      </c>
      <c r="AY48" s="95">
        <f>Tabel2425678910111213141517161819212022232614[[#This Row],[Subtotaal waterbar in consumpties]]+Tabel2425678910111213141517161819212022232614[[#This Row],[Subtotaal koffieautomaten]]</f>
        <v>4531.0000000000018</v>
      </c>
    </row>
    <row r="49" spans="1:130" x14ac:dyDescent="0.25">
      <c r="A49" s="65" t="s">
        <v>56</v>
      </c>
      <c r="B49" t="s">
        <v>96</v>
      </c>
      <c r="C49" t="s">
        <v>36</v>
      </c>
      <c r="E49" s="46"/>
      <c r="F49" s="46"/>
      <c r="G49" s="47"/>
      <c r="H49" s="54"/>
      <c r="I49" s="46"/>
      <c r="J49" s="47"/>
      <c r="K49" s="54"/>
      <c r="L49" s="46"/>
      <c r="M49" s="47"/>
      <c r="N49" s="54"/>
      <c r="O49" s="46"/>
      <c r="P49" s="47"/>
      <c r="Q49" s="54"/>
      <c r="R49" s="46"/>
      <c r="S49" s="47"/>
      <c r="T49" s="54"/>
      <c r="U49" s="46"/>
      <c r="V49" s="47"/>
      <c r="W49" s="54"/>
      <c r="X49" s="46"/>
      <c r="Y49" s="47"/>
      <c r="Z49" s="54"/>
      <c r="AA49" s="46"/>
      <c r="AB49" s="47"/>
      <c r="AC49" s="72"/>
      <c r="AD49" s="53">
        <v>97.4</v>
      </c>
      <c r="AE49">
        <f>februari2025!AD49</f>
        <v>80.5</v>
      </c>
      <c r="AF49">
        <f>Tabel2425678910111213141517161819212022232614[[#This Row],[Stand Kamertemp liter einde maand]]-Tabel2425678910111213141517161819212022232614[[#This Row],[Stand Kamertemp liter vorige maand]]</f>
        <v>16.900000000000006</v>
      </c>
      <c r="AG49" s="2">
        <f>Tabel2425678910111213141517161819212022232614[[#This Row],[Verbruik Kamertemp liter deze maand]]/0.15</f>
        <v>112.66666666666671</v>
      </c>
      <c r="AH49" s="53">
        <v>652.5</v>
      </c>
      <c r="AI49">
        <f>februari2025!AH49</f>
        <v>559.29999999999995</v>
      </c>
      <c r="AJ49">
        <f>Tabel2425678910111213141517161819212022232614[[#This Row],[Stand Gekoeld liter einde maand]]-Tabel2425678910111213141517161819212022232614[[#This Row],[Stand Gekoeld liter vorige maand]]</f>
        <v>93.200000000000045</v>
      </c>
      <c r="AK49" s="2">
        <f>Tabel2425678910111213141517161819212022232614[[#This Row],[Verbruik Gekoeld liter deze maand]]/0.15</f>
        <v>621.33333333333371</v>
      </c>
      <c r="AL49" s="53">
        <v>276.8</v>
      </c>
      <c r="AM49">
        <f>februari2025!AL49</f>
        <v>223.7</v>
      </c>
      <c r="AN49">
        <f>Tabel2425678910111213141517161819212022232614[[#This Row],[Stand Bruisend liter einde maand]]-Tabel2425678910111213141517161819212022232614[[#This Row],[Stand Bruisend liter vorige maand]]</f>
        <v>53.100000000000023</v>
      </c>
      <c r="AO49" s="2">
        <f>Tabel2425678910111213141517161819212022232614[[#This Row],[Verbruik Bruisend liter deze maand]]/0.15</f>
        <v>354.00000000000017</v>
      </c>
      <c r="AP49" s="53">
        <v>163.4</v>
      </c>
      <c r="AQ49">
        <f>februari2025!AP49</f>
        <v>122.6</v>
      </c>
      <c r="AR49">
        <f>Tabel2425678910111213141517161819212022232614[[#This Row],[Stand licht bruisend liter einde maand]]-Tabel2425678910111213141517161819212022232614[[#This Row],[Stand licht bruisend liter vorige maand]]</f>
        <v>40.800000000000011</v>
      </c>
      <c r="AS49" s="2">
        <f>Tabel2425678910111213141517161819212022232614[[#This Row],[Verbruik licht bruisend liter deze maand]]/0.15</f>
        <v>272.00000000000011</v>
      </c>
      <c r="AT49" s="53">
        <v>1759.1</v>
      </c>
      <c r="AU49">
        <f>februari2025!AT49</f>
        <v>1464</v>
      </c>
      <c r="AV49">
        <f>Tabel2425678910111213141517161819212022232614[[#This Row],[Stand heet water liter einde maand]]-Tabel2425678910111213141517161819212022232614[[#This Row],[Stand heet water liter vorige maand]]</f>
        <v>295.09999999999991</v>
      </c>
      <c r="AW49" s="2">
        <f>Tabel2425678910111213141517161819212022232614[[#This Row],[Verbruik heet Water liter deze maand ]]/0.15</f>
        <v>1967.3333333333328</v>
      </c>
      <c r="AX49" s="77">
        <f>Tabel2425678910111213141517161819212022232614[[#This Row],[Aantal consumpties heet water deze maand]]+Tabel2425678910111213141517161819212022232614[[#This Row],[Aantal consumpties licht bruisend water deze maand]]+Tabel2425678910111213141517161819212022232614[[#This Row],[aantal consumpties Bruisend water deze maand]]+Tabel2425678910111213141517161819212022232614[[#This Row],[Aantal consumpties gekoeld water deze maand]]+Tabel2425678910111213141517161819212022232614[[#This Row],[Aantal consumpties Kamertemp deze maand]]</f>
        <v>3327.3333333333335</v>
      </c>
      <c r="AY49" s="95">
        <f>Tabel2425678910111213141517161819212022232614[[#This Row],[Subtotaal waterbar in consumpties]]+Tabel2425678910111213141517161819212022232614[[#This Row],[Subtotaal koffieautomaten]]</f>
        <v>3327.3333333333335</v>
      </c>
    </row>
    <row r="50" spans="1:130" x14ac:dyDescent="0.25">
      <c r="A50" s="65" t="s">
        <v>58</v>
      </c>
      <c r="B50" t="s">
        <v>97</v>
      </c>
      <c r="C50" t="s">
        <v>31</v>
      </c>
      <c r="E50">
        <v>13337</v>
      </c>
      <c r="F50">
        <f>februari2025!E50</f>
        <v>12680</v>
      </c>
      <c r="G50">
        <f>Tabel2425678910111213141517161819212022232614[[#This Row],[Stand Coffee einde maand]]-Tabel2425678910111213141517161819212022232614[[#This Row],[Coffee vorige maand]]</f>
        <v>657</v>
      </c>
      <c r="H50" s="53">
        <v>3656</v>
      </c>
      <c r="I50">
        <f>februari2025!H50</f>
        <v>3503</v>
      </c>
      <c r="J50">
        <f>Tabel2425678910111213141517161819212022232614[[#This Row],[Stand Espresso Einde maand]]-Tabel2425678910111213141517161819212022232614[[#This Row],[Espresso vorige maand]]</f>
        <v>153</v>
      </c>
      <c r="K50" s="53">
        <v>1441</v>
      </c>
      <c r="L50">
        <f>februari2025!K50</f>
        <v>1381</v>
      </c>
      <c r="M50">
        <f>Tabel2425678910111213141517161819212022232614[[#This Row],[Stand Latte Macchiato einde maand]]-Tabel2425678910111213141517161819212022232614[[#This Row],[Latte Macchiato vorige maand]]</f>
        <v>60</v>
      </c>
      <c r="N50" s="53">
        <v>1325</v>
      </c>
      <c r="O50">
        <f>februari2025!N50</f>
        <v>1291</v>
      </c>
      <c r="P50">
        <f>Tabel2425678910111213141517161819212022232614[[#This Row],[Stand Coffee Latte einde maand]]-Tabel2425678910111213141517161819212022232614[[#This Row],[Coffee Latte vorige maand]]</f>
        <v>34</v>
      </c>
      <c r="Q50" s="53">
        <v>12660</v>
      </c>
      <c r="R50">
        <f>februari2025!Q50</f>
        <v>12119</v>
      </c>
      <c r="S50">
        <f>Tabel2425678910111213141517161819212022232614[[#This Row],[Stand Hot Water einde maand]]-Tabel2425678910111213141517161819212022232614[[#This Row],[Hot Water vorige maand]]</f>
        <v>541</v>
      </c>
      <c r="T50" s="53">
        <v>8081</v>
      </c>
      <c r="U50">
        <f>februari2025!T50</f>
        <v>7760</v>
      </c>
      <c r="V50">
        <f>Tabel2425678910111213141517161819212022232614[[#This Row],[Stand Cappucino einde maand]]-Tabel2425678910111213141517161819212022232614[[#This Row],[Stand Cappucino vorige maand]]</f>
        <v>321</v>
      </c>
      <c r="W50" s="53">
        <v>1508</v>
      </c>
      <c r="X50">
        <f>februari2025!W50</f>
        <v>1457</v>
      </c>
      <c r="Y50">
        <f>Tabel2425678910111213141517161819212022232614[[#This Row],[Stand Cappucino Plantaardig einde maand]]-Tabel2425678910111213141517161819212022232614[[#This Row],[Stand Cappucino Plantaardig vorige maand]]</f>
        <v>51</v>
      </c>
      <c r="Z50" s="53">
        <v>339</v>
      </c>
      <c r="AA50">
        <f>februari2025!Z50</f>
        <v>316</v>
      </c>
      <c r="AB50">
        <f>Tabel2425678910111213141517161819212022232614[[#This Row],[Stand Latte Macchiato Plantaardig einde maand]]-Tabel2425678910111213141517161819212022232614[[#This Row],[Stand Latte Macchiato Plantaardig vorige maand]]</f>
        <v>23</v>
      </c>
      <c r="AC50" s="71">
        <f>Tabel2425678910111213141517161819212022232614[[#This Row],[Verbruik Stand Latte Macchiato Plantaardig deze maand]]+Tabel2425678910111213141517161819212022232614[[#This Row],[Verbruik  Cappucino Plantaardig deze maand]]+Tabel2425678910111213141517161819212022232614[[#This Row],[Verbruik Cappucino deze maand]]+Tabel2425678910111213141517161819212022232614[[#This Row],[Verbruik Hot Water deze maand]]+Tabel2425678910111213141517161819212022232614[[#This Row],[Verbruik Coffee Latte deze maand]]+Tabel2425678910111213141517161819212022232614[[#This Row],[Verbruik Latte Macchiato deze maand]]+Tabel2425678910111213141517161819212022232614[[#This Row],[Verbruik Espresso deze maand]]+Tabel2425678910111213141517161819212022232614[[#This Row],[Verbruik Coffee deze maand]]</f>
        <v>1840</v>
      </c>
      <c r="AD50" s="69"/>
      <c r="AE50" s="41"/>
      <c r="AF50" s="5"/>
      <c r="AG50" s="5"/>
      <c r="AH50" s="75"/>
      <c r="AI50" s="41"/>
      <c r="AJ50" s="5"/>
      <c r="AK50" s="5"/>
      <c r="AL50" s="75"/>
      <c r="AM50" s="41"/>
      <c r="AN50" s="5"/>
      <c r="AO50" s="5"/>
      <c r="AP50" s="75"/>
      <c r="AQ50" s="41"/>
      <c r="AR50" s="5"/>
      <c r="AS50" s="5"/>
      <c r="AT50" s="75"/>
      <c r="AU50" s="41"/>
      <c r="AV50" s="5"/>
      <c r="AW50" s="5"/>
      <c r="AX50" s="79"/>
      <c r="AY50" s="95">
        <f>Tabel2425678910111213141517161819212022232614[[#This Row],[Subtotaal waterbar in consumpties]]+Tabel2425678910111213141517161819212022232614[[#This Row],[Subtotaal koffieautomaten]]</f>
        <v>1840</v>
      </c>
    </row>
    <row r="51" spans="1:130" x14ac:dyDescent="0.25">
      <c r="A51" s="65" t="s">
        <v>60</v>
      </c>
      <c r="B51" t="s">
        <v>98</v>
      </c>
      <c r="C51" t="s">
        <v>47</v>
      </c>
      <c r="E51">
        <v>8210</v>
      </c>
      <c r="F51">
        <f>februari2025!E51</f>
        <v>7848</v>
      </c>
      <c r="G51">
        <f>Tabel2425678910111213141517161819212022232614[[#This Row],[Stand Coffee einde maand]]-Tabel2425678910111213141517161819212022232614[[#This Row],[Coffee vorige maand]]</f>
        <v>362</v>
      </c>
      <c r="H51" s="53">
        <v>2620</v>
      </c>
      <c r="I51">
        <f>februari2025!H51</f>
        <v>2382</v>
      </c>
      <c r="J51">
        <f>Tabel2425678910111213141517161819212022232614[[#This Row],[Stand Espresso Einde maand]]-Tabel2425678910111213141517161819212022232614[[#This Row],[Espresso vorige maand]]</f>
        <v>238</v>
      </c>
      <c r="K51" s="53">
        <v>812</v>
      </c>
      <c r="L51">
        <f>februari2025!K51</f>
        <v>765</v>
      </c>
      <c r="M51">
        <f>Tabel2425678910111213141517161819212022232614[[#This Row],[Stand Latte Macchiato einde maand]]-Tabel2425678910111213141517161819212022232614[[#This Row],[Latte Macchiato vorige maand]]</f>
        <v>47</v>
      </c>
      <c r="N51" s="53">
        <v>1086</v>
      </c>
      <c r="O51">
        <f>februari2025!N51</f>
        <v>1018</v>
      </c>
      <c r="P51">
        <f>Tabel2425678910111213141517161819212022232614[[#This Row],[Stand Coffee Latte einde maand]]-Tabel2425678910111213141517161819212022232614[[#This Row],[Coffee Latte vorige maand]]</f>
        <v>68</v>
      </c>
      <c r="Q51" s="53">
        <v>1</v>
      </c>
      <c r="R51">
        <f>februari2025!Q51</f>
        <v>1</v>
      </c>
      <c r="S51">
        <f>Tabel2425678910111213141517161819212022232614[[#This Row],[Stand Hot Water einde maand]]-Tabel2425678910111213141517161819212022232614[[#This Row],[Hot Water vorige maand]]</f>
        <v>0</v>
      </c>
      <c r="T51" s="53">
        <v>5331</v>
      </c>
      <c r="U51">
        <f>februari2025!T51</f>
        <v>4953</v>
      </c>
      <c r="V51">
        <f>Tabel2425678910111213141517161819212022232614[[#This Row],[Stand Cappucino einde maand]]-Tabel2425678910111213141517161819212022232614[[#This Row],[Stand Cappucino vorige maand]]</f>
        <v>378</v>
      </c>
      <c r="W51" s="53">
        <v>739</v>
      </c>
      <c r="X51">
        <f>februari2025!W51</f>
        <v>686</v>
      </c>
      <c r="Y51">
        <f>Tabel2425678910111213141517161819212022232614[[#This Row],[Stand Cappucino Plantaardig einde maand]]-Tabel2425678910111213141517161819212022232614[[#This Row],[Stand Cappucino Plantaardig vorige maand]]</f>
        <v>53</v>
      </c>
      <c r="Z51" s="53">
        <v>168</v>
      </c>
      <c r="AA51">
        <f>februari2025!Z51</f>
        <v>165</v>
      </c>
      <c r="AB51">
        <f>Tabel2425678910111213141517161819212022232614[[#This Row],[Stand Latte Macchiato Plantaardig einde maand]]-Tabel2425678910111213141517161819212022232614[[#This Row],[Stand Latte Macchiato Plantaardig vorige maand]]</f>
        <v>3</v>
      </c>
      <c r="AC51" s="71">
        <f>Tabel2425678910111213141517161819212022232614[[#This Row],[Verbruik Stand Latte Macchiato Plantaardig deze maand]]+Tabel2425678910111213141517161819212022232614[[#This Row],[Verbruik  Cappucino Plantaardig deze maand]]+Tabel2425678910111213141517161819212022232614[[#This Row],[Verbruik Cappucino deze maand]]+Tabel2425678910111213141517161819212022232614[[#This Row],[Verbruik Hot Water deze maand]]+Tabel2425678910111213141517161819212022232614[[#This Row],[Verbruik Coffee Latte deze maand]]+Tabel2425678910111213141517161819212022232614[[#This Row],[Verbruik Latte Macchiato deze maand]]+Tabel2425678910111213141517161819212022232614[[#This Row],[Verbruik Espresso deze maand]]+Tabel2425678910111213141517161819212022232614[[#This Row],[Verbruik Coffee deze maand]]</f>
        <v>1149</v>
      </c>
      <c r="AD51" s="53">
        <v>32.4</v>
      </c>
      <c r="AE51">
        <f>februari2025!AD51</f>
        <v>27.2</v>
      </c>
      <c r="AF51">
        <f>Tabel2425678910111213141517161819212022232614[[#This Row],[Stand Kamertemp liter einde maand]]-Tabel2425678910111213141517161819212022232614[[#This Row],[Stand Kamertemp liter vorige maand]]</f>
        <v>5.1999999999999993</v>
      </c>
      <c r="AG51" s="2">
        <f>Tabel2425678910111213141517161819212022232614[[#This Row],[Verbruik Kamertemp liter deze maand]]/0.15</f>
        <v>34.666666666666664</v>
      </c>
      <c r="AH51" s="53">
        <v>367.2</v>
      </c>
      <c r="AI51">
        <f>februari2025!AH51</f>
        <v>266</v>
      </c>
      <c r="AJ51">
        <f>Tabel2425678910111213141517161819212022232614[[#This Row],[Stand Gekoeld liter einde maand]]-Tabel2425678910111213141517161819212022232614[[#This Row],[Stand Gekoeld liter vorige maand]]</f>
        <v>101.19999999999999</v>
      </c>
      <c r="AK51" s="2">
        <f>Tabel2425678910111213141517161819212022232614[[#This Row],[Verbruik Gekoeld liter deze maand]]/0.15</f>
        <v>674.66666666666663</v>
      </c>
      <c r="AL51" s="53">
        <v>270.39999999999998</v>
      </c>
      <c r="AM51">
        <f>februari2025!AL51</f>
        <v>192.3</v>
      </c>
      <c r="AN51">
        <f>Tabel2425678910111213141517161819212022232614[[#This Row],[Stand Bruisend liter einde maand]]-Tabel2425678910111213141517161819212022232614[[#This Row],[Stand Bruisend liter vorige maand]]</f>
        <v>78.099999999999966</v>
      </c>
      <c r="AO51" s="2">
        <f>Tabel2425678910111213141517161819212022232614[[#This Row],[Verbruik Bruisend liter deze maand]]/0.15</f>
        <v>520.66666666666652</v>
      </c>
      <c r="AP51" s="53">
        <v>44.5</v>
      </c>
      <c r="AQ51">
        <f>februari2025!AP51</f>
        <v>29.2</v>
      </c>
      <c r="AR51">
        <f>Tabel2425678910111213141517161819212022232614[[#This Row],[Stand licht bruisend liter einde maand]]-Tabel2425678910111213141517161819212022232614[[#This Row],[Stand licht bruisend liter vorige maand]]</f>
        <v>15.3</v>
      </c>
      <c r="AS51" s="2">
        <f>Tabel2425678910111213141517161819212022232614[[#This Row],[Verbruik licht bruisend liter deze maand]]/0.15</f>
        <v>102.00000000000001</v>
      </c>
      <c r="AT51" s="53">
        <v>847.6</v>
      </c>
      <c r="AU51">
        <f>februari2025!AT51</f>
        <v>679.3</v>
      </c>
      <c r="AV51">
        <f>Tabel2425678910111213141517161819212022232614[[#This Row],[Stand heet water liter einde maand]]-Tabel2425678910111213141517161819212022232614[[#This Row],[Stand heet water liter vorige maand]]</f>
        <v>168.30000000000007</v>
      </c>
      <c r="AW51" s="2">
        <f>Tabel2425678910111213141517161819212022232614[[#This Row],[Verbruik heet Water liter deze maand ]]/0.15</f>
        <v>1122.0000000000005</v>
      </c>
      <c r="AX51" s="77">
        <f>Tabel2425678910111213141517161819212022232614[[#This Row],[Aantal consumpties heet water deze maand]]+Tabel2425678910111213141517161819212022232614[[#This Row],[Aantal consumpties licht bruisend water deze maand]]+Tabel2425678910111213141517161819212022232614[[#This Row],[aantal consumpties Bruisend water deze maand]]+Tabel2425678910111213141517161819212022232614[[#This Row],[Aantal consumpties gekoeld water deze maand]]+Tabel2425678910111213141517161819212022232614[[#This Row],[Aantal consumpties Kamertemp deze maand]]</f>
        <v>2454</v>
      </c>
      <c r="AY51" s="95">
        <f>Tabel2425678910111213141517161819212022232614[[#This Row],[Subtotaal waterbar in consumpties]]+Tabel2425678910111213141517161819212022232614[[#This Row],[Subtotaal koffieautomaten]]</f>
        <v>3603</v>
      </c>
    </row>
    <row r="52" spans="1:130" s="81" customFormat="1" x14ac:dyDescent="0.25">
      <c r="A52" s="80" t="s">
        <v>99</v>
      </c>
      <c r="D52" s="82"/>
      <c r="F52" s="81">
        <f>februari2025!E52</f>
        <v>0</v>
      </c>
      <c r="H52" s="86"/>
      <c r="I52" s="81">
        <f>februari2025!H52</f>
        <v>0</v>
      </c>
      <c r="K52" s="86"/>
      <c r="L52" s="81">
        <f>februari2025!K52</f>
        <v>0</v>
      </c>
      <c r="N52" s="86"/>
      <c r="O52" s="81">
        <f>februari2025!N52</f>
        <v>0</v>
      </c>
      <c r="Q52" s="86"/>
      <c r="R52" s="81">
        <f>februari2025!Q52</f>
        <v>0</v>
      </c>
      <c r="T52" s="86"/>
      <c r="U52" s="81">
        <f>februari2025!T52</f>
        <v>0</v>
      </c>
      <c r="W52" s="86"/>
      <c r="X52" s="81">
        <f>februari2025!W52</f>
        <v>0</v>
      </c>
      <c r="Z52" s="86"/>
      <c r="AA52" s="81">
        <f>februari2025!Z52</f>
        <v>0</v>
      </c>
      <c r="AC52" s="85"/>
      <c r="AD52" s="86"/>
      <c r="AG52" s="87"/>
      <c r="AH52" s="86"/>
      <c r="AK52" s="87"/>
      <c r="AL52" s="86"/>
      <c r="AO52" s="87"/>
      <c r="AP52" s="86"/>
      <c r="AS52" s="87"/>
      <c r="AT52" s="86"/>
      <c r="AW52" s="87"/>
      <c r="AX52" s="88"/>
      <c r="AY52" s="94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</row>
    <row r="53" spans="1:130" x14ac:dyDescent="0.25">
      <c r="A53" s="65" t="s">
        <v>43</v>
      </c>
      <c r="B53" t="s">
        <v>100</v>
      </c>
      <c r="C53" t="s">
        <v>31</v>
      </c>
      <c r="E53">
        <v>12125</v>
      </c>
      <c r="F53">
        <f>februari2025!E53</f>
        <v>11597</v>
      </c>
      <c r="G53">
        <f>Tabel2425678910111213141517161819212022232614[[#This Row],[Stand Coffee einde maand]]-Tabel2425678910111213141517161819212022232614[[#This Row],[Coffee vorige maand]]</f>
        <v>528</v>
      </c>
      <c r="H53" s="97">
        <f>824+3600</f>
        <v>4424</v>
      </c>
      <c r="I53">
        <f>februari2025!H53</f>
        <v>4222</v>
      </c>
      <c r="J53">
        <f>Tabel2425678910111213141517161819212022232614[[#This Row],[Stand Espresso Einde maand]]-Tabel2425678910111213141517161819212022232614[[#This Row],[Espresso vorige maand]]</f>
        <v>202</v>
      </c>
      <c r="K53" s="53">
        <v>1246</v>
      </c>
      <c r="L53">
        <f>februari2025!K53</f>
        <v>1201</v>
      </c>
      <c r="M53">
        <f>Tabel2425678910111213141517161819212022232614[[#This Row],[Stand Latte Macchiato einde maand]]-Tabel2425678910111213141517161819212022232614[[#This Row],[Latte Macchiato vorige maand]]</f>
        <v>45</v>
      </c>
      <c r="N53" s="53">
        <v>519</v>
      </c>
      <c r="O53">
        <f>februari2025!N53</f>
        <v>494</v>
      </c>
      <c r="P53">
        <f>Tabel2425678910111213141517161819212022232614[[#This Row],[Stand Coffee Latte einde maand]]-Tabel2425678910111213141517161819212022232614[[#This Row],[Coffee Latte vorige maand]]</f>
        <v>25</v>
      </c>
      <c r="Q53" s="53">
        <v>30080</v>
      </c>
      <c r="R53">
        <f>februari2025!Q53</f>
        <v>28885</v>
      </c>
      <c r="S53">
        <f>Tabel2425678910111213141517161819212022232614[[#This Row],[Stand Hot Water einde maand]]-Tabel2425678910111213141517161819212022232614[[#This Row],[Hot Water vorige maand]]</f>
        <v>1195</v>
      </c>
      <c r="T53" s="53">
        <v>3698</v>
      </c>
      <c r="U53">
        <f>februari2025!T53</f>
        <v>3614</v>
      </c>
      <c r="V53">
        <f>Tabel2425678910111213141517161819212022232614[[#This Row],[Stand Cappucino einde maand]]-Tabel2425678910111213141517161819212022232614[[#This Row],[Stand Cappucino vorige maand]]</f>
        <v>84</v>
      </c>
      <c r="W53" s="53">
        <v>1080</v>
      </c>
      <c r="X53">
        <f>februari2025!W53</f>
        <v>1035</v>
      </c>
      <c r="Y53">
        <f>Tabel2425678910111213141517161819212022232614[[#This Row],[Stand Cappucino Plantaardig einde maand]]-Tabel2425678910111213141517161819212022232614[[#This Row],[Stand Cappucino Plantaardig vorige maand]]</f>
        <v>45</v>
      </c>
      <c r="Z53" s="53">
        <v>225</v>
      </c>
      <c r="AA53">
        <f>februari2025!Z53</f>
        <v>214</v>
      </c>
      <c r="AB53">
        <f>Tabel2425678910111213141517161819212022232614[[#This Row],[Stand Latte Macchiato Plantaardig einde maand]]-Tabel2425678910111213141517161819212022232614[[#This Row],[Stand Latte Macchiato Plantaardig vorige maand]]</f>
        <v>11</v>
      </c>
      <c r="AC53" s="71">
        <f>Tabel2425678910111213141517161819212022232614[[#This Row],[Verbruik Stand Latte Macchiato Plantaardig deze maand]]+Tabel2425678910111213141517161819212022232614[[#This Row],[Verbruik  Cappucino Plantaardig deze maand]]+Tabel2425678910111213141517161819212022232614[[#This Row],[Verbruik Cappucino deze maand]]+Tabel2425678910111213141517161819212022232614[[#This Row],[Verbruik Hot Water deze maand]]+Tabel2425678910111213141517161819212022232614[[#This Row],[Verbruik Coffee Latte deze maand]]+Tabel2425678910111213141517161819212022232614[[#This Row],[Verbruik Latte Macchiato deze maand]]+Tabel2425678910111213141517161819212022232614[[#This Row],[Verbruik Espresso deze maand]]+Tabel2425678910111213141517161819212022232614[[#This Row],[Verbruik Coffee deze maand]]</f>
        <v>2135</v>
      </c>
      <c r="AD53" s="69"/>
      <c r="AE53" s="41"/>
      <c r="AF53" s="5"/>
      <c r="AG53" s="5"/>
      <c r="AH53" s="75"/>
      <c r="AI53" s="41"/>
      <c r="AJ53" s="5"/>
      <c r="AK53" s="5"/>
      <c r="AL53" s="75"/>
      <c r="AM53" s="41"/>
      <c r="AN53" s="5"/>
      <c r="AO53" s="5"/>
      <c r="AP53" s="75"/>
      <c r="AQ53" s="41"/>
      <c r="AR53" s="5"/>
      <c r="AS53" s="5"/>
      <c r="AT53" s="75"/>
      <c r="AU53" s="41"/>
      <c r="AV53" s="5"/>
      <c r="AW53" s="5"/>
      <c r="AX53" s="79"/>
      <c r="AY53" s="95">
        <f>Tabel2425678910111213141517161819212022232614[[#This Row],[Subtotaal waterbar in consumpties]]+Tabel2425678910111213141517161819212022232614[[#This Row],[Subtotaal koffieautomaten]]</f>
        <v>2135</v>
      </c>
    </row>
    <row r="54" spans="1:130" x14ac:dyDescent="0.25">
      <c r="A54" s="65" t="s">
        <v>45</v>
      </c>
      <c r="B54" t="s">
        <v>101</v>
      </c>
      <c r="C54" t="s">
        <v>47</v>
      </c>
      <c r="E54">
        <v>9207</v>
      </c>
      <c r="F54">
        <f>februari2025!E54</f>
        <v>8818</v>
      </c>
      <c r="G54">
        <f>Tabel2425678910111213141517161819212022232614[[#This Row],[Stand Coffee einde maand]]-Tabel2425678910111213141517161819212022232614[[#This Row],[Coffee vorige maand]]</f>
        <v>389</v>
      </c>
      <c r="H54" s="53">
        <v>4564</v>
      </c>
      <c r="I54">
        <f>februari2025!H54</f>
        <v>4360</v>
      </c>
      <c r="J54">
        <f>Tabel2425678910111213141517161819212022232614[[#This Row],[Stand Espresso Einde maand]]-Tabel2425678910111213141517161819212022232614[[#This Row],[Espresso vorige maand]]</f>
        <v>204</v>
      </c>
      <c r="K54" s="53">
        <v>681</v>
      </c>
      <c r="L54">
        <f>februari2025!K54</f>
        <v>665</v>
      </c>
      <c r="M54">
        <f>Tabel2425678910111213141517161819212022232614[[#This Row],[Stand Latte Macchiato einde maand]]-Tabel2425678910111213141517161819212022232614[[#This Row],[Latte Macchiato vorige maand]]</f>
        <v>16</v>
      </c>
      <c r="N54" s="53">
        <v>532</v>
      </c>
      <c r="O54">
        <f>februari2025!N54</f>
        <v>512</v>
      </c>
      <c r="P54">
        <f>Tabel2425678910111213141517161819212022232614[[#This Row],[Stand Coffee Latte einde maand]]-Tabel2425678910111213141517161819212022232614[[#This Row],[Coffee Latte vorige maand]]</f>
        <v>20</v>
      </c>
      <c r="Q54" s="53">
        <v>1</v>
      </c>
      <c r="R54">
        <f>februari2025!Q54</f>
        <v>1</v>
      </c>
      <c r="S54">
        <f>Tabel2425678910111213141517161819212022232614[[#This Row],[Stand Hot Water einde maand]]-Tabel2425678910111213141517161819212022232614[[#This Row],[Hot Water vorige maand]]</f>
        <v>0</v>
      </c>
      <c r="T54" s="53">
        <v>4414</v>
      </c>
      <c r="U54">
        <f>februari2025!T54</f>
        <v>4295</v>
      </c>
      <c r="V54">
        <f>Tabel2425678910111213141517161819212022232614[[#This Row],[Stand Cappucino einde maand]]-Tabel2425678910111213141517161819212022232614[[#This Row],[Stand Cappucino vorige maand]]</f>
        <v>119</v>
      </c>
      <c r="W54" s="53">
        <v>892</v>
      </c>
      <c r="X54">
        <f>februari2025!W54</f>
        <v>862</v>
      </c>
      <c r="Y54">
        <f>Tabel2425678910111213141517161819212022232614[[#This Row],[Stand Cappucino Plantaardig einde maand]]-Tabel2425678910111213141517161819212022232614[[#This Row],[Stand Cappucino Plantaardig vorige maand]]</f>
        <v>30</v>
      </c>
      <c r="Z54" s="53">
        <v>251</v>
      </c>
      <c r="AA54">
        <f>februari2025!Z54</f>
        <v>249</v>
      </c>
      <c r="AB54">
        <f>Tabel2425678910111213141517161819212022232614[[#This Row],[Stand Latte Macchiato Plantaardig einde maand]]-Tabel2425678910111213141517161819212022232614[[#This Row],[Stand Latte Macchiato Plantaardig vorige maand]]</f>
        <v>2</v>
      </c>
      <c r="AC54" s="71">
        <f>Tabel2425678910111213141517161819212022232614[[#This Row],[Verbruik Stand Latte Macchiato Plantaardig deze maand]]+Tabel2425678910111213141517161819212022232614[[#This Row],[Verbruik  Cappucino Plantaardig deze maand]]+Tabel2425678910111213141517161819212022232614[[#This Row],[Verbruik Cappucino deze maand]]+Tabel2425678910111213141517161819212022232614[[#This Row],[Verbruik Hot Water deze maand]]+Tabel2425678910111213141517161819212022232614[[#This Row],[Verbruik Coffee Latte deze maand]]+Tabel2425678910111213141517161819212022232614[[#This Row],[Verbruik Latte Macchiato deze maand]]+Tabel2425678910111213141517161819212022232614[[#This Row],[Verbruik Espresso deze maand]]+Tabel2425678910111213141517161819212022232614[[#This Row],[Verbruik Coffee deze maand]]</f>
        <v>780</v>
      </c>
      <c r="AD54" s="120">
        <v>14.6</v>
      </c>
      <c r="AE54" s="49">
        <v>0</v>
      </c>
      <c r="AF54" s="49">
        <f>Tabel2425678910111213141517161819212022232614[[#This Row],[Stand Kamertemp liter einde maand]]-Tabel2425678910111213141517161819212022232614[[#This Row],[Stand Kamertemp liter vorige maand]]</f>
        <v>14.6</v>
      </c>
      <c r="AG54" s="121">
        <f>Tabel2425678910111213141517161819212022232614[[#This Row],[Verbruik Kamertemp liter deze maand]]/0.15</f>
        <v>97.333333333333329</v>
      </c>
      <c r="AH54" s="120">
        <v>50.6</v>
      </c>
      <c r="AI54" s="49">
        <v>0</v>
      </c>
      <c r="AJ54" s="49">
        <f>Tabel2425678910111213141517161819212022232614[[#This Row],[Stand Gekoeld liter einde maand]]-Tabel2425678910111213141517161819212022232614[[#This Row],[Stand Gekoeld liter vorige maand]]</f>
        <v>50.6</v>
      </c>
      <c r="AK54" s="121">
        <f>Tabel2425678910111213141517161819212022232614[[#This Row],[Verbruik Gekoeld liter deze maand]]/0.15</f>
        <v>337.33333333333337</v>
      </c>
      <c r="AL54" s="120">
        <v>24.5</v>
      </c>
      <c r="AM54" s="49">
        <v>0</v>
      </c>
      <c r="AN54" s="49">
        <f>Tabel2425678910111213141517161819212022232614[[#This Row],[Stand Bruisend liter einde maand]]-Tabel2425678910111213141517161819212022232614[[#This Row],[Stand Bruisend liter vorige maand]]</f>
        <v>24.5</v>
      </c>
      <c r="AO54" s="121">
        <f>Tabel2425678910111213141517161819212022232614[[#This Row],[Verbruik Bruisend liter deze maand]]/0.15</f>
        <v>163.33333333333334</v>
      </c>
      <c r="AP54" s="120">
        <v>6.7</v>
      </c>
      <c r="AQ54" s="49">
        <v>0</v>
      </c>
      <c r="AR54" s="49">
        <f>Tabel2425678910111213141517161819212022232614[[#This Row],[Stand licht bruisend liter einde maand]]-Tabel2425678910111213141517161819212022232614[[#This Row],[Stand licht bruisend liter vorige maand]]</f>
        <v>6.7</v>
      </c>
      <c r="AS54" s="121">
        <f>Tabel2425678910111213141517161819212022232614[[#This Row],[Verbruik licht bruisend liter deze maand]]/0.15</f>
        <v>44.666666666666671</v>
      </c>
      <c r="AT54" s="120">
        <v>137.5</v>
      </c>
      <c r="AU54" s="49">
        <v>0</v>
      </c>
      <c r="AV54" s="49">
        <f>Tabel2425678910111213141517161819212022232614[[#This Row],[Stand heet water liter einde maand]]-Tabel2425678910111213141517161819212022232614[[#This Row],[Stand heet water liter vorige maand]]</f>
        <v>137.5</v>
      </c>
      <c r="AW54" s="121">
        <f>Tabel2425678910111213141517161819212022232614[[#This Row],[Verbruik heet Water liter deze maand ]]/0.15</f>
        <v>916.66666666666674</v>
      </c>
      <c r="AX54" s="122">
        <f>Tabel2425678910111213141517161819212022232614[[#This Row],[Aantal consumpties heet water deze maand]]+Tabel2425678910111213141517161819212022232614[[#This Row],[Aantal consumpties licht bruisend water deze maand]]+Tabel2425678910111213141517161819212022232614[[#This Row],[aantal consumpties Bruisend water deze maand]]+Tabel2425678910111213141517161819212022232614[[#This Row],[Aantal consumpties gekoeld water deze maand]]+Tabel2425678910111213141517161819212022232614[[#This Row],[Aantal consumpties Kamertemp deze maand]]</f>
        <v>1559.3333333333333</v>
      </c>
      <c r="AY54" s="95">
        <f>Tabel2425678910111213141517161819212022232614[[#This Row],[Subtotaal waterbar in consumpties]]+Tabel2425678910111213141517161819212022232614[[#This Row],[Subtotaal koffieautomaten]]</f>
        <v>2339.333333333333</v>
      </c>
    </row>
    <row r="55" spans="1:130" x14ac:dyDescent="0.25">
      <c r="A55" s="65" t="s">
        <v>48</v>
      </c>
      <c r="B55" t="s">
        <v>102</v>
      </c>
      <c r="C55" t="s">
        <v>31</v>
      </c>
      <c r="E55">
        <v>7941</v>
      </c>
      <c r="F55">
        <f>februari2025!E55</f>
        <v>7665</v>
      </c>
      <c r="G55">
        <f>Tabel2425678910111213141517161819212022232614[[#This Row],[Stand Coffee einde maand]]-Tabel2425678910111213141517161819212022232614[[#This Row],[Coffee vorige maand]]</f>
        <v>276</v>
      </c>
      <c r="H55" s="53">
        <v>2241</v>
      </c>
      <c r="I55">
        <f>februari2025!H55</f>
        <v>2239</v>
      </c>
      <c r="J55">
        <f>Tabel2425678910111213141517161819212022232614[[#This Row],[Stand Espresso Einde maand]]-Tabel2425678910111213141517161819212022232614[[#This Row],[Espresso vorige maand]]</f>
        <v>2</v>
      </c>
      <c r="K55" s="53">
        <v>633</v>
      </c>
      <c r="L55">
        <f>februari2025!K55</f>
        <v>602</v>
      </c>
      <c r="M55">
        <f>Tabel2425678910111213141517161819212022232614[[#This Row],[Stand Latte Macchiato einde maand]]-Tabel2425678910111213141517161819212022232614[[#This Row],[Latte Macchiato vorige maand]]</f>
        <v>31</v>
      </c>
      <c r="N55" s="53">
        <v>429</v>
      </c>
      <c r="O55">
        <f>februari2025!N55</f>
        <v>411</v>
      </c>
      <c r="P55">
        <f>Tabel2425678910111213141517161819212022232614[[#This Row],[Stand Coffee Latte einde maand]]-Tabel2425678910111213141517161819212022232614[[#This Row],[Coffee Latte vorige maand]]</f>
        <v>18</v>
      </c>
      <c r="Q55" s="53">
        <v>20322</v>
      </c>
      <c r="R55">
        <f>februari2025!Q55</f>
        <v>19673</v>
      </c>
      <c r="S55">
        <f>Tabel2425678910111213141517161819212022232614[[#This Row],[Stand Hot Water einde maand]]-Tabel2425678910111213141517161819212022232614[[#This Row],[Hot Water vorige maand]]</f>
        <v>649</v>
      </c>
      <c r="T55" s="53">
        <v>3553</v>
      </c>
      <c r="U55">
        <f>februari2025!T55</f>
        <v>3360</v>
      </c>
      <c r="V55">
        <f>Tabel2425678910111213141517161819212022232614[[#This Row],[Stand Cappucino einde maand]]-Tabel2425678910111213141517161819212022232614[[#This Row],[Stand Cappucino vorige maand]]</f>
        <v>193</v>
      </c>
      <c r="W55" s="53">
        <v>1783</v>
      </c>
      <c r="X55">
        <f>februari2025!W55</f>
        <v>1761</v>
      </c>
      <c r="Y55">
        <f>Tabel2425678910111213141517161819212022232614[[#This Row],[Stand Cappucino Plantaardig einde maand]]-Tabel2425678910111213141517161819212022232614[[#This Row],[Stand Cappucino Plantaardig vorige maand]]</f>
        <v>22</v>
      </c>
      <c r="Z55" s="53">
        <v>189</v>
      </c>
      <c r="AA55">
        <f>februari2025!Z55</f>
        <v>186</v>
      </c>
      <c r="AB55">
        <f>Tabel2425678910111213141517161819212022232614[[#This Row],[Stand Latte Macchiato Plantaardig einde maand]]-Tabel2425678910111213141517161819212022232614[[#This Row],[Stand Latte Macchiato Plantaardig vorige maand]]</f>
        <v>3</v>
      </c>
      <c r="AC55" s="71">
        <f>Tabel2425678910111213141517161819212022232614[[#This Row],[Verbruik Stand Latte Macchiato Plantaardig deze maand]]+Tabel2425678910111213141517161819212022232614[[#This Row],[Verbruik  Cappucino Plantaardig deze maand]]+Tabel2425678910111213141517161819212022232614[[#This Row],[Verbruik Cappucino deze maand]]+Tabel2425678910111213141517161819212022232614[[#This Row],[Verbruik Hot Water deze maand]]+Tabel2425678910111213141517161819212022232614[[#This Row],[Verbruik Coffee Latte deze maand]]+Tabel2425678910111213141517161819212022232614[[#This Row],[Verbruik Latte Macchiato deze maand]]+Tabel2425678910111213141517161819212022232614[[#This Row],[Verbruik Espresso deze maand]]+Tabel2425678910111213141517161819212022232614[[#This Row],[Verbruik Coffee deze maand]]</f>
        <v>1194</v>
      </c>
      <c r="AD55" s="69"/>
      <c r="AE55" s="41"/>
      <c r="AF55" s="5"/>
      <c r="AG55" s="5"/>
      <c r="AH55" s="75"/>
      <c r="AI55" s="41"/>
      <c r="AJ55" s="5"/>
      <c r="AK55" s="5"/>
      <c r="AL55" s="75"/>
      <c r="AM55" s="41"/>
      <c r="AN55" s="5"/>
      <c r="AO55" s="5"/>
      <c r="AP55" s="75"/>
      <c r="AQ55" s="41"/>
      <c r="AR55" s="5"/>
      <c r="AS55" s="5"/>
      <c r="AT55" s="75"/>
      <c r="AU55" s="41"/>
      <c r="AV55" s="5"/>
      <c r="AW55" s="5"/>
      <c r="AX55" s="79"/>
      <c r="AY55" s="95">
        <f>Tabel2425678910111213141517161819212022232614[[#This Row],[Subtotaal waterbar in consumpties]]+Tabel2425678910111213141517161819212022232614[[#This Row],[Subtotaal koffieautomaten]]</f>
        <v>1194</v>
      </c>
    </row>
    <row r="56" spans="1:130" x14ac:dyDescent="0.25">
      <c r="A56" s="65" t="s">
        <v>50</v>
      </c>
      <c r="B56" t="s">
        <v>103</v>
      </c>
      <c r="C56" t="s">
        <v>47</v>
      </c>
      <c r="E56">
        <v>8781</v>
      </c>
      <c r="F56">
        <f>februari2025!E56</f>
        <v>8583</v>
      </c>
      <c r="G56">
        <f>Tabel2425678910111213141517161819212022232614[[#This Row],[Stand Coffee einde maand]]-Tabel2425678910111213141517161819212022232614[[#This Row],[Coffee vorige maand]]</f>
        <v>198</v>
      </c>
      <c r="H56" s="53">
        <v>3724</v>
      </c>
      <c r="I56">
        <f>februari2025!H56</f>
        <v>3639</v>
      </c>
      <c r="J56">
        <f>Tabel2425678910111213141517161819212022232614[[#This Row],[Stand Espresso Einde maand]]-Tabel2425678910111213141517161819212022232614[[#This Row],[Espresso vorige maand]]</f>
        <v>85</v>
      </c>
      <c r="K56" s="53">
        <v>293</v>
      </c>
      <c r="L56">
        <f>februari2025!K56</f>
        <v>287</v>
      </c>
      <c r="M56">
        <f>Tabel2425678910111213141517161819212022232614[[#This Row],[Stand Latte Macchiato einde maand]]-Tabel2425678910111213141517161819212022232614[[#This Row],[Latte Macchiato vorige maand]]</f>
        <v>6</v>
      </c>
      <c r="N56" s="53">
        <v>126</v>
      </c>
      <c r="O56">
        <f>februari2025!N56</f>
        <v>126</v>
      </c>
      <c r="P56">
        <f>Tabel2425678910111213141517161819212022232614[[#This Row],[Stand Coffee Latte einde maand]]-Tabel2425678910111213141517161819212022232614[[#This Row],[Coffee Latte vorige maand]]</f>
        <v>0</v>
      </c>
      <c r="Q56" s="53">
        <v>1</v>
      </c>
      <c r="R56">
        <f>februari2025!Q56</f>
        <v>1</v>
      </c>
      <c r="S56">
        <f>Tabel2425678910111213141517161819212022232614[[#This Row],[Stand Hot Water einde maand]]-Tabel2425678910111213141517161819212022232614[[#This Row],[Hot Water vorige maand]]</f>
        <v>0</v>
      </c>
      <c r="T56" s="53">
        <v>6704</v>
      </c>
      <c r="U56">
        <f>februari2025!T56</f>
        <v>6563</v>
      </c>
      <c r="V56">
        <f>Tabel2425678910111213141517161819212022232614[[#This Row],[Stand Cappucino einde maand]]-Tabel2425678910111213141517161819212022232614[[#This Row],[Stand Cappucino vorige maand]]</f>
        <v>141</v>
      </c>
      <c r="W56" s="53">
        <v>597</v>
      </c>
      <c r="X56">
        <f>februari2025!W56</f>
        <v>579</v>
      </c>
      <c r="Y56">
        <f>Tabel2425678910111213141517161819212022232614[[#This Row],[Stand Cappucino Plantaardig einde maand]]-Tabel2425678910111213141517161819212022232614[[#This Row],[Stand Cappucino Plantaardig vorige maand]]</f>
        <v>18</v>
      </c>
      <c r="Z56" s="53">
        <v>125</v>
      </c>
      <c r="AA56">
        <f>februari2025!Z56</f>
        <v>125</v>
      </c>
      <c r="AB56">
        <f>Tabel2425678910111213141517161819212022232614[[#This Row],[Stand Latte Macchiato Plantaardig einde maand]]-Tabel2425678910111213141517161819212022232614[[#This Row],[Stand Latte Macchiato Plantaardig vorige maand]]</f>
        <v>0</v>
      </c>
      <c r="AC56" s="71">
        <f>Tabel2425678910111213141517161819212022232614[[#This Row],[Verbruik Stand Latte Macchiato Plantaardig deze maand]]+Tabel2425678910111213141517161819212022232614[[#This Row],[Verbruik  Cappucino Plantaardig deze maand]]+Tabel2425678910111213141517161819212022232614[[#This Row],[Verbruik Cappucino deze maand]]+Tabel2425678910111213141517161819212022232614[[#This Row],[Verbruik Hot Water deze maand]]+Tabel2425678910111213141517161819212022232614[[#This Row],[Verbruik Coffee Latte deze maand]]+Tabel2425678910111213141517161819212022232614[[#This Row],[Verbruik Latte Macchiato deze maand]]+Tabel2425678910111213141517161819212022232614[[#This Row],[Verbruik Espresso deze maand]]+Tabel2425678910111213141517161819212022232614[[#This Row],[Verbruik Coffee deze maand]]</f>
        <v>448</v>
      </c>
      <c r="AD56" s="53">
        <v>51.6</v>
      </c>
      <c r="AE56">
        <f>februari2025!AD56</f>
        <v>32.700000000000003</v>
      </c>
      <c r="AF56">
        <f>Tabel2425678910111213141517161819212022232614[[#This Row],[Stand Kamertemp liter einde maand]]-Tabel2425678910111213141517161819212022232614[[#This Row],[Stand Kamertemp liter vorige maand]]</f>
        <v>18.899999999999999</v>
      </c>
      <c r="AG56" s="2">
        <f>Tabel2425678910111213141517161819212022232614[[#This Row],[Verbruik Kamertemp liter deze maand]]/0.15</f>
        <v>126</v>
      </c>
      <c r="AH56" s="53">
        <v>325.7</v>
      </c>
      <c r="AI56">
        <f>februari2025!AH56</f>
        <v>240.7</v>
      </c>
      <c r="AJ56">
        <f>Tabel2425678910111213141517161819212022232614[[#This Row],[Stand Gekoeld liter einde maand]]-Tabel2425678910111213141517161819212022232614[[#This Row],[Stand Gekoeld liter vorige maand]]</f>
        <v>85</v>
      </c>
      <c r="AK56" s="2">
        <f>Tabel2425678910111213141517161819212022232614[[#This Row],[Verbruik Gekoeld liter deze maand]]/0.15</f>
        <v>566.66666666666674</v>
      </c>
      <c r="AL56" s="53">
        <v>356.7</v>
      </c>
      <c r="AM56">
        <f>februari2025!AL56</f>
        <v>248.3</v>
      </c>
      <c r="AN56">
        <f>Tabel2425678910111213141517161819212022232614[[#This Row],[Stand Bruisend liter einde maand]]-Tabel2425678910111213141517161819212022232614[[#This Row],[Stand Bruisend liter vorige maand]]</f>
        <v>108.39999999999998</v>
      </c>
      <c r="AO56" s="2">
        <f>Tabel2425678910111213141517161819212022232614[[#This Row],[Verbruik Bruisend liter deze maand]]/0.15</f>
        <v>722.66666666666652</v>
      </c>
      <c r="AP56" s="53">
        <v>117.4</v>
      </c>
      <c r="AQ56">
        <f>februari2025!AP56</f>
        <v>88.9</v>
      </c>
      <c r="AR56">
        <f>Tabel2425678910111213141517161819212022232614[[#This Row],[Stand licht bruisend liter einde maand]]-Tabel2425678910111213141517161819212022232614[[#This Row],[Stand licht bruisend liter vorige maand]]</f>
        <v>28.5</v>
      </c>
      <c r="AS56" s="2">
        <f>Tabel2425678910111213141517161819212022232614[[#This Row],[Verbruik licht bruisend liter deze maand]]/0.15</f>
        <v>190</v>
      </c>
      <c r="AT56" s="53">
        <v>1295.7</v>
      </c>
      <c r="AU56">
        <f>februari2025!AT56</f>
        <v>1004</v>
      </c>
      <c r="AV56">
        <f>Tabel2425678910111213141517161819212022232614[[#This Row],[Stand heet water liter einde maand]]-Tabel2425678910111213141517161819212022232614[[#This Row],[Stand heet water liter vorige maand]]</f>
        <v>291.70000000000005</v>
      </c>
      <c r="AW56" s="2">
        <f>Tabel2425678910111213141517161819212022232614[[#This Row],[Verbruik heet Water liter deze maand ]]/0.15</f>
        <v>1944.666666666667</v>
      </c>
      <c r="AX56" s="77">
        <f>Tabel2425678910111213141517161819212022232614[[#This Row],[Aantal consumpties heet water deze maand]]+Tabel2425678910111213141517161819212022232614[[#This Row],[Aantal consumpties licht bruisend water deze maand]]+Tabel2425678910111213141517161819212022232614[[#This Row],[aantal consumpties Bruisend water deze maand]]+Tabel2425678910111213141517161819212022232614[[#This Row],[Aantal consumpties gekoeld water deze maand]]+Tabel2425678910111213141517161819212022232614[[#This Row],[Aantal consumpties Kamertemp deze maand]]</f>
        <v>3550</v>
      </c>
      <c r="AY56" s="95">
        <f>Tabel2425678910111213141517161819212022232614[[#This Row],[Subtotaal waterbar in consumpties]]+Tabel2425678910111213141517161819212022232614[[#This Row],[Subtotaal koffieautomaten]]</f>
        <v>3998</v>
      </c>
    </row>
    <row r="57" spans="1:130" x14ac:dyDescent="0.25">
      <c r="A57" s="65" t="s">
        <v>52</v>
      </c>
      <c r="B57" t="s">
        <v>104</v>
      </c>
      <c r="C57" t="s">
        <v>47</v>
      </c>
      <c r="E57">
        <v>3886</v>
      </c>
      <c r="F57">
        <f>februari2025!E57</f>
        <v>3590</v>
      </c>
      <c r="G57">
        <f>Tabel2425678910111213141517161819212022232614[[#This Row],[Stand Coffee einde maand]]-Tabel2425678910111213141517161819212022232614[[#This Row],[Coffee vorige maand]]</f>
        <v>296</v>
      </c>
      <c r="H57" s="53">
        <v>701</v>
      </c>
      <c r="I57">
        <f>februari2025!H57</f>
        <v>674</v>
      </c>
      <c r="J57">
        <f>Tabel2425678910111213141517161819212022232614[[#This Row],[Stand Espresso Einde maand]]-Tabel2425678910111213141517161819212022232614[[#This Row],[Espresso vorige maand]]</f>
        <v>27</v>
      </c>
      <c r="K57" s="53">
        <v>366</v>
      </c>
      <c r="L57">
        <f>februari2025!K57</f>
        <v>342</v>
      </c>
      <c r="M57">
        <f>Tabel2425678910111213141517161819212022232614[[#This Row],[Stand Latte Macchiato einde maand]]-Tabel2425678910111213141517161819212022232614[[#This Row],[Latte Macchiato vorige maand]]</f>
        <v>24</v>
      </c>
      <c r="N57" s="53">
        <v>746</v>
      </c>
      <c r="O57">
        <f>februari2025!N57</f>
        <v>679</v>
      </c>
      <c r="P57">
        <f>Tabel2425678910111213141517161819212022232614[[#This Row],[Stand Coffee Latte einde maand]]-Tabel2425678910111213141517161819212022232614[[#This Row],[Coffee Latte vorige maand]]</f>
        <v>67</v>
      </c>
      <c r="Q57" s="53">
        <v>759</v>
      </c>
      <c r="R57">
        <f>februari2025!Q57</f>
        <v>735</v>
      </c>
      <c r="S57">
        <f>Tabel2425678910111213141517161819212022232614[[#This Row],[Stand Hot Water einde maand]]-Tabel2425678910111213141517161819212022232614[[#This Row],[Hot Water vorige maand]]</f>
        <v>24</v>
      </c>
      <c r="T57" s="53">
        <v>3733</v>
      </c>
      <c r="U57">
        <f>februari2025!T57</f>
        <v>3498</v>
      </c>
      <c r="V57">
        <f>Tabel2425678910111213141517161819212022232614[[#This Row],[Stand Cappucino einde maand]]-Tabel2425678910111213141517161819212022232614[[#This Row],[Stand Cappucino vorige maand]]</f>
        <v>235</v>
      </c>
      <c r="W57" s="53">
        <v>687</v>
      </c>
      <c r="X57">
        <f>februari2025!W57</f>
        <v>653</v>
      </c>
      <c r="Y57">
        <f>Tabel2425678910111213141517161819212022232614[[#This Row],[Stand Cappucino Plantaardig einde maand]]-Tabel2425678910111213141517161819212022232614[[#This Row],[Stand Cappucino Plantaardig vorige maand]]</f>
        <v>34</v>
      </c>
      <c r="Z57" s="53">
        <v>74</v>
      </c>
      <c r="AA57">
        <f>februari2025!Z57</f>
        <v>74</v>
      </c>
      <c r="AB57">
        <f>Tabel2425678910111213141517161819212022232614[[#This Row],[Stand Latte Macchiato Plantaardig einde maand]]-Tabel2425678910111213141517161819212022232614[[#This Row],[Stand Latte Macchiato Plantaardig vorige maand]]</f>
        <v>0</v>
      </c>
      <c r="AC57" s="71">
        <f>Tabel2425678910111213141517161819212022232614[[#This Row],[Verbruik Stand Latte Macchiato Plantaardig deze maand]]+Tabel2425678910111213141517161819212022232614[[#This Row],[Verbruik  Cappucino Plantaardig deze maand]]+Tabel2425678910111213141517161819212022232614[[#This Row],[Verbruik Cappucino deze maand]]+Tabel2425678910111213141517161819212022232614[[#This Row],[Verbruik Hot Water deze maand]]+Tabel2425678910111213141517161819212022232614[[#This Row],[Verbruik Coffee Latte deze maand]]+Tabel2425678910111213141517161819212022232614[[#This Row],[Verbruik Latte Macchiato deze maand]]+Tabel2425678910111213141517161819212022232614[[#This Row],[Verbruik Espresso deze maand]]+Tabel2425678910111213141517161819212022232614[[#This Row],[Verbruik Coffee deze maand]]</f>
        <v>707</v>
      </c>
      <c r="AD57" s="53">
        <v>13.1</v>
      </c>
      <c r="AE57">
        <f>februari2025!AD57</f>
        <v>9.4</v>
      </c>
      <c r="AF57">
        <f>Tabel2425678910111213141517161819212022232614[[#This Row],[Stand Kamertemp liter einde maand]]-Tabel2425678910111213141517161819212022232614[[#This Row],[Stand Kamertemp liter vorige maand]]</f>
        <v>3.6999999999999993</v>
      </c>
      <c r="AG57" s="2">
        <f>Tabel2425678910111213141517161819212022232614[[#This Row],[Verbruik Kamertemp liter deze maand]]/0.15</f>
        <v>24.666666666666664</v>
      </c>
      <c r="AH57" s="53">
        <v>117.5</v>
      </c>
      <c r="AI57">
        <f>februari2025!AH57</f>
        <v>50.6</v>
      </c>
      <c r="AJ57">
        <f>Tabel2425678910111213141517161819212022232614[[#This Row],[Stand Gekoeld liter einde maand]]-Tabel2425678910111213141517161819212022232614[[#This Row],[Stand Gekoeld liter vorige maand]]</f>
        <v>66.900000000000006</v>
      </c>
      <c r="AK57" s="2">
        <f>Tabel2425678910111213141517161819212022232614[[#This Row],[Verbruik Gekoeld liter deze maand]]/0.15</f>
        <v>446.00000000000006</v>
      </c>
      <c r="AL57" s="53">
        <v>56.6</v>
      </c>
      <c r="AM57">
        <f>februari2025!AL57</f>
        <v>9.8000000000000007</v>
      </c>
      <c r="AN57">
        <f>Tabel2425678910111213141517161819212022232614[[#This Row],[Stand Bruisend liter einde maand]]-Tabel2425678910111213141517161819212022232614[[#This Row],[Stand Bruisend liter vorige maand]]</f>
        <v>46.8</v>
      </c>
      <c r="AO57" s="2">
        <f>Tabel2425678910111213141517161819212022232614[[#This Row],[Verbruik Bruisend liter deze maand]]/0.15</f>
        <v>312</v>
      </c>
      <c r="AP57" s="53">
        <v>18.399999999999999</v>
      </c>
      <c r="AQ57">
        <f>februari2025!AP57</f>
        <v>3.7</v>
      </c>
      <c r="AR57">
        <f>Tabel2425678910111213141517161819212022232614[[#This Row],[Stand licht bruisend liter einde maand]]-Tabel2425678910111213141517161819212022232614[[#This Row],[Stand licht bruisend liter vorige maand]]</f>
        <v>14.7</v>
      </c>
      <c r="AS57" s="2">
        <f>Tabel2425678910111213141517161819212022232614[[#This Row],[Verbruik licht bruisend liter deze maand]]/0.15</f>
        <v>98</v>
      </c>
      <c r="AT57" s="53">
        <v>460.4</v>
      </c>
      <c r="AU57">
        <f>februari2025!AT57</f>
        <v>163.30000000000001</v>
      </c>
      <c r="AV57">
        <f>Tabel2425678910111213141517161819212022232614[[#This Row],[Stand heet water liter einde maand]]-Tabel2425678910111213141517161819212022232614[[#This Row],[Stand heet water liter vorige maand]]</f>
        <v>297.09999999999997</v>
      </c>
      <c r="AW57" s="2">
        <f>Tabel2425678910111213141517161819212022232614[[#This Row],[Verbruik heet Water liter deze maand ]]/0.15</f>
        <v>1980.6666666666665</v>
      </c>
      <c r="AX57" s="77">
        <f>Tabel2425678910111213141517161819212022232614[[#This Row],[Aantal consumpties heet water deze maand]]+Tabel2425678910111213141517161819212022232614[[#This Row],[Aantal consumpties licht bruisend water deze maand]]+Tabel2425678910111213141517161819212022232614[[#This Row],[aantal consumpties Bruisend water deze maand]]+Tabel2425678910111213141517161819212022232614[[#This Row],[Aantal consumpties gekoeld water deze maand]]+Tabel2425678910111213141517161819212022232614[[#This Row],[Aantal consumpties Kamertemp deze maand]]</f>
        <v>2861.333333333333</v>
      </c>
      <c r="AY57" s="95">
        <f>Tabel2425678910111213141517161819212022232614[[#This Row],[Subtotaal waterbar in consumpties]]+Tabel2425678910111213141517161819212022232614[[#This Row],[Subtotaal koffieautomaten]]</f>
        <v>3568.333333333333</v>
      </c>
    </row>
    <row r="58" spans="1:130" x14ac:dyDescent="0.25">
      <c r="A58" s="65" t="s">
        <v>54</v>
      </c>
      <c r="B58" t="s">
        <v>105</v>
      </c>
      <c r="C58" t="s">
        <v>31</v>
      </c>
      <c r="E58">
        <v>7527</v>
      </c>
      <c r="F58">
        <f>februari2025!E58</f>
        <v>7329</v>
      </c>
      <c r="G58">
        <f>Tabel2425678910111213141517161819212022232614[[#This Row],[Stand Coffee einde maand]]-Tabel2425678910111213141517161819212022232614[[#This Row],[Coffee vorige maand]]</f>
        <v>198</v>
      </c>
      <c r="H58" s="53">
        <v>3249</v>
      </c>
      <c r="I58">
        <f>februari2025!H58</f>
        <v>3134</v>
      </c>
      <c r="J58">
        <f>Tabel2425678910111213141517161819212022232614[[#This Row],[Stand Espresso Einde maand]]-Tabel2425678910111213141517161819212022232614[[#This Row],[Espresso vorige maand]]</f>
        <v>115</v>
      </c>
      <c r="K58" s="53">
        <v>3221</v>
      </c>
      <c r="L58">
        <f>februari2025!K58</f>
        <v>3156</v>
      </c>
      <c r="M58">
        <f>Tabel2425678910111213141517161819212022232614[[#This Row],[Stand Latte Macchiato einde maand]]-Tabel2425678910111213141517161819212022232614[[#This Row],[Latte Macchiato vorige maand]]</f>
        <v>65</v>
      </c>
      <c r="N58" s="53">
        <v>891</v>
      </c>
      <c r="O58">
        <f>februari2025!N58</f>
        <v>876</v>
      </c>
      <c r="P58">
        <f>Tabel2425678910111213141517161819212022232614[[#This Row],[Stand Coffee Latte einde maand]]-Tabel2425678910111213141517161819212022232614[[#This Row],[Coffee Latte vorige maand]]</f>
        <v>15</v>
      </c>
      <c r="Q58" s="53">
        <v>32864</v>
      </c>
      <c r="R58">
        <f>februari2025!Q58</f>
        <v>31902</v>
      </c>
      <c r="S58">
        <f>Tabel2425678910111213141517161819212022232614[[#This Row],[Stand Hot Water einde maand]]-Tabel2425678910111213141517161819212022232614[[#This Row],[Hot Water vorige maand]]</f>
        <v>962</v>
      </c>
      <c r="T58" s="53">
        <v>5929</v>
      </c>
      <c r="U58">
        <f>februari2025!T58</f>
        <v>5752</v>
      </c>
      <c r="V58">
        <f>Tabel2425678910111213141517161819212022232614[[#This Row],[Stand Cappucino einde maand]]-Tabel2425678910111213141517161819212022232614[[#This Row],[Stand Cappucino vorige maand]]</f>
        <v>177</v>
      </c>
      <c r="W58" s="53">
        <v>1057</v>
      </c>
      <c r="X58">
        <f>februari2025!W58</f>
        <v>1031</v>
      </c>
      <c r="Y58">
        <f>Tabel2425678910111213141517161819212022232614[[#This Row],[Stand Cappucino Plantaardig einde maand]]-Tabel2425678910111213141517161819212022232614[[#This Row],[Stand Cappucino Plantaardig vorige maand]]</f>
        <v>26</v>
      </c>
      <c r="Z58" s="53">
        <v>245</v>
      </c>
      <c r="AA58">
        <f>februari2025!Z58</f>
        <v>242</v>
      </c>
      <c r="AB58">
        <f>Tabel2425678910111213141517161819212022232614[[#This Row],[Stand Latte Macchiato Plantaardig einde maand]]-Tabel2425678910111213141517161819212022232614[[#This Row],[Stand Latte Macchiato Plantaardig vorige maand]]</f>
        <v>3</v>
      </c>
      <c r="AC58" s="71">
        <f>Tabel2425678910111213141517161819212022232614[[#This Row],[Verbruik Stand Latte Macchiato Plantaardig deze maand]]+Tabel2425678910111213141517161819212022232614[[#This Row],[Verbruik  Cappucino Plantaardig deze maand]]+Tabel2425678910111213141517161819212022232614[[#This Row],[Verbruik Cappucino deze maand]]+Tabel2425678910111213141517161819212022232614[[#This Row],[Verbruik Hot Water deze maand]]+Tabel2425678910111213141517161819212022232614[[#This Row],[Verbruik Coffee Latte deze maand]]+Tabel2425678910111213141517161819212022232614[[#This Row],[Verbruik Latte Macchiato deze maand]]+Tabel2425678910111213141517161819212022232614[[#This Row],[Verbruik Espresso deze maand]]+Tabel2425678910111213141517161819212022232614[[#This Row],[Verbruik Coffee deze maand]]</f>
        <v>1561</v>
      </c>
      <c r="AD58" s="69"/>
      <c r="AE58" s="41"/>
      <c r="AF58" s="5"/>
      <c r="AG58" s="5"/>
      <c r="AH58" s="75"/>
      <c r="AI58" s="41"/>
      <c r="AJ58" s="5"/>
      <c r="AK58" s="5"/>
      <c r="AL58" s="75"/>
      <c r="AM58" s="41"/>
      <c r="AN58" s="5"/>
      <c r="AO58" s="5"/>
      <c r="AP58" s="75"/>
      <c r="AQ58" s="41"/>
      <c r="AR58" s="5"/>
      <c r="AS58" s="5"/>
      <c r="AT58" s="75"/>
      <c r="AU58" s="41"/>
      <c r="AV58" s="5"/>
      <c r="AW58" s="5"/>
      <c r="AX58" s="79"/>
      <c r="AY58" s="95">
        <f>Tabel2425678910111213141517161819212022232614[[#This Row],[Subtotaal waterbar in consumpties]]+Tabel2425678910111213141517161819212022232614[[#This Row],[Subtotaal koffieautomaten]]</f>
        <v>1561</v>
      </c>
    </row>
    <row r="59" spans="1:130" x14ac:dyDescent="0.25">
      <c r="A59" s="65" t="s">
        <v>56</v>
      </c>
      <c r="B59" t="s">
        <v>106</v>
      </c>
      <c r="C59" t="s">
        <v>47</v>
      </c>
      <c r="E59">
        <v>11310</v>
      </c>
      <c r="F59">
        <f>februari2025!E59</f>
        <v>10992</v>
      </c>
      <c r="G59">
        <f>Tabel2425678910111213141517161819212022232614[[#This Row],[Stand Coffee einde maand]]-Tabel2425678910111213141517161819212022232614[[#This Row],[Coffee vorige maand]]</f>
        <v>318</v>
      </c>
      <c r="H59" s="53">
        <v>3160</v>
      </c>
      <c r="I59">
        <f>februari2025!H59</f>
        <v>3060</v>
      </c>
      <c r="J59">
        <f>Tabel2425678910111213141517161819212022232614[[#This Row],[Stand Espresso Einde maand]]-Tabel2425678910111213141517161819212022232614[[#This Row],[Espresso vorige maand]]</f>
        <v>100</v>
      </c>
      <c r="K59" s="53">
        <v>3129</v>
      </c>
      <c r="L59">
        <f>februari2025!K59</f>
        <v>3030</v>
      </c>
      <c r="M59">
        <f>Tabel2425678910111213141517161819212022232614[[#This Row],[Stand Latte Macchiato einde maand]]-Tabel2425678910111213141517161819212022232614[[#This Row],[Latte Macchiato vorige maand]]</f>
        <v>99</v>
      </c>
      <c r="N59" s="53">
        <v>338</v>
      </c>
      <c r="O59">
        <f>februari2025!N59</f>
        <v>323</v>
      </c>
      <c r="P59">
        <f>Tabel2425678910111213141517161819212022232614[[#This Row],[Stand Coffee Latte einde maand]]-Tabel2425678910111213141517161819212022232614[[#This Row],[Coffee Latte vorige maand]]</f>
        <v>15</v>
      </c>
      <c r="Q59" s="53">
        <v>1</v>
      </c>
      <c r="R59">
        <f>februari2025!Q59</f>
        <v>1</v>
      </c>
      <c r="S59">
        <f>Tabel2425678910111213141517161819212022232614[[#This Row],[Stand Hot Water einde maand]]-Tabel2425678910111213141517161819212022232614[[#This Row],[Hot Water vorige maand]]</f>
        <v>0</v>
      </c>
      <c r="T59" s="53">
        <v>6137</v>
      </c>
      <c r="U59">
        <f>februari2025!T59</f>
        <v>5911</v>
      </c>
      <c r="V59">
        <f>Tabel2425678910111213141517161819212022232614[[#This Row],[Stand Cappucino einde maand]]-Tabel2425678910111213141517161819212022232614[[#This Row],[Stand Cappucino vorige maand]]</f>
        <v>226</v>
      </c>
      <c r="W59" s="53">
        <v>1241</v>
      </c>
      <c r="X59">
        <f>februari2025!W59</f>
        <v>1217</v>
      </c>
      <c r="Y59">
        <f>Tabel2425678910111213141517161819212022232614[[#This Row],[Stand Cappucino Plantaardig einde maand]]-Tabel2425678910111213141517161819212022232614[[#This Row],[Stand Cappucino Plantaardig vorige maand]]</f>
        <v>24</v>
      </c>
      <c r="Z59" s="53">
        <v>170</v>
      </c>
      <c r="AA59">
        <f>februari2025!Z59</f>
        <v>169</v>
      </c>
      <c r="AB59">
        <f>Tabel2425678910111213141517161819212022232614[[#This Row],[Stand Latte Macchiato Plantaardig einde maand]]-Tabel2425678910111213141517161819212022232614[[#This Row],[Stand Latte Macchiato Plantaardig vorige maand]]</f>
        <v>1</v>
      </c>
      <c r="AC59" s="71">
        <f>Tabel2425678910111213141517161819212022232614[[#This Row],[Verbruik Stand Latte Macchiato Plantaardig deze maand]]+Tabel2425678910111213141517161819212022232614[[#This Row],[Verbruik  Cappucino Plantaardig deze maand]]+Tabel2425678910111213141517161819212022232614[[#This Row],[Verbruik Cappucino deze maand]]+Tabel2425678910111213141517161819212022232614[[#This Row],[Verbruik Hot Water deze maand]]+Tabel2425678910111213141517161819212022232614[[#This Row],[Verbruik Coffee Latte deze maand]]+Tabel2425678910111213141517161819212022232614[[#This Row],[Verbruik Latte Macchiato deze maand]]+Tabel2425678910111213141517161819212022232614[[#This Row],[Verbruik Espresso deze maand]]+Tabel2425678910111213141517161819212022232614[[#This Row],[Verbruik Coffee deze maand]]</f>
        <v>783</v>
      </c>
      <c r="AD59" s="53">
        <v>341</v>
      </c>
      <c r="AE59">
        <f>februari2025!AD59</f>
        <v>333.5</v>
      </c>
      <c r="AF59">
        <f>Tabel2425678910111213141517161819212022232614[[#This Row],[Stand Kamertemp liter einde maand]]-Tabel2425678910111213141517161819212022232614[[#This Row],[Stand Kamertemp liter vorige maand]]</f>
        <v>7.5</v>
      </c>
      <c r="AG59" s="2">
        <f>Tabel2425678910111213141517161819212022232614[[#This Row],[Verbruik Kamertemp liter deze maand]]/0.15</f>
        <v>50</v>
      </c>
      <c r="AH59" s="53">
        <v>2916.7</v>
      </c>
      <c r="AI59">
        <f>februari2025!AH59</f>
        <v>2767.7</v>
      </c>
      <c r="AJ59">
        <f>Tabel2425678910111213141517161819212022232614[[#This Row],[Stand Gekoeld liter einde maand]]-Tabel2425678910111213141517161819212022232614[[#This Row],[Stand Gekoeld liter vorige maand]]</f>
        <v>149</v>
      </c>
      <c r="AK59" s="2">
        <f>Tabel2425678910111213141517161819212022232614[[#This Row],[Verbruik Gekoeld liter deze maand]]/0.15</f>
        <v>993.33333333333337</v>
      </c>
      <c r="AL59" s="53">
        <v>2053.4</v>
      </c>
      <c r="AM59">
        <f>februari2025!AL59</f>
        <v>1959.7</v>
      </c>
      <c r="AN59">
        <f>Tabel2425678910111213141517161819212022232614[[#This Row],[Stand Bruisend liter einde maand]]-Tabel2425678910111213141517161819212022232614[[#This Row],[Stand Bruisend liter vorige maand]]</f>
        <v>93.700000000000045</v>
      </c>
      <c r="AO59" s="2">
        <f>Tabel2425678910111213141517161819212022232614[[#This Row],[Verbruik Bruisend liter deze maand]]/0.15</f>
        <v>624.66666666666697</v>
      </c>
      <c r="AP59" s="53">
        <v>1177</v>
      </c>
      <c r="AQ59">
        <f>februari2025!AP59</f>
        <v>1127.9000000000001</v>
      </c>
      <c r="AR59">
        <f>Tabel2425678910111213141517161819212022232614[[#This Row],[Stand licht bruisend liter einde maand]]-Tabel2425678910111213141517161819212022232614[[#This Row],[Stand licht bruisend liter vorige maand]]</f>
        <v>49.099999999999909</v>
      </c>
      <c r="AS59" s="2">
        <f>Tabel2425678910111213141517161819212022232614[[#This Row],[Verbruik licht bruisend liter deze maand]]/0.15</f>
        <v>327.33333333333275</v>
      </c>
      <c r="AT59" s="53">
        <v>8011.4</v>
      </c>
      <c r="AU59">
        <f>februari2025!AT59</f>
        <v>7824.3</v>
      </c>
      <c r="AV59">
        <f>Tabel2425678910111213141517161819212022232614[[#This Row],[Stand heet water liter einde maand]]-Tabel2425678910111213141517161819212022232614[[#This Row],[Stand heet water liter vorige maand]]</f>
        <v>187.09999999999945</v>
      </c>
      <c r="AW59" s="2">
        <f>Tabel2425678910111213141517161819212022232614[[#This Row],[Verbruik heet Water liter deze maand ]]/0.15</f>
        <v>1247.3333333333298</v>
      </c>
      <c r="AX59" s="77">
        <f>Tabel2425678910111213141517161819212022232614[[#This Row],[Aantal consumpties heet water deze maand]]+Tabel2425678910111213141517161819212022232614[[#This Row],[Aantal consumpties licht bruisend water deze maand]]+Tabel2425678910111213141517161819212022232614[[#This Row],[aantal consumpties Bruisend water deze maand]]+Tabel2425678910111213141517161819212022232614[[#This Row],[Aantal consumpties gekoeld water deze maand]]+Tabel2425678910111213141517161819212022232614[[#This Row],[Aantal consumpties Kamertemp deze maand]]</f>
        <v>3242.6666666666629</v>
      </c>
      <c r="AY59" s="95">
        <f>Tabel2425678910111213141517161819212022232614[[#This Row],[Subtotaal waterbar in consumpties]]+Tabel2425678910111213141517161819212022232614[[#This Row],[Subtotaal koffieautomaten]]</f>
        <v>4025.6666666666629</v>
      </c>
    </row>
    <row r="60" spans="1:130" x14ac:dyDescent="0.25">
      <c r="A60" s="65" t="s">
        <v>58</v>
      </c>
      <c r="B60" t="s">
        <v>107</v>
      </c>
      <c r="C60" t="s">
        <v>31</v>
      </c>
      <c r="E60">
        <v>11889</v>
      </c>
      <c r="F60">
        <f>februari2025!E60</f>
        <v>11335</v>
      </c>
      <c r="G60">
        <f>Tabel2425678910111213141517161819212022232614[[#This Row],[Stand Coffee einde maand]]-Tabel2425678910111213141517161819212022232614[[#This Row],[Coffee vorige maand]]</f>
        <v>554</v>
      </c>
      <c r="H60" s="53">
        <v>2266</v>
      </c>
      <c r="I60">
        <f>februari2025!H60</f>
        <v>2168</v>
      </c>
      <c r="J60">
        <f>Tabel2425678910111213141517161819212022232614[[#This Row],[Stand Espresso Einde maand]]-Tabel2425678910111213141517161819212022232614[[#This Row],[Espresso vorige maand]]</f>
        <v>98</v>
      </c>
      <c r="K60" s="53">
        <v>1895</v>
      </c>
      <c r="L60">
        <f>februari2025!K60</f>
        <v>1808</v>
      </c>
      <c r="M60">
        <f>Tabel2425678910111213141517161819212022232614[[#This Row],[Stand Latte Macchiato einde maand]]-Tabel2425678910111213141517161819212022232614[[#This Row],[Latte Macchiato vorige maand]]</f>
        <v>87</v>
      </c>
      <c r="N60" s="53">
        <v>322</v>
      </c>
      <c r="O60">
        <f>februari2025!N60</f>
        <v>312</v>
      </c>
      <c r="P60">
        <f>Tabel2425678910111213141517161819212022232614[[#This Row],[Stand Coffee Latte einde maand]]-Tabel2425678910111213141517161819212022232614[[#This Row],[Coffee Latte vorige maand]]</f>
        <v>10</v>
      </c>
      <c r="Q60" s="53">
        <v>23329</v>
      </c>
      <c r="R60">
        <f>februari2025!Q60</f>
        <v>22317</v>
      </c>
      <c r="S60">
        <f>Tabel2425678910111213141517161819212022232614[[#This Row],[Stand Hot Water einde maand]]-Tabel2425678910111213141517161819212022232614[[#This Row],[Hot Water vorige maand]]</f>
        <v>1012</v>
      </c>
      <c r="T60" s="53">
        <v>3326</v>
      </c>
      <c r="U60">
        <f>februari2025!T60</f>
        <v>3216</v>
      </c>
      <c r="V60">
        <f>Tabel2425678910111213141517161819212022232614[[#This Row],[Stand Cappucino einde maand]]-Tabel2425678910111213141517161819212022232614[[#This Row],[Stand Cappucino vorige maand]]</f>
        <v>110</v>
      </c>
      <c r="W60" s="53">
        <v>2113</v>
      </c>
      <c r="X60">
        <f>februari2025!W60</f>
        <v>2014</v>
      </c>
      <c r="Y60">
        <f>Tabel2425678910111213141517161819212022232614[[#This Row],[Stand Cappucino Plantaardig einde maand]]-Tabel2425678910111213141517161819212022232614[[#This Row],[Stand Cappucino Plantaardig vorige maand]]</f>
        <v>99</v>
      </c>
      <c r="Z60" s="53">
        <v>447</v>
      </c>
      <c r="AA60">
        <f>februari2025!Z60</f>
        <v>428</v>
      </c>
      <c r="AB60">
        <f>Tabel2425678910111213141517161819212022232614[[#This Row],[Stand Latte Macchiato Plantaardig einde maand]]-Tabel2425678910111213141517161819212022232614[[#This Row],[Stand Latte Macchiato Plantaardig vorige maand]]</f>
        <v>19</v>
      </c>
      <c r="AC60" s="71">
        <f>Tabel2425678910111213141517161819212022232614[[#This Row],[Verbruik Stand Latte Macchiato Plantaardig deze maand]]+Tabel2425678910111213141517161819212022232614[[#This Row],[Verbruik  Cappucino Plantaardig deze maand]]+Tabel2425678910111213141517161819212022232614[[#This Row],[Verbruik Cappucino deze maand]]+Tabel2425678910111213141517161819212022232614[[#This Row],[Verbruik Hot Water deze maand]]+Tabel2425678910111213141517161819212022232614[[#This Row],[Verbruik Coffee Latte deze maand]]+Tabel2425678910111213141517161819212022232614[[#This Row],[Verbruik Latte Macchiato deze maand]]+Tabel2425678910111213141517161819212022232614[[#This Row],[Verbruik Espresso deze maand]]+Tabel2425678910111213141517161819212022232614[[#This Row],[Verbruik Coffee deze maand]]</f>
        <v>1989</v>
      </c>
      <c r="AD60" s="69"/>
      <c r="AE60" s="41"/>
      <c r="AF60" s="5"/>
      <c r="AG60" s="5"/>
      <c r="AH60" s="75"/>
      <c r="AI60" s="41"/>
      <c r="AJ60" s="5"/>
      <c r="AK60" s="5"/>
      <c r="AL60" s="75"/>
      <c r="AM60" s="41"/>
      <c r="AN60" s="5"/>
      <c r="AO60" s="5"/>
      <c r="AP60" s="75"/>
      <c r="AQ60" s="41"/>
      <c r="AR60" s="5"/>
      <c r="AS60" s="5"/>
      <c r="AT60" s="75"/>
      <c r="AU60" s="41"/>
      <c r="AV60" s="5"/>
      <c r="AW60" s="5"/>
      <c r="AX60" s="79"/>
      <c r="AY60" s="95">
        <f>Tabel2425678910111213141517161819212022232614[[#This Row],[Subtotaal waterbar in consumpties]]+Tabel2425678910111213141517161819212022232614[[#This Row],[Subtotaal koffieautomaten]]</f>
        <v>1989</v>
      </c>
    </row>
    <row r="61" spans="1:130" x14ac:dyDescent="0.25">
      <c r="A61" s="65" t="s">
        <v>60</v>
      </c>
      <c r="B61" t="s">
        <v>108</v>
      </c>
      <c r="C61" t="s">
        <v>36</v>
      </c>
      <c r="E61" s="46"/>
      <c r="F61" s="46"/>
      <c r="G61" s="47"/>
      <c r="H61" s="54"/>
      <c r="I61" s="46"/>
      <c r="J61" s="47"/>
      <c r="K61" s="54"/>
      <c r="L61" s="46"/>
      <c r="M61" s="47"/>
      <c r="N61" s="54"/>
      <c r="O61" s="46"/>
      <c r="P61" s="47"/>
      <c r="Q61" s="54"/>
      <c r="R61" s="46"/>
      <c r="S61" s="47"/>
      <c r="T61" s="54"/>
      <c r="U61" s="46"/>
      <c r="V61" s="47"/>
      <c r="W61" s="54"/>
      <c r="X61" s="46"/>
      <c r="Y61" s="47"/>
      <c r="Z61" s="54"/>
      <c r="AA61" s="46"/>
      <c r="AB61" s="47"/>
      <c r="AC61" s="72"/>
      <c r="AD61" s="53">
        <v>291.8</v>
      </c>
      <c r="AE61">
        <f>februari2025!AD61</f>
        <v>270.39999999999998</v>
      </c>
      <c r="AF61">
        <f>Tabel2425678910111213141517161819212022232614[[#This Row],[Stand Kamertemp liter einde maand]]-Tabel2425678910111213141517161819212022232614[[#This Row],[Stand Kamertemp liter vorige maand]]</f>
        <v>21.400000000000034</v>
      </c>
      <c r="AG61" s="2">
        <f>Tabel2425678910111213141517161819212022232614[[#This Row],[Verbruik Kamertemp liter deze maand]]/0.15</f>
        <v>142.66666666666691</v>
      </c>
      <c r="AH61" s="53">
        <v>1514.4</v>
      </c>
      <c r="AI61">
        <f>februari2025!AH61</f>
        <v>1436.3</v>
      </c>
      <c r="AJ61">
        <f>Tabel2425678910111213141517161819212022232614[[#This Row],[Stand Gekoeld liter einde maand]]-Tabel2425678910111213141517161819212022232614[[#This Row],[Stand Gekoeld liter vorige maand]]</f>
        <v>78.100000000000136</v>
      </c>
      <c r="AK61" s="2">
        <f>Tabel2425678910111213141517161819212022232614[[#This Row],[Verbruik Gekoeld liter deze maand]]/0.15</f>
        <v>520.66666666666765</v>
      </c>
      <c r="AL61" s="53">
        <v>841.8</v>
      </c>
      <c r="AM61">
        <f>februari2025!AL61</f>
        <v>815.7</v>
      </c>
      <c r="AN61">
        <f>Tabel2425678910111213141517161819212022232614[[#This Row],[Stand Bruisend liter einde maand]]-Tabel2425678910111213141517161819212022232614[[#This Row],[Stand Bruisend liter vorige maand]]</f>
        <v>26.099999999999909</v>
      </c>
      <c r="AO61" s="2">
        <f>Tabel2425678910111213141517161819212022232614[[#This Row],[Verbruik Bruisend liter deze maand]]/0.15</f>
        <v>173.9999999999994</v>
      </c>
      <c r="AP61" s="53">
        <v>1142.0999999999999</v>
      </c>
      <c r="AQ61">
        <f>februari2025!AP61</f>
        <v>1097.5999999999999</v>
      </c>
      <c r="AR61">
        <f>Tabel2425678910111213141517161819212022232614[[#This Row],[Stand licht bruisend liter einde maand]]-Tabel2425678910111213141517161819212022232614[[#This Row],[Stand licht bruisend liter vorige maand]]</f>
        <v>44.5</v>
      </c>
      <c r="AS61" s="2">
        <f>Tabel2425678910111213141517161819212022232614[[#This Row],[Verbruik licht bruisend liter deze maand]]/0.15</f>
        <v>296.66666666666669</v>
      </c>
      <c r="AT61" s="53">
        <v>4076.9</v>
      </c>
      <c r="AU61">
        <f>februari2025!AT61</f>
        <v>3896.8</v>
      </c>
      <c r="AV61">
        <f>Tabel2425678910111213141517161819212022232614[[#This Row],[Stand heet water liter einde maand]]-Tabel2425678910111213141517161819212022232614[[#This Row],[Stand heet water liter vorige maand]]</f>
        <v>180.09999999999991</v>
      </c>
      <c r="AW61" s="2">
        <f>Tabel2425678910111213141517161819212022232614[[#This Row],[Verbruik heet Water liter deze maand ]]/0.15</f>
        <v>1200.6666666666661</v>
      </c>
      <c r="AX61" s="77">
        <f>Tabel2425678910111213141517161819212022232614[[#This Row],[Aantal consumpties heet water deze maand]]+Tabel2425678910111213141517161819212022232614[[#This Row],[Aantal consumpties licht bruisend water deze maand]]+Tabel2425678910111213141517161819212022232614[[#This Row],[aantal consumpties Bruisend water deze maand]]+Tabel2425678910111213141517161819212022232614[[#This Row],[Aantal consumpties gekoeld water deze maand]]+Tabel2425678910111213141517161819212022232614[[#This Row],[Aantal consumpties Kamertemp deze maand]]</f>
        <v>2334.666666666667</v>
      </c>
      <c r="AY61" s="95">
        <f>Tabel2425678910111213141517161819212022232614[[#This Row],[Subtotaal waterbar in consumpties]]+Tabel2425678910111213141517161819212022232614[[#This Row],[Subtotaal koffieautomaten]]</f>
        <v>2334.666666666667</v>
      </c>
    </row>
    <row r="62" spans="1:130" s="81" customFormat="1" x14ac:dyDescent="0.25">
      <c r="A62" s="165" t="s">
        <v>109</v>
      </c>
      <c r="B62" s="151"/>
      <c r="C62" s="151"/>
      <c r="D62" s="166"/>
      <c r="E62" s="151"/>
      <c r="F62" s="151">
        <f>februari2025!E62</f>
        <v>0</v>
      </c>
      <c r="G62" s="151"/>
      <c r="H62" s="167"/>
      <c r="I62" s="151">
        <f>februari2025!H62</f>
        <v>0</v>
      </c>
      <c r="J62" s="151"/>
      <c r="K62" s="167"/>
      <c r="L62" s="151">
        <f>februari2025!K62</f>
        <v>0</v>
      </c>
      <c r="M62" s="151"/>
      <c r="N62" s="167"/>
      <c r="O62" s="151">
        <f>februari2025!N62</f>
        <v>0</v>
      </c>
      <c r="P62" s="151"/>
      <c r="Q62" s="167"/>
      <c r="R62" s="151">
        <f>februari2025!Q62</f>
        <v>0</v>
      </c>
      <c r="S62" s="151"/>
      <c r="T62" s="167"/>
      <c r="U62" s="151">
        <f>februari2025!T62</f>
        <v>0</v>
      </c>
      <c r="V62" s="151"/>
      <c r="W62" s="167"/>
      <c r="X62" s="151">
        <f>februari2025!W62</f>
        <v>0</v>
      </c>
      <c r="Y62" s="151"/>
      <c r="Z62" s="167"/>
      <c r="AA62" s="151">
        <f>februari2025!Z62</f>
        <v>0</v>
      </c>
      <c r="AB62" s="151"/>
      <c r="AC62" s="168"/>
      <c r="AD62" s="169"/>
      <c r="AE62" s="154"/>
      <c r="AF62" s="151"/>
      <c r="AG62" s="155"/>
      <c r="AH62" s="169"/>
      <c r="AI62" s="154"/>
      <c r="AJ62" s="151"/>
      <c r="AK62" s="155"/>
      <c r="AL62" s="169"/>
      <c r="AM62" s="154"/>
      <c r="AN62" s="151"/>
      <c r="AO62" s="155"/>
      <c r="AP62" s="169"/>
      <c r="AQ62" s="154"/>
      <c r="AR62" s="151"/>
      <c r="AS62" s="155"/>
      <c r="AT62" s="169"/>
      <c r="AU62" s="154"/>
      <c r="AV62" s="151"/>
      <c r="AW62" s="155"/>
      <c r="AX62" s="170"/>
      <c r="AY62" s="171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</row>
    <row r="63" spans="1:130" x14ac:dyDescent="0.25">
      <c r="A63" s="67">
        <v>1</v>
      </c>
      <c r="B63" t="s">
        <v>110</v>
      </c>
      <c r="C63" t="s">
        <v>31</v>
      </c>
      <c r="E63">
        <v>10681</v>
      </c>
      <c r="F63">
        <f>februari2025!E63</f>
        <v>10479</v>
      </c>
      <c r="G63">
        <f>Tabel2425678910111213141517161819212022232614[[#This Row],[Stand Coffee einde maand]]-Tabel2425678910111213141517161819212022232614[[#This Row],[Coffee vorige maand]]</f>
        <v>202</v>
      </c>
      <c r="H63" s="53">
        <v>1535</v>
      </c>
      <c r="I63">
        <f>februari2025!H63</f>
        <v>1488</v>
      </c>
      <c r="J63">
        <f>Tabel2425678910111213141517161819212022232614[[#This Row],[Stand Espresso Einde maand]]-Tabel2425678910111213141517161819212022232614[[#This Row],[Espresso vorige maand]]</f>
        <v>47</v>
      </c>
      <c r="K63" s="53">
        <v>1035</v>
      </c>
      <c r="L63">
        <f>februari2025!K63</f>
        <v>1015</v>
      </c>
      <c r="M63">
        <f>Tabel2425678910111213141517161819212022232614[[#This Row],[Stand Latte Macchiato einde maand]]-Tabel2425678910111213141517161819212022232614[[#This Row],[Latte Macchiato vorige maand]]</f>
        <v>20</v>
      </c>
      <c r="N63" s="53">
        <v>510</v>
      </c>
      <c r="O63">
        <f>februari2025!N63</f>
        <v>507</v>
      </c>
      <c r="P63">
        <f>Tabel2425678910111213141517161819212022232614[[#This Row],[Stand Coffee Latte einde maand]]-Tabel2425678910111213141517161819212022232614[[#This Row],[Coffee Latte vorige maand]]</f>
        <v>3</v>
      </c>
      <c r="Q63" s="53">
        <v>8949</v>
      </c>
      <c r="R63">
        <f>februari2025!Q63</f>
        <v>8581</v>
      </c>
      <c r="S63">
        <f>Tabel2425678910111213141517161819212022232614[[#This Row],[Stand Hot Water einde maand]]-Tabel2425678910111213141517161819212022232614[[#This Row],[Hot Water vorige maand]]</f>
        <v>368</v>
      </c>
      <c r="T63" s="53">
        <v>3662</v>
      </c>
      <c r="U63">
        <f>februari2025!T63</f>
        <v>3442</v>
      </c>
      <c r="V63">
        <f>Tabel2425678910111213141517161819212022232614[[#This Row],[Stand Cappucino einde maand]]-Tabel2425678910111213141517161819212022232614[[#This Row],[Stand Cappucino vorige maand]]</f>
        <v>220</v>
      </c>
      <c r="W63" s="53">
        <v>55</v>
      </c>
      <c r="X63">
        <f>februari2025!W63</f>
        <v>52</v>
      </c>
      <c r="Y63">
        <f>Tabel2425678910111213141517161819212022232614[[#This Row],[Stand Cappucino Plantaardig einde maand]]-Tabel2425678910111213141517161819212022232614[[#This Row],[Stand Cappucino Plantaardig vorige maand]]</f>
        <v>3</v>
      </c>
      <c r="Z63" s="53">
        <v>243</v>
      </c>
      <c r="AA63">
        <f>februari2025!Z63</f>
        <v>240</v>
      </c>
      <c r="AB63">
        <f>Tabel2425678910111213141517161819212022232614[[#This Row],[Stand Latte Macchiato Plantaardig einde maand]]-Tabel2425678910111213141517161819212022232614[[#This Row],[Stand Latte Macchiato Plantaardig vorige maand]]</f>
        <v>3</v>
      </c>
      <c r="AC63" s="71">
        <f>Tabel2425678910111213141517161819212022232614[[#This Row],[Verbruik Stand Latte Macchiato Plantaardig deze maand]]+Tabel2425678910111213141517161819212022232614[[#This Row],[Verbruik  Cappucino Plantaardig deze maand]]+Tabel2425678910111213141517161819212022232614[[#This Row],[Verbruik Cappucino deze maand]]+Tabel2425678910111213141517161819212022232614[[#This Row],[Verbruik Hot Water deze maand]]+Tabel2425678910111213141517161819212022232614[[#This Row],[Verbruik Coffee Latte deze maand]]+Tabel2425678910111213141517161819212022232614[[#This Row],[Verbruik Latte Macchiato deze maand]]+Tabel2425678910111213141517161819212022232614[[#This Row],[Verbruik Espresso deze maand]]+Tabel2425678910111213141517161819212022232614[[#This Row],[Verbruik Coffee deze maand]]</f>
        <v>866</v>
      </c>
      <c r="AD63" s="69"/>
      <c r="AE63" s="41"/>
      <c r="AF63" s="5"/>
      <c r="AG63" s="5"/>
      <c r="AH63" s="69"/>
      <c r="AI63" s="41"/>
      <c r="AJ63" s="5"/>
      <c r="AK63" s="5"/>
      <c r="AL63" s="69"/>
      <c r="AM63" s="41"/>
      <c r="AN63" s="5"/>
      <c r="AO63" s="5"/>
      <c r="AP63" s="69"/>
      <c r="AQ63" s="41"/>
      <c r="AR63" s="5"/>
      <c r="AS63" s="5"/>
      <c r="AT63" s="69"/>
      <c r="AU63" s="41"/>
      <c r="AV63" s="5"/>
      <c r="AW63" s="7"/>
      <c r="AX63" s="78"/>
      <c r="AY63" s="95">
        <f>Tabel2425678910111213141517161819212022232614[[#This Row],[Subtotaal waterbar in consumpties]]+Tabel2425678910111213141517161819212022232614[[#This Row],[Subtotaal koffieautomaten]]</f>
        <v>866</v>
      </c>
    </row>
    <row r="64" spans="1:130" x14ac:dyDescent="0.25">
      <c r="A64" s="67">
        <v>1</v>
      </c>
      <c r="B64" t="s">
        <v>111</v>
      </c>
      <c r="C64" t="s">
        <v>31</v>
      </c>
      <c r="E64">
        <v>11867</v>
      </c>
      <c r="F64">
        <f>februari2025!E64</f>
        <v>11754</v>
      </c>
      <c r="G64">
        <f>Tabel2425678910111213141517161819212022232614[[#This Row],[Stand Coffee einde maand]]-Tabel2425678910111213141517161819212022232614[[#This Row],[Coffee vorige maand]]</f>
        <v>113</v>
      </c>
      <c r="H64" s="53">
        <v>559</v>
      </c>
      <c r="I64">
        <f>februari2025!H64</f>
        <v>551</v>
      </c>
      <c r="J64">
        <f>Tabel2425678910111213141517161819212022232614[[#This Row],[Stand Espresso Einde maand]]-Tabel2425678910111213141517161819212022232614[[#This Row],[Espresso vorige maand]]</f>
        <v>8</v>
      </c>
      <c r="K64" s="53">
        <v>2153</v>
      </c>
      <c r="L64">
        <f>februari2025!K64</f>
        <v>2142</v>
      </c>
      <c r="M64">
        <f>Tabel2425678910111213141517161819212022232614[[#This Row],[Stand Latte Macchiato einde maand]]-Tabel2425678910111213141517161819212022232614[[#This Row],[Latte Macchiato vorige maand]]</f>
        <v>11</v>
      </c>
      <c r="N64" s="53">
        <v>1316</v>
      </c>
      <c r="O64">
        <f>februari2025!N64</f>
        <v>1310</v>
      </c>
      <c r="P64">
        <f>Tabel2425678910111213141517161819212022232614[[#This Row],[Stand Coffee Latte einde maand]]-Tabel2425678910111213141517161819212022232614[[#This Row],[Coffee Latte vorige maand]]</f>
        <v>6</v>
      </c>
      <c r="Q64" s="53">
        <v>9553</v>
      </c>
      <c r="R64">
        <f>februari2025!Q64</f>
        <v>9409</v>
      </c>
      <c r="S64">
        <f>Tabel2425678910111213141517161819212022232614[[#This Row],[Stand Hot Water einde maand]]-Tabel2425678910111213141517161819212022232614[[#This Row],[Hot Water vorige maand]]</f>
        <v>144</v>
      </c>
      <c r="T64" s="53">
        <v>3057</v>
      </c>
      <c r="U64">
        <f>februari2025!T64</f>
        <v>3012</v>
      </c>
      <c r="V64">
        <f>Tabel2425678910111213141517161819212022232614[[#This Row],[Stand Cappucino einde maand]]-Tabel2425678910111213141517161819212022232614[[#This Row],[Stand Cappucino vorige maand]]</f>
        <v>45</v>
      </c>
      <c r="W64" s="53">
        <v>285</v>
      </c>
      <c r="X64">
        <f>februari2025!W64</f>
        <v>285</v>
      </c>
      <c r="Y64">
        <f>Tabel2425678910111213141517161819212022232614[[#This Row],[Stand Cappucino Plantaardig einde maand]]-Tabel2425678910111213141517161819212022232614[[#This Row],[Stand Cappucino Plantaardig vorige maand]]</f>
        <v>0</v>
      </c>
      <c r="Z64" s="53">
        <v>337</v>
      </c>
      <c r="AA64">
        <f>februari2025!Z64</f>
        <v>337</v>
      </c>
      <c r="AB64">
        <f>Tabel2425678910111213141517161819212022232614[[#This Row],[Stand Latte Macchiato Plantaardig einde maand]]-Tabel2425678910111213141517161819212022232614[[#This Row],[Stand Latte Macchiato Plantaardig vorige maand]]</f>
        <v>0</v>
      </c>
      <c r="AC64" s="71">
        <f>Tabel2425678910111213141517161819212022232614[[#This Row],[Verbruik Stand Latte Macchiato Plantaardig deze maand]]+Tabel2425678910111213141517161819212022232614[[#This Row],[Verbruik  Cappucino Plantaardig deze maand]]+Tabel2425678910111213141517161819212022232614[[#This Row],[Verbruik Cappucino deze maand]]+Tabel2425678910111213141517161819212022232614[[#This Row],[Verbruik Hot Water deze maand]]+Tabel2425678910111213141517161819212022232614[[#This Row],[Verbruik Coffee Latte deze maand]]+Tabel2425678910111213141517161819212022232614[[#This Row],[Verbruik Latte Macchiato deze maand]]+Tabel2425678910111213141517161819212022232614[[#This Row],[Verbruik Espresso deze maand]]+Tabel2425678910111213141517161819212022232614[[#This Row],[Verbruik Coffee deze maand]]</f>
        <v>327</v>
      </c>
      <c r="AD64" s="69"/>
      <c r="AE64" s="41"/>
      <c r="AF64" s="5"/>
      <c r="AG64" s="5"/>
      <c r="AH64" s="69"/>
      <c r="AI64" s="41"/>
      <c r="AJ64" s="5"/>
      <c r="AK64" s="5"/>
      <c r="AL64" s="69"/>
      <c r="AM64" s="41"/>
      <c r="AN64" s="5"/>
      <c r="AO64" s="5"/>
      <c r="AP64" s="69"/>
      <c r="AQ64" s="41"/>
      <c r="AR64" s="5"/>
      <c r="AS64" s="5"/>
      <c r="AT64" s="69"/>
      <c r="AU64" s="41"/>
      <c r="AV64" s="5"/>
      <c r="AW64" s="7"/>
      <c r="AX64" s="78"/>
      <c r="AY64" s="95">
        <f>Tabel2425678910111213141517161819212022232614[[#This Row],[Subtotaal waterbar in consumpties]]+Tabel2425678910111213141517161819212022232614[[#This Row],[Subtotaal koffieautomaten]]</f>
        <v>327</v>
      </c>
    </row>
    <row r="65" spans="1:53" x14ac:dyDescent="0.25">
      <c r="A65" s="66" t="s">
        <v>112</v>
      </c>
      <c r="E65" s="3">
        <f>SUM(E5:E64)</f>
        <v>668628</v>
      </c>
      <c r="F65" s="3">
        <f>SUM(F5:F64)</f>
        <v>639276</v>
      </c>
      <c r="G65" s="3">
        <f>SUM(G4:G64)</f>
        <v>29352</v>
      </c>
      <c r="H65" s="55">
        <f>SUM(H5:H64)</f>
        <v>172271</v>
      </c>
      <c r="I65" s="3">
        <f>SUM(I5:I64)</f>
        <v>163974</v>
      </c>
      <c r="J65" s="3">
        <f>SUM(J4:J64)</f>
        <v>8297</v>
      </c>
      <c r="K65" s="55">
        <f>SUM(K5:K64)</f>
        <v>79587</v>
      </c>
      <c r="L65" s="3">
        <f>SUM(L5:L64)</f>
        <v>76543</v>
      </c>
      <c r="M65" s="3">
        <f>SUM(M4:M64)</f>
        <v>3044</v>
      </c>
      <c r="N65" s="55">
        <f>SUM(N5:N64)</f>
        <v>46408</v>
      </c>
      <c r="O65" s="3">
        <f>SUM(O5:O64)</f>
        <v>44585</v>
      </c>
      <c r="P65" s="3">
        <f>SUM(P4:P64)</f>
        <v>1823</v>
      </c>
      <c r="Q65" s="55">
        <f>SUM(Q5:Q64)</f>
        <v>809439</v>
      </c>
      <c r="R65" s="3">
        <f>SUM(R5:R64)</f>
        <v>772192</v>
      </c>
      <c r="S65" s="3">
        <f>SUM(S4:S64)</f>
        <v>37247</v>
      </c>
      <c r="T65" s="55">
        <f>SUM(T5:T64)</f>
        <v>366380</v>
      </c>
      <c r="U65" s="3">
        <f>SUM(U5:U64)</f>
        <v>351738</v>
      </c>
      <c r="V65" s="3">
        <f>SUM(V4:V64)</f>
        <v>14642</v>
      </c>
      <c r="W65" s="55">
        <f>SUM(W5:W64)</f>
        <v>66921</v>
      </c>
      <c r="X65" s="3">
        <f>SUM(X5:X64)</f>
        <v>64281</v>
      </c>
      <c r="Y65" s="3">
        <f>SUM(Y4:Y64)</f>
        <v>2640</v>
      </c>
      <c r="Z65" s="55">
        <f>SUM(Z5:Z64)</f>
        <v>24449</v>
      </c>
      <c r="AA65" s="3">
        <f>SUM(AA5:AA64)</f>
        <v>23531</v>
      </c>
      <c r="AB65" s="3">
        <f t="shared" ref="AB65:AQ65" si="0">SUM(AB4:AB64)</f>
        <v>918</v>
      </c>
      <c r="AC65" s="71">
        <f t="shared" si="0"/>
        <v>97963</v>
      </c>
      <c r="AD65" s="55">
        <f t="shared" si="0"/>
        <v>4682.0000000000009</v>
      </c>
      <c r="AE65" s="3">
        <f t="shared" si="0"/>
        <v>4179.1999999999989</v>
      </c>
      <c r="AF65" s="4">
        <f t="shared" si="0"/>
        <v>502.8</v>
      </c>
      <c r="AG65" s="4">
        <f t="shared" si="0"/>
        <v>3352.0000000000005</v>
      </c>
      <c r="AH65" s="4">
        <f t="shared" si="0"/>
        <v>27317.300000000003</v>
      </c>
      <c r="AI65" s="4">
        <f t="shared" si="0"/>
        <v>24160.2</v>
      </c>
      <c r="AJ65" s="4">
        <f t="shared" si="0"/>
        <v>3157.1000000000004</v>
      </c>
      <c r="AK65" s="4">
        <f t="shared" si="0"/>
        <v>21047.333333333328</v>
      </c>
      <c r="AL65" s="76">
        <f>SUM(AL4:AL64)</f>
        <v>19031.999999999996</v>
      </c>
      <c r="AM65" s="4">
        <f t="shared" si="0"/>
        <v>16951.5</v>
      </c>
      <c r="AN65" s="4">
        <f t="shared" si="0"/>
        <v>2080.5000000000005</v>
      </c>
      <c r="AO65" s="4">
        <f t="shared" si="0"/>
        <v>13870</v>
      </c>
      <c r="AP65" s="76">
        <f t="shared" si="0"/>
        <v>8720.9</v>
      </c>
      <c r="AQ65" s="4">
        <f t="shared" si="0"/>
        <v>7842.6</v>
      </c>
      <c r="AR65" s="3">
        <f>SUM(AR5:AR64)</f>
        <v>878.3</v>
      </c>
      <c r="AS65" s="4">
        <f>SUM(AS4:AS64)</f>
        <v>5855.3333333333348</v>
      </c>
      <c r="AT65" s="76">
        <f>SUM(AT4:AT64)</f>
        <v>66131.099999999991</v>
      </c>
      <c r="AU65" s="4">
        <f>SUM(AU4:AU64)</f>
        <v>59262.100000000006</v>
      </c>
      <c r="AV65" s="3">
        <f>SUM(AV5:AV64)</f>
        <v>6869.0000000000018</v>
      </c>
      <c r="AW65" s="4">
        <f>SUM(AW4:AW64)</f>
        <v>45793.333333333328</v>
      </c>
      <c r="AX65" s="77">
        <f>SUM(AX4:AX64)</f>
        <v>89917.999999999985</v>
      </c>
      <c r="AY65" s="95">
        <f>Tabel2425678910111213141517161819212022232614[[#This Row],[Subtotaal waterbar in consumpties]]+Tabel2425678910111213141517161819212022232614[[#This Row],[Subtotaal koffieautomaten]]</f>
        <v>187881</v>
      </c>
    </row>
    <row r="66" spans="1:53" x14ac:dyDescent="0.25">
      <c r="A66" s="91"/>
      <c r="B66" s="57"/>
      <c r="C66" s="57"/>
      <c r="D66" s="58"/>
      <c r="E66" s="57"/>
      <c r="F66" s="57"/>
      <c r="G66" s="57"/>
      <c r="H66" s="56"/>
      <c r="I66" s="57"/>
      <c r="J66" s="57"/>
      <c r="K66" s="56"/>
      <c r="L66" s="57"/>
      <c r="M66" s="57"/>
      <c r="N66" s="56"/>
      <c r="O66" s="57"/>
      <c r="P66" s="57"/>
      <c r="Q66" s="56"/>
      <c r="R66" s="57"/>
      <c r="S66" s="57"/>
      <c r="T66" s="56"/>
      <c r="U66" s="57"/>
      <c r="V66" s="57"/>
      <c r="W66" s="56"/>
      <c r="X66" s="57"/>
      <c r="Y66" s="57"/>
      <c r="Z66" s="56"/>
      <c r="AA66" s="57"/>
      <c r="AB66" s="57"/>
      <c r="AC66" s="90"/>
      <c r="AD66" s="56"/>
      <c r="AE66" s="57"/>
      <c r="AF66" s="57"/>
      <c r="AG66" s="57"/>
      <c r="AH66" s="56"/>
      <c r="AI66" s="57"/>
      <c r="AJ66" s="57"/>
      <c r="AK66" s="57"/>
      <c r="AL66" s="56"/>
      <c r="AM66" s="57"/>
      <c r="AN66" s="57"/>
      <c r="AO66" s="57"/>
      <c r="AP66" s="56"/>
      <c r="AQ66" s="57"/>
      <c r="AR66" s="57"/>
      <c r="AS66" s="57"/>
      <c r="AT66" s="56"/>
      <c r="AU66" s="57"/>
      <c r="AV66" s="57"/>
      <c r="AW66" s="57"/>
      <c r="AX66" s="92"/>
      <c r="AY66" s="96"/>
    </row>
    <row r="67" spans="1:53" x14ac:dyDescent="0.25">
      <c r="A67"/>
      <c r="D67"/>
      <c r="K67"/>
      <c r="N67"/>
      <c r="Q67"/>
      <c r="T67"/>
      <c r="W67"/>
      <c r="Z67"/>
      <c r="AC67"/>
      <c r="AD67"/>
      <c r="AH67"/>
      <c r="AL67"/>
      <c r="AP67"/>
      <c r="AT67"/>
      <c r="AX67"/>
      <c r="AY67"/>
    </row>
    <row r="68" spans="1:53" x14ac:dyDescent="0.25">
      <c r="A68"/>
      <c r="D68"/>
      <c r="K68"/>
      <c r="N68"/>
      <c r="Q68"/>
      <c r="T68"/>
      <c r="W68"/>
      <c r="Z68"/>
      <c r="AC68"/>
      <c r="AD68"/>
      <c r="AH68"/>
      <c r="AL68"/>
      <c r="AP68"/>
      <c r="AT68"/>
      <c r="AX68"/>
      <c r="AY68" s="2"/>
      <c r="AZ68" s="2"/>
    </row>
    <row r="69" spans="1:53" x14ac:dyDescent="0.25">
      <c r="A69" s="49"/>
      <c r="B69" t="s">
        <v>166</v>
      </c>
      <c r="D69"/>
      <c r="K69"/>
      <c r="N69"/>
      <c r="Q69"/>
      <c r="T69"/>
      <c r="W69"/>
      <c r="Z69"/>
      <c r="AC69"/>
      <c r="AD69"/>
      <c r="AH69"/>
      <c r="AL69"/>
      <c r="AP69"/>
      <c r="AT69"/>
      <c r="AX69"/>
      <c r="AY69" s="4"/>
      <c r="AZ69" s="4"/>
      <c r="BA69" s="48"/>
    </row>
    <row r="70" spans="1:53" x14ac:dyDescent="0.25">
      <c r="A70" s="50"/>
      <c r="B70" t="s">
        <v>167</v>
      </c>
      <c r="D70"/>
      <c r="K70"/>
      <c r="N70"/>
      <c r="Q70"/>
      <c r="T70"/>
      <c r="W70"/>
      <c r="Z70"/>
      <c r="AC70"/>
      <c r="AD70"/>
      <c r="AH70"/>
      <c r="AL70"/>
      <c r="AP70"/>
      <c r="AT70"/>
      <c r="AX70"/>
      <c r="AY70" s="3"/>
      <c r="AZ70" s="4"/>
      <c r="BA70" s="48"/>
    </row>
    <row r="71" spans="1:53" x14ac:dyDescent="0.25">
      <c r="A71"/>
      <c r="D71"/>
      <c r="K71"/>
      <c r="N71"/>
      <c r="Q71"/>
      <c r="T71"/>
      <c r="W71"/>
      <c r="Z71"/>
      <c r="AC71"/>
      <c r="AD71"/>
      <c r="AH71"/>
      <c r="AL71"/>
      <c r="AP71"/>
      <c r="AT71"/>
      <c r="AX71"/>
      <c r="AY71"/>
      <c r="AZ71" s="2"/>
    </row>
    <row r="72" spans="1:53" x14ac:dyDescent="0.25">
      <c r="A72"/>
      <c r="D72"/>
      <c r="K72"/>
      <c r="N72"/>
      <c r="Q72"/>
      <c r="T72"/>
      <c r="W72"/>
      <c r="Z72"/>
      <c r="AC72"/>
      <c r="AD72"/>
      <c r="AH72"/>
      <c r="AL72"/>
      <c r="AP72"/>
      <c r="AT72"/>
      <c r="AX72"/>
      <c r="AY72"/>
    </row>
    <row r="73" spans="1:53" x14ac:dyDescent="0.25">
      <c r="A73"/>
      <c r="D73"/>
      <c r="K73"/>
      <c r="N73"/>
      <c r="Q73"/>
      <c r="T73"/>
      <c r="W73"/>
      <c r="Z73"/>
      <c r="AC73"/>
      <c r="AD73"/>
      <c r="AH73"/>
      <c r="AL73"/>
      <c r="AP73"/>
      <c r="AT73"/>
      <c r="AX73"/>
      <c r="AY73"/>
    </row>
    <row r="74" spans="1:53" x14ac:dyDescent="0.25">
      <c r="A74"/>
      <c r="D74"/>
      <c r="K74"/>
      <c r="N74"/>
      <c r="Q74"/>
      <c r="T74"/>
      <c r="W74"/>
      <c r="Z74"/>
      <c r="AC74"/>
      <c r="AD74"/>
      <c r="AH74"/>
      <c r="AL74"/>
      <c r="AP74"/>
      <c r="AT74"/>
      <c r="AX74"/>
      <c r="AY74"/>
    </row>
    <row r="75" spans="1:53" x14ac:dyDescent="0.25">
      <c r="A75"/>
      <c r="D75"/>
      <c r="K75"/>
      <c r="N75"/>
      <c r="Q75"/>
      <c r="T75"/>
      <c r="W75"/>
      <c r="Z75"/>
      <c r="AC75"/>
      <c r="AD75"/>
      <c r="AH75"/>
      <c r="AL75"/>
      <c r="AP75"/>
      <c r="AT75"/>
      <c r="AX75"/>
      <c r="AY75"/>
    </row>
    <row r="76" spans="1:53" x14ac:dyDescent="0.25">
      <c r="A76"/>
      <c r="D76"/>
      <c r="K76"/>
      <c r="N76"/>
      <c r="Q76"/>
      <c r="T76"/>
      <c r="W76"/>
      <c r="Z76"/>
      <c r="AC76"/>
      <c r="AD76"/>
      <c r="AH76"/>
      <c r="AL76"/>
      <c r="AP76"/>
      <c r="AT76"/>
      <c r="AX76"/>
      <c r="AY76"/>
    </row>
    <row r="77" spans="1:53" x14ac:dyDescent="0.25">
      <c r="A77"/>
      <c r="D77"/>
      <c r="K77"/>
      <c r="N77"/>
      <c r="Q77"/>
      <c r="T77"/>
      <c r="W77"/>
      <c r="Z77"/>
      <c r="AC77"/>
      <c r="AD77"/>
      <c r="AH77"/>
      <c r="AL77"/>
      <c r="AP77"/>
      <c r="AT77"/>
      <c r="AX77"/>
      <c r="AY77"/>
    </row>
    <row r="78" spans="1:53" x14ac:dyDescent="0.25">
      <c r="A78"/>
      <c r="D78"/>
      <c r="K78"/>
      <c r="N78"/>
      <c r="Q78"/>
      <c r="T78"/>
      <c r="W78"/>
      <c r="Z78"/>
      <c r="AC78"/>
      <c r="AD78"/>
      <c r="AH78"/>
      <c r="AL78"/>
      <c r="AP78"/>
      <c r="AT78"/>
      <c r="AX78"/>
      <c r="AY78"/>
    </row>
    <row r="79" spans="1:53" x14ac:dyDescent="0.25">
      <c r="A79"/>
      <c r="D79"/>
      <c r="K79"/>
      <c r="N79"/>
      <c r="Q79"/>
      <c r="T79"/>
      <c r="W79"/>
      <c r="Z79"/>
      <c r="AC79"/>
      <c r="AD79"/>
      <c r="AH79"/>
      <c r="AL79"/>
      <c r="AP79"/>
      <c r="AT79"/>
      <c r="AX79"/>
      <c r="AY79"/>
    </row>
    <row r="80" spans="1:53" x14ac:dyDescent="0.25">
      <c r="A80"/>
      <c r="D80"/>
      <c r="K80"/>
      <c r="N80"/>
      <c r="Q80"/>
      <c r="T80"/>
      <c r="W80"/>
      <c r="Z80"/>
      <c r="AC80"/>
      <c r="AD80"/>
      <c r="AH80"/>
      <c r="AL80"/>
      <c r="AP80"/>
      <c r="AT80"/>
      <c r="AX80"/>
      <c r="AY80"/>
    </row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</sheetData>
  <mergeCells count="3">
    <mergeCell ref="A1:D1"/>
    <mergeCell ref="E1:AC1"/>
    <mergeCell ref="AD1:AY1"/>
  </mergeCells>
  <pageMargins left="0.7" right="0.7" top="0.75" bottom="0.75" header="0.3" footer="0.3"/>
  <legacyDrawing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BAB33-A96B-4282-B061-0E4DE4C3773B}">
  <dimension ref="A1:DZ147"/>
  <sheetViews>
    <sheetView topLeftCell="AP1" zoomScale="140" zoomScaleNormal="140" workbookViewId="0">
      <pane ySplit="2" topLeftCell="A49" activePane="bottomLeft" state="frozen"/>
      <selection pane="bottomLeft" activeCell="A3" sqref="A3:XFD3"/>
    </sheetView>
  </sheetViews>
  <sheetFormatPr defaultRowHeight="15" x14ac:dyDescent="0.25"/>
  <cols>
    <col min="1" max="1" width="32.140625" style="65" bestFit="1" customWidth="1"/>
    <col min="2" max="2" width="21.42578125" bestFit="1" customWidth="1"/>
    <col min="3" max="3" width="25.42578125" bestFit="1" customWidth="1"/>
    <col min="4" max="4" width="18.5703125" style="52" customWidth="1"/>
    <col min="5" max="5" width="10.140625" customWidth="1"/>
    <col min="6" max="6" width="10.42578125" customWidth="1"/>
    <col min="7" max="7" width="10.5703125" customWidth="1"/>
    <col min="8" max="8" width="11.85546875" customWidth="1"/>
    <col min="9" max="9" width="11.7109375" customWidth="1"/>
    <col min="10" max="10" width="12.42578125" customWidth="1"/>
    <col min="11" max="11" width="17.140625" style="53" customWidth="1"/>
    <col min="12" max="12" width="13.5703125" customWidth="1"/>
    <col min="13" max="13" width="13.42578125" bestFit="1" customWidth="1"/>
    <col min="14" max="14" width="14" style="53" customWidth="1"/>
    <col min="15" max="16" width="14" customWidth="1"/>
    <col min="17" max="17" width="14.140625" style="53" customWidth="1"/>
    <col min="18" max="19" width="12.28515625" customWidth="1"/>
    <col min="20" max="20" width="12.42578125" style="53" customWidth="1"/>
    <col min="21" max="22" width="12.42578125" customWidth="1"/>
    <col min="23" max="23" width="17" style="53" customWidth="1"/>
    <col min="24" max="25" width="17" customWidth="1"/>
    <col min="26" max="26" width="20.7109375" style="53" customWidth="1"/>
    <col min="27" max="28" width="20.7109375" customWidth="1"/>
    <col min="29" max="29" width="14.7109375" style="74" customWidth="1"/>
    <col min="30" max="30" width="17.5703125" style="53" customWidth="1"/>
    <col min="31" max="32" width="17.5703125" customWidth="1"/>
    <col min="33" max="33" width="20.28515625" customWidth="1"/>
    <col min="34" max="34" width="14.42578125" style="53" customWidth="1"/>
    <col min="35" max="36" width="14.42578125" customWidth="1"/>
    <col min="37" max="37" width="21.28515625" customWidth="1"/>
    <col min="38" max="38" width="15.140625" style="53" customWidth="1"/>
    <col min="39" max="40" width="15.140625" customWidth="1"/>
    <col min="41" max="41" width="21.28515625" customWidth="1"/>
    <col min="42" max="42" width="19.42578125" style="53" customWidth="1"/>
    <col min="43" max="44" width="19.42578125" customWidth="1"/>
    <col min="45" max="45" width="21.28515625" customWidth="1"/>
    <col min="46" max="46" width="17" style="53" customWidth="1"/>
    <col min="47" max="48" width="17" customWidth="1"/>
    <col min="49" max="49" width="21.28515625" customWidth="1"/>
    <col min="50" max="50" width="20" style="74" customWidth="1"/>
    <col min="51" max="51" width="23.5703125" style="68" bestFit="1" customWidth="1"/>
    <col min="52" max="52" width="10" bestFit="1" customWidth="1"/>
    <col min="53" max="53" width="14.28515625" bestFit="1" customWidth="1"/>
  </cols>
  <sheetData>
    <row r="1" spans="1:130" ht="14.45" customHeight="1" x14ac:dyDescent="0.25">
      <c r="A1" s="61" t="s">
        <v>0</v>
      </c>
      <c r="B1" s="62"/>
      <c r="C1" s="62"/>
      <c r="D1" s="63"/>
      <c r="E1" s="174" t="s">
        <v>1</v>
      </c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3" t="s">
        <v>2</v>
      </c>
      <c r="AE1" s="174"/>
      <c r="AF1" s="174"/>
      <c r="AG1" s="174"/>
      <c r="AH1" s="174"/>
      <c r="AI1" s="174"/>
      <c r="AJ1" s="174"/>
      <c r="AK1" s="174"/>
      <c r="AL1" s="174"/>
      <c r="AM1" s="174"/>
      <c r="AN1" s="174"/>
      <c r="AO1" s="174"/>
      <c r="AP1" s="174"/>
      <c r="AQ1" s="174"/>
      <c r="AR1" s="174"/>
      <c r="AS1" s="174"/>
      <c r="AT1" s="174"/>
      <c r="AU1" s="174"/>
      <c r="AV1" s="174"/>
      <c r="AW1" s="174"/>
      <c r="AX1" s="174"/>
      <c r="AY1" s="174"/>
    </row>
    <row r="2" spans="1:130" ht="120" customHeight="1" x14ac:dyDescent="0.25">
      <c r="A2" s="65" t="s">
        <v>3</v>
      </c>
      <c r="B2" t="s">
        <v>4</v>
      </c>
      <c r="C2" t="s">
        <v>5</v>
      </c>
      <c r="D2" s="52" t="s">
        <v>6</v>
      </c>
      <c r="E2" s="1" t="s">
        <v>113</v>
      </c>
      <c r="F2" s="1" t="s">
        <v>114</v>
      </c>
      <c r="G2" s="60" t="s">
        <v>115</v>
      </c>
      <c r="H2" s="1" t="s">
        <v>116</v>
      </c>
      <c r="I2" s="1" t="s">
        <v>117</v>
      </c>
      <c r="J2" s="1" t="s">
        <v>118</v>
      </c>
      <c r="K2" s="59" t="s">
        <v>119</v>
      </c>
      <c r="L2" s="1" t="s">
        <v>120</v>
      </c>
      <c r="M2" s="1" t="s">
        <v>121</v>
      </c>
      <c r="N2" s="59" t="s">
        <v>122</v>
      </c>
      <c r="O2" s="1" t="s">
        <v>123</v>
      </c>
      <c r="P2" s="1" t="s">
        <v>124</v>
      </c>
      <c r="Q2" s="59" t="s">
        <v>125</v>
      </c>
      <c r="R2" s="1" t="s">
        <v>126</v>
      </c>
      <c r="S2" s="1" t="s">
        <v>127</v>
      </c>
      <c r="T2" s="59" t="s">
        <v>128</v>
      </c>
      <c r="U2" s="1" t="s">
        <v>129</v>
      </c>
      <c r="V2" s="1" t="s">
        <v>130</v>
      </c>
      <c r="W2" s="59" t="s">
        <v>131</v>
      </c>
      <c r="X2" s="1" t="s">
        <v>132</v>
      </c>
      <c r="Y2" s="1" t="s">
        <v>133</v>
      </c>
      <c r="Z2" s="59" t="s">
        <v>134</v>
      </c>
      <c r="AA2" s="1" t="s">
        <v>135</v>
      </c>
      <c r="AB2" s="1" t="s">
        <v>136</v>
      </c>
      <c r="AC2" s="70" t="s">
        <v>15</v>
      </c>
      <c r="AD2" s="59" t="s">
        <v>137</v>
      </c>
      <c r="AE2" s="1" t="s">
        <v>138</v>
      </c>
      <c r="AF2" s="1" t="s">
        <v>139</v>
      </c>
      <c r="AG2" s="1" t="s">
        <v>140</v>
      </c>
      <c r="AH2" s="59" t="s">
        <v>141</v>
      </c>
      <c r="AI2" s="1" t="s">
        <v>142</v>
      </c>
      <c r="AJ2" s="1" t="s">
        <v>143</v>
      </c>
      <c r="AK2" s="1" t="s">
        <v>144</v>
      </c>
      <c r="AL2" s="59" t="s">
        <v>145</v>
      </c>
      <c r="AM2" s="1" t="s">
        <v>146</v>
      </c>
      <c r="AN2" s="1" t="s">
        <v>147</v>
      </c>
      <c r="AO2" s="1" t="s">
        <v>148</v>
      </c>
      <c r="AP2" s="59" t="s">
        <v>149</v>
      </c>
      <c r="AQ2" s="1" t="s">
        <v>150</v>
      </c>
      <c r="AR2" s="1" t="s">
        <v>151</v>
      </c>
      <c r="AS2" s="1" t="s">
        <v>152</v>
      </c>
      <c r="AT2" s="59" t="s">
        <v>153</v>
      </c>
      <c r="AU2" s="1" t="s">
        <v>154</v>
      </c>
      <c r="AV2" s="1" t="s">
        <v>155</v>
      </c>
      <c r="AW2" s="1" t="s">
        <v>156</v>
      </c>
      <c r="AX2" s="70" t="s">
        <v>157</v>
      </c>
      <c r="AY2" s="93" t="s">
        <v>27</v>
      </c>
    </row>
    <row r="3" spans="1:130" s="146" customFormat="1" x14ac:dyDescent="0.25">
      <c r="A3" s="158" t="s">
        <v>168</v>
      </c>
      <c r="B3" s="147"/>
      <c r="C3" s="147"/>
      <c r="D3" s="159"/>
      <c r="E3" s="149"/>
      <c r="F3" s="147"/>
      <c r="G3" s="147"/>
      <c r="H3" s="149"/>
      <c r="I3" s="147"/>
      <c r="J3" s="147"/>
      <c r="K3" s="160"/>
      <c r="L3" s="147"/>
      <c r="M3" s="147"/>
      <c r="N3" s="160"/>
      <c r="O3" s="147"/>
      <c r="P3" s="147"/>
      <c r="Q3" s="160"/>
      <c r="R3" s="147"/>
      <c r="S3" s="147"/>
      <c r="T3" s="160"/>
      <c r="U3" s="147"/>
      <c r="V3" s="147"/>
      <c r="W3" s="160"/>
      <c r="X3" s="147"/>
      <c r="Y3" s="147"/>
      <c r="Z3" s="160"/>
      <c r="AA3" s="147"/>
      <c r="AB3" s="147"/>
      <c r="AC3" s="161"/>
      <c r="AD3" s="162"/>
      <c r="AE3" s="147"/>
      <c r="AF3" s="147"/>
      <c r="AG3" s="148"/>
      <c r="AH3" s="160"/>
      <c r="AI3" s="147"/>
      <c r="AJ3" s="147"/>
      <c r="AK3" s="148"/>
      <c r="AL3" s="160"/>
      <c r="AM3" s="147"/>
      <c r="AN3" s="147"/>
      <c r="AO3" s="148"/>
      <c r="AP3" s="160"/>
      <c r="AQ3" s="147"/>
      <c r="AR3" s="147"/>
      <c r="AS3" s="148"/>
      <c r="AT3" s="160"/>
      <c r="AU3" s="147"/>
      <c r="AV3" s="147"/>
      <c r="AW3" s="148"/>
      <c r="AX3" s="163"/>
      <c r="AY3" s="164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</row>
    <row r="4" spans="1:130" s="81" customFormat="1" ht="14.45" customHeight="1" x14ac:dyDescent="0.25">
      <c r="A4" s="80" t="s">
        <v>28</v>
      </c>
      <c r="D4" s="82"/>
      <c r="E4" s="83"/>
      <c r="H4" s="84"/>
      <c r="K4" s="84"/>
      <c r="N4" s="84"/>
      <c r="Q4" s="84"/>
      <c r="T4" s="84"/>
      <c r="W4" s="84"/>
      <c r="Z4" s="84"/>
      <c r="AC4" s="85"/>
      <c r="AD4" s="86"/>
      <c r="AG4" s="87"/>
      <c r="AH4" s="84"/>
      <c r="AK4" s="87"/>
      <c r="AL4" s="84"/>
      <c r="AO4" s="87"/>
      <c r="AP4" s="84"/>
      <c r="AS4" s="87"/>
      <c r="AT4" s="84"/>
      <c r="AW4" s="87"/>
      <c r="AX4" s="88"/>
      <c r="AY4" s="9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</row>
    <row r="5" spans="1:130" ht="14.45" customHeight="1" x14ac:dyDescent="0.25">
      <c r="A5" s="65" t="s">
        <v>29</v>
      </c>
      <c r="B5" t="s">
        <v>30</v>
      </c>
      <c r="C5" t="s">
        <v>31</v>
      </c>
      <c r="E5">
        <v>7908</v>
      </c>
      <c r="F5">
        <f>maart2025!E5</f>
        <v>7458</v>
      </c>
      <c r="G5">
        <f>Tabel242567891011121314151716181921202223261415[[#This Row],[Stand Coffee einde maand]]-Tabel242567891011121314151716181921202223261415[[#This Row],[Coffee vorige maand]]</f>
        <v>450</v>
      </c>
      <c r="H5" s="53">
        <v>3716</v>
      </c>
      <c r="I5">
        <f>maart2025!H5</f>
        <v>3582</v>
      </c>
      <c r="J5">
        <f>Tabel242567891011121314151716181921202223261415[[#This Row],[Stand Espresso Einde maand]]-Tabel242567891011121314151716181921202223261415[[#This Row],[Espresso vorige maand]]</f>
        <v>134</v>
      </c>
      <c r="K5" s="53">
        <v>2287</v>
      </c>
      <c r="L5">
        <f>maart2025!K5</f>
        <v>2200</v>
      </c>
      <c r="M5">
        <f>Tabel242567891011121314151716181921202223261415[[#This Row],[Stand Latte Macchiato einde maand]]-Tabel242567891011121314151716181921202223261415[[#This Row],[Latte Macchiato vorige maand]]</f>
        <v>87</v>
      </c>
      <c r="N5" s="53">
        <v>1148</v>
      </c>
      <c r="O5">
        <f>maart2025!N5</f>
        <v>1086</v>
      </c>
      <c r="P5">
        <f>Tabel242567891011121314151716181921202223261415[[#This Row],[Stand Coffee Latte einde maand]]-Tabel242567891011121314151716181921202223261415[[#This Row],[Coffee Latte vorige maand]]</f>
        <v>62</v>
      </c>
      <c r="Q5" s="53">
        <v>7036</v>
      </c>
      <c r="R5">
        <f>maart2025!Q5</f>
        <v>6895</v>
      </c>
      <c r="S5">
        <f>Tabel242567891011121314151716181921202223261415[[#This Row],[Stand Hot Water einde maand]]-Tabel242567891011121314151716181921202223261415[[#This Row],[Hot Water vorige maand]]</f>
        <v>141</v>
      </c>
      <c r="T5" s="53">
        <v>8834</v>
      </c>
      <c r="U5">
        <f>maart2025!T5</f>
        <v>8534</v>
      </c>
      <c r="V5">
        <f>Tabel242567891011121314151716181921202223261415[[#This Row],[Stand Cappucino einde maand]]-Tabel242567891011121314151716181921202223261415[[#This Row],[Stand Cappucino vorige maand]]</f>
        <v>300</v>
      </c>
      <c r="W5" s="53">
        <v>190</v>
      </c>
      <c r="X5">
        <f>maart2025!W5</f>
        <v>180</v>
      </c>
      <c r="Y5">
        <f>Tabel242567891011121314151716181921202223261415[[#This Row],[Stand Cappucino Plantaardig einde maand]]-Tabel242567891011121314151716181921202223261415[[#This Row],[Stand Cappucino Plantaardig vorige maand]]</f>
        <v>10</v>
      </c>
      <c r="Z5" s="53">
        <v>366</v>
      </c>
      <c r="AA5">
        <f>maart2025!Z5</f>
        <v>364</v>
      </c>
      <c r="AB5">
        <f>Tabel242567891011121314151716181921202223261415[[#This Row],[Stand Latte Macchiato Plantaardig einde maand]]-Tabel242567891011121314151716181921202223261415[[#This Row],[Stand Latte Macchiato Plantaardig vorige maand]]</f>
        <v>2</v>
      </c>
      <c r="AC5" s="71">
        <f>Tabel242567891011121314151716181921202223261415[[#This Row],[Verbruik Stand Latte Macchiato Plantaardig deze maand]]+Tabel242567891011121314151716181921202223261415[[#This Row],[Verbruik  Cappucino Plantaardig deze maand]]+Tabel242567891011121314151716181921202223261415[[#This Row],[Verbruik Cappucino deze maand]]+Tabel242567891011121314151716181921202223261415[[#This Row],[Verbruik Hot Water deze maand]]+Tabel242567891011121314151716181921202223261415[[#This Row],[Verbruik Coffee Latte deze maand]]+Tabel242567891011121314151716181921202223261415[[#This Row],[Verbruik Latte Macchiato deze maand]]+Tabel242567891011121314151716181921202223261415[[#This Row],[Verbruik Espresso deze maand]]+Tabel242567891011121314151716181921202223261415[[#This Row],[Verbruik Coffee deze maand]]</f>
        <v>1186</v>
      </c>
      <c r="AD5" s="69"/>
      <c r="AE5" s="41"/>
      <c r="AF5" s="5"/>
      <c r="AG5" s="5"/>
      <c r="AH5" s="69"/>
      <c r="AI5" s="41"/>
      <c r="AJ5" s="5"/>
      <c r="AK5" s="5"/>
      <c r="AL5" s="69"/>
      <c r="AM5" s="41"/>
      <c r="AN5" s="5"/>
      <c r="AO5" s="5"/>
      <c r="AP5" s="69"/>
      <c r="AQ5" s="41"/>
      <c r="AR5" s="5"/>
      <c r="AS5" s="5"/>
      <c r="AT5" s="69"/>
      <c r="AU5" s="41"/>
      <c r="AV5" s="5"/>
      <c r="AW5" s="7"/>
      <c r="AX5" s="78"/>
      <c r="AY5" s="95">
        <f>Tabel242567891011121314151716181921202223261415[[#This Row],[Subtotaal waterbar in consumpties]]+Tabel242567891011121314151716181921202223261415[[#This Row],[Subtotaal koffieautomaten]]</f>
        <v>1186</v>
      </c>
    </row>
    <row r="6" spans="1:130" ht="14.45" customHeight="1" x14ac:dyDescent="0.25">
      <c r="A6" s="65" t="s">
        <v>32</v>
      </c>
      <c r="B6" t="s">
        <v>33</v>
      </c>
      <c r="C6" t="s">
        <v>31</v>
      </c>
      <c r="E6">
        <v>12565</v>
      </c>
      <c r="F6">
        <f>maart2025!E6</f>
        <v>11984</v>
      </c>
      <c r="G6">
        <f>Tabel242567891011121314151716181921202223261415[[#This Row],[Stand Coffee einde maand]]-Tabel242567891011121314151716181921202223261415[[#This Row],[Coffee vorige maand]]</f>
        <v>581</v>
      </c>
      <c r="H6" s="53">
        <v>3504</v>
      </c>
      <c r="I6">
        <f>maart2025!H6</f>
        <v>3418</v>
      </c>
      <c r="J6">
        <f>Tabel242567891011121314151716181921202223261415[[#This Row],[Stand Espresso Einde maand]]-Tabel242567891011121314151716181921202223261415[[#This Row],[Espresso vorige maand]]</f>
        <v>86</v>
      </c>
      <c r="K6" s="53">
        <v>2431</v>
      </c>
      <c r="L6">
        <f>maart2025!K6</f>
        <v>2339</v>
      </c>
      <c r="M6">
        <f>Tabel242567891011121314151716181921202223261415[[#This Row],[Stand Latte Macchiato einde maand]]-Tabel242567891011121314151716181921202223261415[[#This Row],[Latte Macchiato vorige maand]]</f>
        <v>92</v>
      </c>
      <c r="N6" s="53">
        <v>2021</v>
      </c>
      <c r="O6">
        <f>maart2025!N6</f>
        <v>1975</v>
      </c>
      <c r="P6">
        <f>Tabel242567891011121314151716181921202223261415[[#This Row],[Stand Coffee Latte einde maand]]-Tabel242567891011121314151716181921202223261415[[#This Row],[Coffee Latte vorige maand]]</f>
        <v>46</v>
      </c>
      <c r="Q6" s="53">
        <v>27526</v>
      </c>
      <c r="R6">
        <f>maart2025!Q6</f>
        <v>26511</v>
      </c>
      <c r="S6">
        <f>Tabel242567891011121314151716181921202223261415[[#This Row],[Stand Hot Water einde maand]]-Tabel242567891011121314151716181921202223261415[[#This Row],[Hot Water vorige maand]]</f>
        <v>1015</v>
      </c>
      <c r="T6" s="53">
        <v>11902</v>
      </c>
      <c r="U6">
        <f>maart2025!T6</f>
        <v>11530</v>
      </c>
      <c r="V6">
        <f>Tabel242567891011121314151716181921202223261415[[#This Row],[Stand Cappucino einde maand]]-Tabel242567891011121314151716181921202223261415[[#This Row],[Stand Cappucino vorige maand]]</f>
        <v>372</v>
      </c>
      <c r="W6" s="53">
        <v>1625</v>
      </c>
      <c r="X6">
        <f>maart2025!W6</f>
        <v>1526</v>
      </c>
      <c r="Y6">
        <f>Tabel242567891011121314151716181921202223261415[[#This Row],[Stand Cappucino Plantaardig einde maand]]-Tabel242567891011121314151716181921202223261415[[#This Row],[Stand Cappucino Plantaardig vorige maand]]</f>
        <v>99</v>
      </c>
      <c r="Z6" s="53">
        <v>723</v>
      </c>
      <c r="AA6">
        <f>maart2025!Z6</f>
        <v>700</v>
      </c>
      <c r="AB6">
        <f>Tabel242567891011121314151716181921202223261415[[#This Row],[Stand Latte Macchiato Plantaardig einde maand]]-Tabel242567891011121314151716181921202223261415[[#This Row],[Stand Latte Macchiato Plantaardig vorige maand]]</f>
        <v>23</v>
      </c>
      <c r="AC6" s="71">
        <f>Tabel242567891011121314151716181921202223261415[[#This Row],[Verbruik Stand Latte Macchiato Plantaardig deze maand]]+Tabel242567891011121314151716181921202223261415[[#This Row],[Verbruik  Cappucino Plantaardig deze maand]]+Tabel242567891011121314151716181921202223261415[[#This Row],[Verbruik Cappucino deze maand]]+Tabel242567891011121314151716181921202223261415[[#This Row],[Verbruik Hot Water deze maand]]+Tabel242567891011121314151716181921202223261415[[#This Row],[Verbruik Coffee Latte deze maand]]+Tabel242567891011121314151716181921202223261415[[#This Row],[Verbruik Latte Macchiato deze maand]]+Tabel242567891011121314151716181921202223261415[[#This Row],[Verbruik Espresso deze maand]]+Tabel242567891011121314151716181921202223261415[[#This Row],[Verbruik Coffee deze maand]]</f>
        <v>2314</v>
      </c>
      <c r="AD6" s="69"/>
      <c r="AE6" s="41"/>
      <c r="AF6" s="5"/>
      <c r="AG6" s="5"/>
      <c r="AH6" s="69"/>
      <c r="AI6" s="41"/>
      <c r="AJ6" s="5"/>
      <c r="AK6" s="5"/>
      <c r="AL6" s="69"/>
      <c r="AM6" s="41"/>
      <c r="AN6" s="5"/>
      <c r="AO6" s="5"/>
      <c r="AP6" s="69"/>
      <c r="AQ6" s="41"/>
      <c r="AR6" s="5"/>
      <c r="AS6" s="5"/>
      <c r="AT6" s="69"/>
      <c r="AU6" s="41"/>
      <c r="AV6" s="5"/>
      <c r="AW6" s="7"/>
      <c r="AX6" s="78"/>
      <c r="AY6" s="95">
        <f>Tabel242567891011121314151716181921202223261415[[#This Row],[Subtotaal waterbar in consumpties]]+Tabel242567891011121314151716181921202223261415[[#This Row],[Subtotaal koffieautomaten]]</f>
        <v>2314</v>
      </c>
    </row>
    <row r="7" spans="1:130" ht="14.45" customHeight="1" x14ac:dyDescent="0.25">
      <c r="A7" s="65" t="s">
        <v>34</v>
      </c>
      <c r="B7" t="s">
        <v>35</v>
      </c>
      <c r="C7" t="s">
        <v>47</v>
      </c>
      <c r="E7">
        <v>11823</v>
      </c>
      <c r="F7">
        <f>maart2025!E7</f>
        <v>11169</v>
      </c>
      <c r="G7">
        <f>Tabel242567891011121314151716181921202223261415[[#This Row],[Stand Coffee einde maand]]-Tabel242567891011121314151716181921202223261415[[#This Row],[Coffee vorige maand]]</f>
        <v>654</v>
      </c>
      <c r="H7" s="53">
        <v>3136</v>
      </c>
      <c r="I7">
        <f>maart2025!H7</f>
        <v>2910</v>
      </c>
      <c r="J7">
        <f>Tabel242567891011121314151716181921202223261415[[#This Row],[Stand Espresso Einde maand]]-Tabel242567891011121314151716181921202223261415[[#This Row],[Espresso vorige maand]]</f>
        <v>226</v>
      </c>
      <c r="K7" s="53">
        <v>3026</v>
      </c>
      <c r="L7">
        <f>maart2025!K7</f>
        <v>2914</v>
      </c>
      <c r="M7">
        <f>Tabel242567891011121314151716181921202223261415[[#This Row],[Stand Latte Macchiato einde maand]]-Tabel242567891011121314151716181921202223261415[[#This Row],[Latte Macchiato vorige maand]]</f>
        <v>112</v>
      </c>
      <c r="N7" s="53">
        <v>1375</v>
      </c>
      <c r="O7">
        <f>maart2025!N7</f>
        <v>1310</v>
      </c>
      <c r="P7">
        <f>Tabel242567891011121314151716181921202223261415[[#This Row],[Stand Coffee Latte einde maand]]-Tabel242567891011121314151716181921202223261415[[#This Row],[Coffee Latte vorige maand]]</f>
        <v>65</v>
      </c>
      <c r="Q7" s="53">
        <v>11195</v>
      </c>
      <c r="R7">
        <f>maart2025!Q7</f>
        <v>10701</v>
      </c>
      <c r="S7">
        <f>Tabel242567891011121314151716181921202223261415[[#This Row],[Stand Hot Water einde maand]]-Tabel242567891011121314151716181921202223261415[[#This Row],[Hot Water vorige maand]]</f>
        <v>494</v>
      </c>
      <c r="T7" s="53">
        <v>11262</v>
      </c>
      <c r="U7">
        <f>maart2025!T7</f>
        <v>10690</v>
      </c>
      <c r="V7">
        <f>Tabel242567891011121314151716181921202223261415[[#This Row],[Stand Cappucino einde maand]]-Tabel242567891011121314151716181921202223261415[[#This Row],[Stand Cappucino vorige maand]]</f>
        <v>572</v>
      </c>
      <c r="W7" s="53">
        <v>1040</v>
      </c>
      <c r="X7">
        <f>maart2025!W7</f>
        <v>968</v>
      </c>
      <c r="Y7">
        <f>Tabel242567891011121314151716181921202223261415[[#This Row],[Stand Cappucino Plantaardig einde maand]]-Tabel242567891011121314151716181921202223261415[[#This Row],[Stand Cappucino Plantaardig vorige maand]]</f>
        <v>72</v>
      </c>
      <c r="Z7" s="53">
        <v>434</v>
      </c>
      <c r="AA7">
        <f>maart2025!Z7</f>
        <v>410</v>
      </c>
      <c r="AB7">
        <f>Tabel242567891011121314151716181921202223261415[[#This Row],[Stand Latte Macchiato Plantaardig einde maand]]-Tabel242567891011121314151716181921202223261415[[#This Row],[Stand Latte Macchiato Plantaardig vorige maand]]</f>
        <v>24</v>
      </c>
      <c r="AC7" s="71">
        <f>Tabel242567891011121314151716181921202223261415[[#This Row],[Verbruik Stand Latte Macchiato Plantaardig deze maand]]+Tabel242567891011121314151716181921202223261415[[#This Row],[Verbruik  Cappucino Plantaardig deze maand]]+Tabel242567891011121314151716181921202223261415[[#This Row],[Verbruik Cappucino deze maand]]+Tabel242567891011121314151716181921202223261415[[#This Row],[Verbruik Hot Water deze maand]]+Tabel242567891011121314151716181921202223261415[[#This Row],[Verbruik Coffee Latte deze maand]]+Tabel242567891011121314151716181921202223261415[[#This Row],[Verbruik Latte Macchiato deze maand]]+Tabel242567891011121314151716181921202223261415[[#This Row],[Verbruik Espresso deze maand]]+Tabel242567891011121314151716181921202223261415[[#This Row],[Verbruik Coffee deze maand]]</f>
        <v>2219</v>
      </c>
      <c r="AD7" s="53">
        <v>225.1</v>
      </c>
      <c r="AE7">
        <f>maart2025!AD7</f>
        <v>176.9</v>
      </c>
      <c r="AF7">
        <f>Tabel242567891011121314151716181921202223261415[[#This Row],[Stand Kamertemp liter einde maand]]-Tabel242567891011121314151716181921202223261415[[#This Row],[Stand Kamertemp liter vorige maand]]</f>
        <v>48.199999999999989</v>
      </c>
      <c r="AG7" s="2">
        <f>Tabel242567891011121314151716181921202223261415[[#This Row],[Verbruik Kamertemp liter deze maand]]/0.15</f>
        <v>321.33333333333326</v>
      </c>
      <c r="AH7" s="53">
        <v>594.6</v>
      </c>
      <c r="AI7">
        <f>maart2025!AH7</f>
        <v>441.5</v>
      </c>
      <c r="AJ7">
        <f>Tabel242567891011121314151716181921202223261415[[#This Row],[Stand Gekoeld liter einde maand]]-Tabel242567891011121314151716181921202223261415[[#This Row],[Stand Gekoeld liter vorige maand]]</f>
        <v>153.10000000000002</v>
      </c>
      <c r="AK7" s="2">
        <f>Tabel242567891011121314151716181921202223261415[[#This Row],[Verbruik Gekoeld liter deze maand]]/0.15</f>
        <v>1020.6666666666669</v>
      </c>
      <c r="AL7" s="53">
        <v>368.6</v>
      </c>
      <c r="AM7">
        <f>maart2025!AL7</f>
        <v>279.60000000000002</v>
      </c>
      <c r="AN7">
        <f>Tabel242567891011121314151716181921202223261415[[#This Row],[Stand Bruisend liter einde maand]]-Tabel242567891011121314151716181921202223261415[[#This Row],[Stand Bruisend liter vorige maand]]</f>
        <v>89</v>
      </c>
      <c r="AO7" s="2">
        <f>Tabel242567891011121314151716181921202223261415[[#This Row],[Verbruik Bruisend liter deze maand]]/0.15</f>
        <v>593.33333333333337</v>
      </c>
      <c r="AP7" s="53">
        <v>244.4</v>
      </c>
      <c r="AQ7">
        <f>maart2025!AP7</f>
        <v>167.8</v>
      </c>
      <c r="AR7">
        <f>Tabel242567891011121314151716181921202223261415[[#This Row],[Stand licht bruisend liter einde maand]]-Tabel242567891011121314151716181921202223261415[[#This Row],[Stand licht bruisend liter vorige maand]]</f>
        <v>76.599999999999994</v>
      </c>
      <c r="AS7" s="2">
        <f>Tabel242567891011121314151716181921202223261415[[#This Row],[Verbruik licht bruisend liter deze maand]]/0.15</f>
        <v>510.66666666666663</v>
      </c>
      <c r="AT7" s="53">
        <v>1138.8</v>
      </c>
      <c r="AU7">
        <f>maart2025!AT7</f>
        <v>883.9</v>
      </c>
      <c r="AV7">
        <f>Tabel242567891011121314151716181921202223261415[[#This Row],[Stand heet water liter einde maand]]-Tabel242567891011121314151716181921202223261415[[#This Row],[Stand heet water liter vorige maand]]</f>
        <v>254.89999999999998</v>
      </c>
      <c r="AW7" s="2">
        <f>Tabel242567891011121314151716181921202223261415[[#This Row],[Verbruik heet Water liter deze maand ]]/0.15</f>
        <v>1699.3333333333333</v>
      </c>
      <c r="AX7" s="77">
        <f>Tabel242567891011121314151716181921202223261415[[#This Row],[Aantal consumpties heet water deze maand]]+Tabel242567891011121314151716181921202223261415[[#This Row],[Aantal consumpties licht bruisend water deze maand]]+Tabel242567891011121314151716181921202223261415[[#This Row],[aantal consumpties Bruisend water deze maand]]+Tabel242567891011121314151716181921202223261415[[#This Row],[Aantal consumpties gekoeld water deze maand]]+Tabel242567891011121314151716181921202223261415[[#This Row],[Aantal consumpties Kamertemp deze maand]]</f>
        <v>4145.3333333333339</v>
      </c>
      <c r="AY7" s="95">
        <f>Tabel242567891011121314151716181921202223261415[[#This Row],[Subtotaal waterbar in consumpties]]+Tabel242567891011121314151716181921202223261415[[#This Row],[Subtotaal koffieautomaten]]</f>
        <v>6364.3333333333339</v>
      </c>
    </row>
    <row r="8" spans="1:130" ht="14.45" customHeight="1" x14ac:dyDescent="0.25">
      <c r="A8" s="65" t="s">
        <v>37</v>
      </c>
      <c r="B8" t="s">
        <v>38</v>
      </c>
      <c r="C8" t="s">
        <v>31</v>
      </c>
      <c r="E8">
        <v>18994</v>
      </c>
      <c r="F8">
        <f>maart2025!E8</f>
        <v>18485</v>
      </c>
      <c r="G8">
        <f>Tabel242567891011121314151716181921202223261415[[#This Row],[Stand Coffee einde maand]]-Tabel242567891011121314151716181921202223261415[[#This Row],[Coffee vorige maand]]</f>
        <v>509</v>
      </c>
      <c r="H8" s="53">
        <v>4241</v>
      </c>
      <c r="I8">
        <f>maart2025!H8</f>
        <v>4098</v>
      </c>
      <c r="J8">
        <f>Tabel242567891011121314151716181921202223261415[[#This Row],[Stand Espresso Einde maand]]-Tabel242567891011121314151716181921202223261415[[#This Row],[Espresso vorige maand]]</f>
        <v>143</v>
      </c>
      <c r="K8" s="53">
        <v>2244</v>
      </c>
      <c r="L8">
        <f>maart2025!K8</f>
        <v>2173</v>
      </c>
      <c r="M8">
        <f>Tabel242567891011121314151716181921202223261415[[#This Row],[Stand Latte Macchiato einde maand]]-Tabel242567891011121314151716181921202223261415[[#This Row],[Latte Macchiato vorige maand]]</f>
        <v>71</v>
      </c>
      <c r="N8" s="53">
        <v>2800</v>
      </c>
      <c r="O8">
        <f>maart2025!N8</f>
        <v>2668</v>
      </c>
      <c r="P8">
        <f>Tabel242567891011121314151716181921202223261415[[#This Row],[Stand Coffee Latte einde maand]]-Tabel242567891011121314151716181921202223261415[[#This Row],[Coffee Latte vorige maand]]</f>
        <v>132</v>
      </c>
      <c r="Q8" s="53">
        <v>41804</v>
      </c>
      <c r="R8">
        <f>maart2025!Q8</f>
        <v>40053</v>
      </c>
      <c r="S8">
        <f>Tabel242567891011121314151716181921202223261415[[#This Row],[Stand Hot Water einde maand]]-Tabel242567891011121314151716181921202223261415[[#This Row],[Hot Water vorige maand]]</f>
        <v>1751</v>
      </c>
      <c r="T8" s="53">
        <v>11195</v>
      </c>
      <c r="U8">
        <f>maart2025!T8</f>
        <v>10761</v>
      </c>
      <c r="V8">
        <f>Tabel242567891011121314151716181921202223261415[[#This Row],[Stand Cappucino einde maand]]-Tabel242567891011121314151716181921202223261415[[#This Row],[Stand Cappucino vorige maand]]</f>
        <v>434</v>
      </c>
      <c r="W8" s="53">
        <v>948</v>
      </c>
      <c r="X8">
        <f>maart2025!W8</f>
        <v>886</v>
      </c>
      <c r="Y8">
        <f>Tabel242567891011121314151716181921202223261415[[#This Row],[Stand Cappucino Plantaardig einde maand]]-Tabel242567891011121314151716181921202223261415[[#This Row],[Stand Cappucino Plantaardig vorige maand]]</f>
        <v>62</v>
      </c>
      <c r="Z8" s="53">
        <v>530</v>
      </c>
      <c r="AA8">
        <f>maart2025!Z8</f>
        <v>520</v>
      </c>
      <c r="AB8">
        <f>Tabel242567891011121314151716181921202223261415[[#This Row],[Stand Latte Macchiato Plantaardig einde maand]]-Tabel242567891011121314151716181921202223261415[[#This Row],[Stand Latte Macchiato Plantaardig vorige maand]]</f>
        <v>10</v>
      </c>
      <c r="AC8" s="71">
        <f>Tabel242567891011121314151716181921202223261415[[#This Row],[Verbruik Stand Latte Macchiato Plantaardig deze maand]]+Tabel242567891011121314151716181921202223261415[[#This Row],[Verbruik  Cappucino Plantaardig deze maand]]+Tabel242567891011121314151716181921202223261415[[#This Row],[Verbruik Cappucino deze maand]]+Tabel242567891011121314151716181921202223261415[[#This Row],[Verbruik Hot Water deze maand]]+Tabel242567891011121314151716181921202223261415[[#This Row],[Verbruik Coffee Latte deze maand]]+Tabel242567891011121314151716181921202223261415[[#This Row],[Verbruik Latte Macchiato deze maand]]+Tabel242567891011121314151716181921202223261415[[#This Row],[Verbruik Espresso deze maand]]+Tabel242567891011121314151716181921202223261415[[#This Row],[Verbruik Coffee deze maand]]</f>
        <v>3112</v>
      </c>
      <c r="AD8" s="69"/>
      <c r="AE8" s="41"/>
      <c r="AF8" s="5"/>
      <c r="AG8" s="41"/>
      <c r="AH8" s="69"/>
      <c r="AI8" s="41"/>
      <c r="AJ8" s="41"/>
      <c r="AK8" s="41"/>
      <c r="AL8" s="75"/>
      <c r="AM8" s="41"/>
      <c r="AN8" s="41"/>
      <c r="AO8" s="5"/>
      <c r="AP8" s="69"/>
      <c r="AQ8" s="41"/>
      <c r="AR8" s="5"/>
      <c r="AS8" s="41"/>
      <c r="AT8" s="69"/>
      <c r="AU8" s="41"/>
      <c r="AV8" s="41"/>
      <c r="AW8" s="41"/>
      <c r="AX8" s="79"/>
      <c r="AY8" s="95">
        <f>Tabel242567891011121314151716181921202223261415[[#This Row],[Subtotaal waterbar in consumpties]]+Tabel242567891011121314151716181921202223261415[[#This Row],[Subtotaal koffieautomaten]]</f>
        <v>3112</v>
      </c>
    </row>
    <row r="9" spans="1:130" ht="14.45" customHeight="1" x14ac:dyDescent="0.25">
      <c r="A9" s="65" t="s">
        <v>39</v>
      </c>
      <c r="B9" t="s">
        <v>40</v>
      </c>
      <c r="C9" t="s">
        <v>31</v>
      </c>
      <c r="E9">
        <v>23779</v>
      </c>
      <c r="F9">
        <f>maart2025!E9</f>
        <v>22832</v>
      </c>
      <c r="G9">
        <f>Tabel242567891011121314151716181921202223261415[[#This Row],[Stand Coffee einde maand]]-Tabel242567891011121314151716181921202223261415[[#This Row],[Coffee vorige maand]]</f>
        <v>947</v>
      </c>
      <c r="H9" s="53">
        <v>3896</v>
      </c>
      <c r="I9">
        <f>maart2025!H9</f>
        <v>3653</v>
      </c>
      <c r="J9">
        <f>Tabel242567891011121314151716181921202223261415[[#This Row],[Stand Espresso Einde maand]]-Tabel242567891011121314151716181921202223261415[[#This Row],[Espresso vorige maand]]</f>
        <v>243</v>
      </c>
      <c r="K9" s="53">
        <v>2886</v>
      </c>
      <c r="L9">
        <f>maart2025!K9</f>
        <v>2820</v>
      </c>
      <c r="M9">
        <f>Tabel242567891011121314151716181921202223261415[[#This Row],[Stand Latte Macchiato einde maand]]-Tabel242567891011121314151716181921202223261415[[#This Row],[Latte Macchiato vorige maand]]</f>
        <v>66</v>
      </c>
      <c r="N9" s="53">
        <v>1980</v>
      </c>
      <c r="O9">
        <f>maart2025!N9</f>
        <v>1940</v>
      </c>
      <c r="P9">
        <f>Tabel242567891011121314151716181921202223261415[[#This Row],[Stand Coffee Latte einde maand]]-Tabel242567891011121314151716181921202223261415[[#This Row],[Coffee Latte vorige maand]]</f>
        <v>40</v>
      </c>
      <c r="Q9" s="53">
        <v>33198</v>
      </c>
      <c r="R9">
        <f>maart2025!Q9</f>
        <v>31909</v>
      </c>
      <c r="S9">
        <f>Tabel242567891011121314151716181921202223261415[[#This Row],[Stand Hot Water einde maand]]-Tabel242567891011121314151716181921202223261415[[#This Row],[Hot Water vorige maand]]</f>
        <v>1289</v>
      </c>
      <c r="T9" s="53">
        <v>18594</v>
      </c>
      <c r="U9">
        <f>maart2025!T9</f>
        <v>18032</v>
      </c>
      <c r="V9">
        <f>Tabel242567891011121314151716181921202223261415[[#This Row],[Stand Cappucino einde maand]]-Tabel242567891011121314151716181921202223261415[[#This Row],[Stand Cappucino vorige maand]]</f>
        <v>562</v>
      </c>
      <c r="W9" s="53">
        <v>791</v>
      </c>
      <c r="X9">
        <f>maart2025!W9</f>
        <v>782</v>
      </c>
      <c r="Y9">
        <f>Tabel242567891011121314151716181921202223261415[[#This Row],[Stand Cappucino Plantaardig einde maand]]-Tabel242567891011121314151716181921202223261415[[#This Row],[Stand Cappucino Plantaardig vorige maand]]</f>
        <v>9</v>
      </c>
      <c r="Z9" s="53">
        <v>217</v>
      </c>
      <c r="AA9">
        <f>maart2025!Z9</f>
        <v>214</v>
      </c>
      <c r="AB9">
        <f>Tabel242567891011121314151716181921202223261415[[#This Row],[Stand Latte Macchiato Plantaardig einde maand]]-Tabel242567891011121314151716181921202223261415[[#This Row],[Stand Latte Macchiato Plantaardig vorige maand]]</f>
        <v>3</v>
      </c>
      <c r="AC9" s="71">
        <f>Tabel242567891011121314151716181921202223261415[[#This Row],[Verbruik Stand Latte Macchiato Plantaardig deze maand]]+Tabel242567891011121314151716181921202223261415[[#This Row],[Verbruik  Cappucino Plantaardig deze maand]]+Tabel242567891011121314151716181921202223261415[[#This Row],[Verbruik Cappucino deze maand]]+Tabel242567891011121314151716181921202223261415[[#This Row],[Verbruik Hot Water deze maand]]+Tabel242567891011121314151716181921202223261415[[#This Row],[Verbruik Coffee Latte deze maand]]+Tabel242567891011121314151716181921202223261415[[#This Row],[Verbruik Latte Macchiato deze maand]]+Tabel242567891011121314151716181921202223261415[[#This Row],[Verbruik Espresso deze maand]]+Tabel242567891011121314151716181921202223261415[[#This Row],[Verbruik Coffee deze maand]]</f>
        <v>3159</v>
      </c>
      <c r="AD9" s="69"/>
      <c r="AE9" s="41"/>
      <c r="AF9" s="5"/>
      <c r="AG9" s="41"/>
      <c r="AH9" s="69"/>
      <c r="AI9" s="41"/>
      <c r="AJ9" s="41"/>
      <c r="AK9" s="41"/>
      <c r="AL9" s="75"/>
      <c r="AM9" s="41"/>
      <c r="AN9" s="41"/>
      <c r="AO9" s="5"/>
      <c r="AP9" s="69"/>
      <c r="AQ9" s="41"/>
      <c r="AR9" s="5"/>
      <c r="AS9" s="41"/>
      <c r="AT9" s="69"/>
      <c r="AU9" s="41"/>
      <c r="AV9" s="41"/>
      <c r="AW9" s="41"/>
      <c r="AX9" s="79"/>
      <c r="AY9" s="95">
        <f>Tabel242567891011121314151716181921202223261415[[#This Row],[Subtotaal waterbar in consumpties]]+Tabel242567891011121314151716181921202223261415[[#This Row],[Subtotaal koffieautomaten]]</f>
        <v>3159</v>
      </c>
    </row>
    <row r="10" spans="1:130" ht="14.45" customHeight="1" x14ac:dyDescent="0.25">
      <c r="A10" s="65" t="s">
        <v>41</v>
      </c>
      <c r="B10" t="s">
        <v>42</v>
      </c>
      <c r="C10" t="s">
        <v>31</v>
      </c>
      <c r="E10">
        <v>12928</v>
      </c>
      <c r="F10">
        <f>maart2025!E10</f>
        <v>12360</v>
      </c>
      <c r="G10">
        <f>Tabel242567891011121314151716181921202223261415[[#This Row],[Stand Coffee einde maand]]-Tabel242567891011121314151716181921202223261415[[#This Row],[Coffee vorige maand]]</f>
        <v>568</v>
      </c>
      <c r="H10" s="53">
        <v>2919</v>
      </c>
      <c r="I10">
        <f>maart2025!H10</f>
        <v>2787</v>
      </c>
      <c r="J10">
        <f>Tabel242567891011121314151716181921202223261415[[#This Row],[Stand Espresso Einde maand]]-Tabel242567891011121314151716181921202223261415[[#This Row],[Espresso vorige maand]]</f>
        <v>132</v>
      </c>
      <c r="K10" s="53">
        <v>2267</v>
      </c>
      <c r="L10">
        <f>maart2025!K10</f>
        <v>2213</v>
      </c>
      <c r="M10">
        <f>Tabel242567891011121314151716181921202223261415[[#This Row],[Stand Latte Macchiato einde maand]]-Tabel242567891011121314151716181921202223261415[[#This Row],[Latte Macchiato vorige maand]]</f>
        <v>54</v>
      </c>
      <c r="N10" s="53">
        <v>1252</v>
      </c>
      <c r="O10">
        <f>maart2025!N10</f>
        <v>1217</v>
      </c>
      <c r="P10">
        <f>Tabel242567891011121314151716181921202223261415[[#This Row],[Stand Coffee Latte einde maand]]-Tabel242567891011121314151716181921202223261415[[#This Row],[Coffee Latte vorige maand]]</f>
        <v>35</v>
      </c>
      <c r="Q10" s="53">
        <v>37255</v>
      </c>
      <c r="R10">
        <f>maart2025!Q10</f>
        <v>35613</v>
      </c>
      <c r="S10">
        <f>Tabel242567891011121314151716181921202223261415[[#This Row],[Stand Hot Water einde maand]]-Tabel242567891011121314151716181921202223261415[[#This Row],[Hot Water vorige maand]]</f>
        <v>1642</v>
      </c>
      <c r="T10" s="53">
        <v>8465</v>
      </c>
      <c r="U10">
        <f>maart2025!T10</f>
        <v>8097</v>
      </c>
      <c r="V10">
        <f>Tabel242567891011121314151716181921202223261415[[#This Row],[Stand Cappucino einde maand]]-Tabel242567891011121314151716181921202223261415[[#This Row],[Stand Cappucino vorige maand]]</f>
        <v>368</v>
      </c>
      <c r="W10" s="53">
        <v>1879</v>
      </c>
      <c r="X10">
        <f>maart2025!W10</f>
        <v>1797</v>
      </c>
      <c r="Y10">
        <f>Tabel242567891011121314151716181921202223261415[[#This Row],[Stand Cappucino Plantaardig einde maand]]-Tabel242567891011121314151716181921202223261415[[#This Row],[Stand Cappucino Plantaardig vorige maand]]</f>
        <v>82</v>
      </c>
      <c r="Z10" s="53">
        <v>711</v>
      </c>
      <c r="AA10">
        <f>maart2025!Z10</f>
        <v>696</v>
      </c>
      <c r="AB10">
        <f>Tabel242567891011121314151716181921202223261415[[#This Row],[Stand Latte Macchiato Plantaardig einde maand]]-Tabel242567891011121314151716181921202223261415[[#This Row],[Stand Latte Macchiato Plantaardig vorige maand]]</f>
        <v>15</v>
      </c>
      <c r="AC10" s="71">
        <f>Tabel242567891011121314151716181921202223261415[[#This Row],[Verbruik Stand Latte Macchiato Plantaardig deze maand]]+Tabel242567891011121314151716181921202223261415[[#This Row],[Verbruik  Cappucino Plantaardig deze maand]]+Tabel242567891011121314151716181921202223261415[[#This Row],[Verbruik Cappucino deze maand]]+Tabel242567891011121314151716181921202223261415[[#This Row],[Verbruik Hot Water deze maand]]+Tabel242567891011121314151716181921202223261415[[#This Row],[Verbruik Coffee Latte deze maand]]+Tabel242567891011121314151716181921202223261415[[#This Row],[Verbruik Latte Macchiato deze maand]]+Tabel242567891011121314151716181921202223261415[[#This Row],[Verbruik Espresso deze maand]]+Tabel242567891011121314151716181921202223261415[[#This Row],[Verbruik Coffee deze maand]]</f>
        <v>2896</v>
      </c>
      <c r="AD10" s="69"/>
      <c r="AE10" s="41"/>
      <c r="AF10" s="5"/>
      <c r="AG10" s="41"/>
      <c r="AH10" s="69"/>
      <c r="AI10" s="41"/>
      <c r="AJ10" s="41"/>
      <c r="AK10" s="41"/>
      <c r="AL10" s="75"/>
      <c r="AM10" s="41"/>
      <c r="AN10" s="41"/>
      <c r="AO10" s="5"/>
      <c r="AP10" s="69"/>
      <c r="AQ10" s="41"/>
      <c r="AR10" s="5"/>
      <c r="AS10" s="41"/>
      <c r="AT10" s="69"/>
      <c r="AU10" s="41"/>
      <c r="AV10" s="41"/>
      <c r="AW10" s="41"/>
      <c r="AX10" s="79"/>
      <c r="AY10" s="95">
        <f>Tabel242567891011121314151716181921202223261415[[#This Row],[Subtotaal waterbar in consumpties]]+Tabel242567891011121314151716181921202223261415[[#This Row],[Subtotaal koffieautomaten]]</f>
        <v>2896</v>
      </c>
    </row>
    <row r="11" spans="1:130" ht="14.45" customHeight="1" x14ac:dyDescent="0.25">
      <c r="A11" s="65" t="s">
        <v>43</v>
      </c>
      <c r="B11" t="s">
        <v>44</v>
      </c>
      <c r="C11" t="s">
        <v>31</v>
      </c>
      <c r="E11">
        <v>15674</v>
      </c>
      <c r="F11">
        <f>maart2025!E11</f>
        <v>15114</v>
      </c>
      <c r="G11">
        <f>Tabel242567891011121314151716181921202223261415[[#This Row],[Stand Coffee einde maand]]-Tabel242567891011121314151716181921202223261415[[#This Row],[Coffee vorige maand]]</f>
        <v>560</v>
      </c>
      <c r="H11" s="53">
        <v>3455</v>
      </c>
      <c r="I11">
        <f>maart2025!H11</f>
        <v>3301</v>
      </c>
      <c r="J11">
        <f>Tabel242567891011121314151716181921202223261415[[#This Row],[Stand Espresso Einde maand]]-Tabel242567891011121314151716181921202223261415[[#This Row],[Espresso vorige maand]]</f>
        <v>154</v>
      </c>
      <c r="K11" s="53">
        <v>970</v>
      </c>
      <c r="L11">
        <f>maart2025!K11</f>
        <v>944</v>
      </c>
      <c r="M11">
        <f>Tabel242567891011121314151716181921202223261415[[#This Row],[Stand Latte Macchiato einde maand]]-Tabel242567891011121314151716181921202223261415[[#This Row],[Latte Macchiato vorige maand]]</f>
        <v>26</v>
      </c>
      <c r="N11" s="53">
        <v>1308</v>
      </c>
      <c r="O11">
        <f>maart2025!N11</f>
        <v>1270</v>
      </c>
      <c r="P11">
        <f>Tabel242567891011121314151716181921202223261415[[#This Row],[Stand Coffee Latte einde maand]]-Tabel242567891011121314151716181921202223261415[[#This Row],[Coffee Latte vorige maand]]</f>
        <v>38</v>
      </c>
      <c r="Q11" s="53">
        <v>26967</v>
      </c>
      <c r="R11">
        <f>maart2025!Q11</f>
        <v>26073</v>
      </c>
      <c r="S11">
        <f>Tabel242567891011121314151716181921202223261415[[#This Row],[Stand Hot Water einde maand]]-Tabel242567891011121314151716181921202223261415[[#This Row],[Hot Water vorige maand]]</f>
        <v>894</v>
      </c>
      <c r="T11" s="53">
        <v>8668</v>
      </c>
      <c r="U11">
        <f>maart2025!T11</f>
        <v>8446</v>
      </c>
      <c r="V11">
        <f>Tabel242567891011121314151716181921202223261415[[#This Row],[Stand Cappucino einde maand]]-Tabel242567891011121314151716181921202223261415[[#This Row],[Stand Cappucino vorige maand]]</f>
        <v>222</v>
      </c>
      <c r="W11" s="53">
        <v>1590</v>
      </c>
      <c r="X11">
        <f>maart2025!W11</f>
        <v>1569</v>
      </c>
      <c r="Y11">
        <f>Tabel242567891011121314151716181921202223261415[[#This Row],[Stand Cappucino Plantaardig einde maand]]-Tabel242567891011121314151716181921202223261415[[#This Row],[Stand Cappucino Plantaardig vorige maand]]</f>
        <v>21</v>
      </c>
      <c r="Z11" s="53">
        <v>1321</v>
      </c>
      <c r="AA11">
        <f>maart2025!Z11</f>
        <v>1318</v>
      </c>
      <c r="AB11">
        <f>Tabel242567891011121314151716181921202223261415[[#This Row],[Stand Latte Macchiato Plantaardig einde maand]]-Tabel242567891011121314151716181921202223261415[[#This Row],[Stand Latte Macchiato Plantaardig vorige maand]]</f>
        <v>3</v>
      </c>
      <c r="AC11" s="71">
        <f>Tabel242567891011121314151716181921202223261415[[#This Row],[Verbruik Stand Latte Macchiato Plantaardig deze maand]]+Tabel242567891011121314151716181921202223261415[[#This Row],[Verbruik  Cappucino Plantaardig deze maand]]+Tabel242567891011121314151716181921202223261415[[#This Row],[Verbruik Cappucino deze maand]]+Tabel242567891011121314151716181921202223261415[[#This Row],[Verbruik Hot Water deze maand]]+Tabel242567891011121314151716181921202223261415[[#This Row],[Verbruik Coffee Latte deze maand]]+Tabel242567891011121314151716181921202223261415[[#This Row],[Verbruik Latte Macchiato deze maand]]+Tabel242567891011121314151716181921202223261415[[#This Row],[Verbruik Espresso deze maand]]+Tabel242567891011121314151716181921202223261415[[#This Row],[Verbruik Coffee deze maand]]</f>
        <v>1918</v>
      </c>
      <c r="AD11" s="69"/>
      <c r="AE11" s="41"/>
      <c r="AF11" s="5"/>
      <c r="AG11" s="41"/>
      <c r="AH11" s="69"/>
      <c r="AI11" s="41"/>
      <c r="AJ11" s="41"/>
      <c r="AK11" s="41"/>
      <c r="AL11" s="75"/>
      <c r="AM11" s="41"/>
      <c r="AN11" s="41"/>
      <c r="AO11" s="5"/>
      <c r="AP11" s="69"/>
      <c r="AQ11" s="41"/>
      <c r="AR11" s="5"/>
      <c r="AS11" s="41"/>
      <c r="AT11" s="69"/>
      <c r="AU11" s="41"/>
      <c r="AV11" s="41"/>
      <c r="AW11" s="41"/>
      <c r="AX11" s="79"/>
      <c r="AY11" s="95">
        <f>Tabel242567891011121314151716181921202223261415[[#This Row],[Subtotaal waterbar in consumpties]]+Tabel242567891011121314151716181921202223261415[[#This Row],[Subtotaal koffieautomaten]]</f>
        <v>1918</v>
      </c>
    </row>
    <row r="12" spans="1:130" ht="14.45" customHeight="1" x14ac:dyDescent="0.25">
      <c r="A12" s="65" t="s">
        <v>45</v>
      </c>
      <c r="B12" t="s">
        <v>46</v>
      </c>
      <c r="C12" t="s">
        <v>47</v>
      </c>
      <c r="E12">
        <v>26566</v>
      </c>
      <c r="F12">
        <f>maart2025!E12</f>
        <v>25369</v>
      </c>
      <c r="G12">
        <f>Tabel242567891011121314151716181921202223261415[[#This Row],[Stand Coffee einde maand]]-Tabel242567891011121314151716181921202223261415[[#This Row],[Coffee vorige maand]]</f>
        <v>1197</v>
      </c>
      <c r="H12" s="53">
        <v>2631</v>
      </c>
      <c r="I12">
        <f>maart2025!H12</f>
        <v>2536</v>
      </c>
      <c r="J12">
        <f>Tabel242567891011121314151716181921202223261415[[#This Row],[Stand Espresso Einde maand]]-Tabel242567891011121314151716181921202223261415[[#This Row],[Espresso vorige maand]]</f>
        <v>95</v>
      </c>
      <c r="K12" s="53">
        <v>1734</v>
      </c>
      <c r="L12">
        <f>maart2025!K12</f>
        <v>1668</v>
      </c>
      <c r="M12">
        <f>Tabel242567891011121314151716181921202223261415[[#This Row],[Stand Latte Macchiato einde maand]]-Tabel242567891011121314151716181921202223261415[[#This Row],[Latte Macchiato vorige maand]]</f>
        <v>66</v>
      </c>
      <c r="N12" s="53">
        <v>955</v>
      </c>
      <c r="O12">
        <f>maart2025!N12</f>
        <v>921</v>
      </c>
      <c r="P12">
        <f>Tabel242567891011121314151716181921202223261415[[#This Row],[Stand Coffee Latte einde maand]]-Tabel242567891011121314151716181921202223261415[[#This Row],[Coffee Latte vorige maand]]</f>
        <v>34</v>
      </c>
      <c r="Q12" s="53">
        <v>1</v>
      </c>
      <c r="R12">
        <f>maart2025!Q12</f>
        <v>1</v>
      </c>
      <c r="S12">
        <f>Tabel242567891011121314151716181921202223261415[[#This Row],[Stand Hot Water einde maand]]-Tabel242567891011121314151716181921202223261415[[#This Row],[Hot Water vorige maand]]</f>
        <v>0</v>
      </c>
      <c r="T12" s="53">
        <v>8383</v>
      </c>
      <c r="U12">
        <f>maart2025!T12</f>
        <v>8097</v>
      </c>
      <c r="V12">
        <f>Tabel242567891011121314151716181921202223261415[[#This Row],[Stand Cappucino einde maand]]-Tabel242567891011121314151716181921202223261415[[#This Row],[Stand Cappucino vorige maand]]</f>
        <v>286</v>
      </c>
      <c r="W12" s="53">
        <v>3525</v>
      </c>
      <c r="X12">
        <f>maart2025!W12</f>
        <v>3354</v>
      </c>
      <c r="Y12">
        <f>Tabel242567891011121314151716181921202223261415[[#This Row],[Stand Cappucino Plantaardig einde maand]]-Tabel242567891011121314151716181921202223261415[[#This Row],[Stand Cappucino Plantaardig vorige maand]]</f>
        <v>171</v>
      </c>
      <c r="Z12" s="53">
        <v>808</v>
      </c>
      <c r="AA12">
        <f>maart2025!Z12</f>
        <v>797</v>
      </c>
      <c r="AB12">
        <f>Tabel242567891011121314151716181921202223261415[[#This Row],[Stand Latte Macchiato Plantaardig einde maand]]-Tabel242567891011121314151716181921202223261415[[#This Row],[Stand Latte Macchiato Plantaardig vorige maand]]</f>
        <v>11</v>
      </c>
      <c r="AC12" s="71">
        <f>Tabel242567891011121314151716181921202223261415[[#This Row],[Verbruik Stand Latte Macchiato Plantaardig deze maand]]+Tabel242567891011121314151716181921202223261415[[#This Row],[Verbruik  Cappucino Plantaardig deze maand]]+Tabel242567891011121314151716181921202223261415[[#This Row],[Verbruik Cappucino deze maand]]+Tabel242567891011121314151716181921202223261415[[#This Row],[Verbruik Hot Water deze maand]]+Tabel242567891011121314151716181921202223261415[[#This Row],[Verbruik Coffee Latte deze maand]]+Tabel242567891011121314151716181921202223261415[[#This Row],[Verbruik Latte Macchiato deze maand]]+Tabel242567891011121314151716181921202223261415[[#This Row],[Verbruik Espresso deze maand]]+Tabel242567891011121314151716181921202223261415[[#This Row],[Verbruik Coffee deze maand]]</f>
        <v>1860</v>
      </c>
      <c r="AD12" s="53">
        <v>590</v>
      </c>
      <c r="AE12">
        <f>maart2025!AD12</f>
        <v>549</v>
      </c>
      <c r="AF12">
        <f>Tabel242567891011121314151716181921202223261415[[#This Row],[Stand Kamertemp liter einde maand]]-Tabel242567891011121314151716181921202223261415[[#This Row],[Stand Kamertemp liter vorige maand]]</f>
        <v>41</v>
      </c>
      <c r="AG12" s="2">
        <f>Tabel242567891011121314151716181921202223261415[[#This Row],[Verbruik Kamertemp liter deze maand]]/0.15</f>
        <v>273.33333333333337</v>
      </c>
      <c r="AH12" s="53">
        <v>2239</v>
      </c>
      <c r="AI12">
        <f>maart2025!AH12</f>
        <v>2024.6</v>
      </c>
      <c r="AJ12">
        <f>Tabel242567891011121314151716181921202223261415[[#This Row],[Stand Gekoeld liter einde maand]]-Tabel242567891011121314151716181921202223261415[[#This Row],[Stand Gekoeld liter vorige maand]]</f>
        <v>214.40000000000009</v>
      </c>
      <c r="AK12" s="2">
        <f>Tabel242567891011121314151716181921202223261415[[#This Row],[Verbruik Gekoeld liter deze maand]]/0.15</f>
        <v>1429.3333333333339</v>
      </c>
      <c r="AL12" s="53">
        <v>1676.2</v>
      </c>
      <c r="AM12">
        <f>maart2025!AL12</f>
        <v>1514.9</v>
      </c>
      <c r="AN12">
        <f>Tabel242567891011121314151716181921202223261415[[#This Row],[Stand Bruisend liter einde maand]]-Tabel242567891011121314151716181921202223261415[[#This Row],[Stand Bruisend liter vorige maand]]</f>
        <v>161.29999999999995</v>
      </c>
      <c r="AO12" s="2">
        <f>Tabel242567891011121314151716181921202223261415[[#This Row],[Verbruik Bruisend liter deze maand]]/0.15</f>
        <v>1075.333333333333</v>
      </c>
      <c r="AP12" s="53">
        <v>591.9</v>
      </c>
      <c r="AQ12">
        <f>maart2025!AP12</f>
        <v>541.70000000000005</v>
      </c>
      <c r="AR12">
        <f>Tabel242567891011121314151716181921202223261415[[#This Row],[Stand licht bruisend liter einde maand]]-Tabel242567891011121314151716181921202223261415[[#This Row],[Stand licht bruisend liter vorige maand]]</f>
        <v>50.199999999999932</v>
      </c>
      <c r="AS12" s="2">
        <f>Tabel242567891011121314151716181921202223261415[[#This Row],[Verbruik licht bruisend liter deze maand]]/0.15</f>
        <v>334.66666666666623</v>
      </c>
      <c r="AT12" s="53">
        <v>4295.1000000000004</v>
      </c>
      <c r="AU12">
        <f>maart2025!AT12</f>
        <v>3917.8</v>
      </c>
      <c r="AV12">
        <f>Tabel242567891011121314151716181921202223261415[[#This Row],[Stand heet water liter einde maand]]-Tabel242567891011121314151716181921202223261415[[#This Row],[Stand heet water liter vorige maand]]</f>
        <v>377.30000000000018</v>
      </c>
      <c r="AW12" s="2">
        <f>Tabel242567891011121314151716181921202223261415[[#This Row],[Verbruik heet Water liter deze maand ]]/0.15</f>
        <v>2515.3333333333348</v>
      </c>
      <c r="AX12" s="77">
        <f>Tabel242567891011121314151716181921202223261415[[#This Row],[Aantal consumpties heet water deze maand]]+Tabel242567891011121314151716181921202223261415[[#This Row],[Aantal consumpties licht bruisend water deze maand]]+Tabel242567891011121314151716181921202223261415[[#This Row],[aantal consumpties Bruisend water deze maand]]+Tabel242567891011121314151716181921202223261415[[#This Row],[Aantal consumpties gekoeld water deze maand]]+Tabel242567891011121314151716181921202223261415[[#This Row],[Aantal consumpties Kamertemp deze maand]]</f>
        <v>5628.0000000000009</v>
      </c>
      <c r="AY12" s="95">
        <f>Tabel242567891011121314151716181921202223261415[[#This Row],[Subtotaal waterbar in consumpties]]+Tabel242567891011121314151716181921202223261415[[#This Row],[Subtotaal koffieautomaten]]</f>
        <v>7488.0000000000009</v>
      </c>
    </row>
    <row r="13" spans="1:130" ht="14.45" customHeight="1" x14ac:dyDescent="0.25">
      <c r="A13" s="65" t="s">
        <v>48</v>
      </c>
      <c r="B13" t="s">
        <v>49</v>
      </c>
      <c r="C13" t="s">
        <v>31</v>
      </c>
      <c r="E13">
        <v>25930</v>
      </c>
      <c r="F13">
        <f>maart2025!E13</f>
        <v>25027</v>
      </c>
      <c r="G13">
        <f>Tabel242567891011121314151716181921202223261415[[#This Row],[Stand Coffee einde maand]]-Tabel242567891011121314151716181921202223261415[[#This Row],[Coffee vorige maand]]</f>
        <v>903</v>
      </c>
      <c r="H13" s="53">
        <v>7073</v>
      </c>
      <c r="I13">
        <f>maart2025!H13</f>
        <v>6767</v>
      </c>
      <c r="J13">
        <f>Tabel242567891011121314151716181921202223261415[[#This Row],[Stand Espresso Einde maand]]-Tabel242567891011121314151716181921202223261415[[#This Row],[Espresso vorige maand]]</f>
        <v>306</v>
      </c>
      <c r="K13" s="53">
        <v>1511</v>
      </c>
      <c r="L13">
        <f>maart2025!K13</f>
        <v>1488</v>
      </c>
      <c r="M13">
        <f>Tabel242567891011121314151716181921202223261415[[#This Row],[Stand Latte Macchiato einde maand]]-Tabel242567891011121314151716181921202223261415[[#This Row],[Latte Macchiato vorige maand]]</f>
        <v>23</v>
      </c>
      <c r="N13" s="53">
        <v>594</v>
      </c>
      <c r="O13">
        <f>maart2025!N13</f>
        <v>575</v>
      </c>
      <c r="P13">
        <f>Tabel242567891011121314151716181921202223261415[[#This Row],[Stand Coffee Latte einde maand]]-Tabel242567891011121314151716181921202223261415[[#This Row],[Coffee Latte vorige maand]]</f>
        <v>19</v>
      </c>
      <c r="Q13" s="53">
        <v>67017</v>
      </c>
      <c r="R13">
        <f>maart2025!Q13</f>
        <v>64144</v>
      </c>
      <c r="S13">
        <f>Tabel242567891011121314151716181921202223261415[[#This Row],[Stand Hot Water einde maand]]-Tabel242567891011121314151716181921202223261415[[#This Row],[Hot Water vorige maand]]</f>
        <v>2873</v>
      </c>
      <c r="T13" s="53">
        <v>13868</v>
      </c>
      <c r="U13">
        <f>maart2025!T13</f>
        <v>13397</v>
      </c>
      <c r="V13">
        <f>Tabel242567891011121314151716181921202223261415[[#This Row],[Stand Cappucino einde maand]]-Tabel242567891011121314151716181921202223261415[[#This Row],[Stand Cappucino vorige maand]]</f>
        <v>471</v>
      </c>
      <c r="W13" s="53">
        <v>2418</v>
      </c>
      <c r="X13">
        <f>maart2025!W13</f>
        <v>2347</v>
      </c>
      <c r="Y13">
        <f>Tabel242567891011121314151716181921202223261415[[#This Row],[Stand Cappucino Plantaardig einde maand]]-Tabel242567891011121314151716181921202223261415[[#This Row],[Stand Cappucino Plantaardig vorige maand]]</f>
        <v>71</v>
      </c>
      <c r="Z13" s="53">
        <v>841</v>
      </c>
      <c r="AA13">
        <f>maart2025!Z13</f>
        <v>788</v>
      </c>
      <c r="AB13">
        <f>Tabel242567891011121314151716181921202223261415[[#This Row],[Stand Latte Macchiato Plantaardig einde maand]]-Tabel242567891011121314151716181921202223261415[[#This Row],[Stand Latte Macchiato Plantaardig vorige maand]]</f>
        <v>53</v>
      </c>
      <c r="AC13" s="71">
        <f>Tabel242567891011121314151716181921202223261415[[#This Row],[Verbruik Stand Latte Macchiato Plantaardig deze maand]]+Tabel242567891011121314151716181921202223261415[[#This Row],[Verbruik  Cappucino Plantaardig deze maand]]+Tabel242567891011121314151716181921202223261415[[#This Row],[Verbruik Cappucino deze maand]]+Tabel242567891011121314151716181921202223261415[[#This Row],[Verbruik Hot Water deze maand]]+Tabel242567891011121314151716181921202223261415[[#This Row],[Verbruik Coffee Latte deze maand]]+Tabel242567891011121314151716181921202223261415[[#This Row],[Verbruik Latte Macchiato deze maand]]+Tabel242567891011121314151716181921202223261415[[#This Row],[Verbruik Espresso deze maand]]+Tabel242567891011121314151716181921202223261415[[#This Row],[Verbruik Coffee deze maand]]</f>
        <v>4719</v>
      </c>
      <c r="AD13" s="69"/>
      <c r="AE13" s="41"/>
      <c r="AF13" s="5"/>
      <c r="AG13" s="5"/>
      <c r="AH13" s="75"/>
      <c r="AI13" s="41"/>
      <c r="AJ13" s="5"/>
      <c r="AK13" s="5"/>
      <c r="AL13" s="75"/>
      <c r="AM13" s="41"/>
      <c r="AN13" s="5"/>
      <c r="AO13" s="5"/>
      <c r="AP13" s="75"/>
      <c r="AQ13" s="41"/>
      <c r="AR13" s="5"/>
      <c r="AS13" s="5"/>
      <c r="AT13" s="75"/>
      <c r="AU13" s="41"/>
      <c r="AV13" s="5"/>
      <c r="AW13" s="5"/>
      <c r="AX13" s="79"/>
      <c r="AY13" s="95">
        <f>Tabel242567891011121314151716181921202223261415[[#This Row],[Subtotaal waterbar in consumpties]]+Tabel242567891011121314151716181921202223261415[[#This Row],[Subtotaal koffieautomaten]]</f>
        <v>4719</v>
      </c>
    </row>
    <row r="14" spans="1:130" ht="14.45" customHeight="1" x14ac:dyDescent="0.25">
      <c r="A14" s="65" t="s">
        <v>50</v>
      </c>
      <c r="B14" t="s">
        <v>51</v>
      </c>
      <c r="C14" t="s">
        <v>47</v>
      </c>
      <c r="E14">
        <v>21083</v>
      </c>
      <c r="F14">
        <f>maart2025!E14</f>
        <v>20232</v>
      </c>
      <c r="G14">
        <f>Tabel242567891011121314151716181921202223261415[[#This Row],[Stand Coffee einde maand]]-Tabel242567891011121314151716181921202223261415[[#This Row],[Coffee vorige maand]]</f>
        <v>851</v>
      </c>
      <c r="H14" s="53">
        <v>5371</v>
      </c>
      <c r="I14">
        <f>maart2025!H14</f>
        <v>5165</v>
      </c>
      <c r="J14">
        <f>Tabel242567891011121314151716181921202223261415[[#This Row],[Stand Espresso Einde maand]]-Tabel242567891011121314151716181921202223261415[[#This Row],[Espresso vorige maand]]</f>
        <v>206</v>
      </c>
      <c r="K14" s="53">
        <v>2210</v>
      </c>
      <c r="L14">
        <f>maart2025!K14</f>
        <v>2130</v>
      </c>
      <c r="M14">
        <f>Tabel242567891011121314151716181921202223261415[[#This Row],[Stand Latte Macchiato einde maand]]-Tabel242567891011121314151716181921202223261415[[#This Row],[Latte Macchiato vorige maand]]</f>
        <v>80</v>
      </c>
      <c r="N14" s="53">
        <v>2210</v>
      </c>
      <c r="O14">
        <f>maart2025!N14</f>
        <v>1228</v>
      </c>
      <c r="P14">
        <f>Tabel242567891011121314151716181921202223261415[[#This Row],[Stand Coffee Latte einde maand]]-Tabel242567891011121314151716181921202223261415[[#This Row],[Coffee Latte vorige maand]]</f>
        <v>982</v>
      </c>
      <c r="Q14" s="53">
        <v>1236</v>
      </c>
      <c r="R14">
        <f>maart2025!Q14</f>
        <v>1</v>
      </c>
      <c r="S14">
        <f>Tabel242567891011121314151716181921202223261415[[#This Row],[Stand Hot Water einde maand]]-Tabel242567891011121314151716181921202223261415[[#This Row],[Hot Water vorige maand]]</f>
        <v>1235</v>
      </c>
      <c r="T14" s="53">
        <v>9495</v>
      </c>
      <c r="U14">
        <f>maart2025!T14</f>
        <v>9219</v>
      </c>
      <c r="V14">
        <f>Tabel242567891011121314151716181921202223261415[[#This Row],[Stand Cappucino einde maand]]-Tabel242567891011121314151716181921202223261415[[#This Row],[Stand Cappucino vorige maand]]</f>
        <v>276</v>
      </c>
      <c r="W14" s="53">
        <v>1263</v>
      </c>
      <c r="X14">
        <f>maart2025!W14</f>
        <v>1255</v>
      </c>
      <c r="Y14">
        <f>Tabel242567891011121314151716181921202223261415[[#This Row],[Stand Cappucino Plantaardig einde maand]]-Tabel242567891011121314151716181921202223261415[[#This Row],[Stand Cappucino Plantaardig vorige maand]]</f>
        <v>8</v>
      </c>
      <c r="Z14" s="53">
        <v>735</v>
      </c>
      <c r="AA14">
        <f>maart2025!Z14</f>
        <v>721</v>
      </c>
      <c r="AB14">
        <f>Tabel242567891011121314151716181921202223261415[[#This Row],[Stand Latte Macchiato Plantaardig einde maand]]-Tabel242567891011121314151716181921202223261415[[#This Row],[Stand Latte Macchiato Plantaardig vorige maand]]</f>
        <v>14</v>
      </c>
      <c r="AC14" s="71">
        <f>Tabel242567891011121314151716181921202223261415[[#This Row],[Verbruik Stand Latte Macchiato Plantaardig deze maand]]+Tabel242567891011121314151716181921202223261415[[#This Row],[Verbruik  Cappucino Plantaardig deze maand]]+Tabel242567891011121314151716181921202223261415[[#This Row],[Verbruik Cappucino deze maand]]+Tabel242567891011121314151716181921202223261415[[#This Row],[Verbruik Hot Water deze maand]]+Tabel242567891011121314151716181921202223261415[[#This Row],[Verbruik Coffee Latte deze maand]]+Tabel242567891011121314151716181921202223261415[[#This Row],[Verbruik Latte Macchiato deze maand]]+Tabel242567891011121314151716181921202223261415[[#This Row],[Verbruik Espresso deze maand]]+Tabel242567891011121314151716181921202223261415[[#This Row],[Verbruik Coffee deze maand]]</f>
        <v>3652</v>
      </c>
      <c r="AD14" s="53">
        <v>206.5</v>
      </c>
      <c r="AE14">
        <f>maart2025!AD14</f>
        <v>183.1</v>
      </c>
      <c r="AF14">
        <f>Tabel242567891011121314151716181921202223261415[[#This Row],[Stand Kamertemp liter einde maand]]-Tabel242567891011121314151716181921202223261415[[#This Row],[Stand Kamertemp liter vorige maand]]</f>
        <v>23.400000000000006</v>
      </c>
      <c r="AG14" s="2">
        <f>Tabel242567891011121314151716181921202223261415[[#This Row],[Verbruik Kamertemp liter deze maand]]/0.15</f>
        <v>156.00000000000006</v>
      </c>
      <c r="AH14" s="53">
        <v>1837.5</v>
      </c>
      <c r="AI14">
        <f>maart2025!AH14</f>
        <v>1604.8</v>
      </c>
      <c r="AJ14">
        <f>Tabel242567891011121314151716181921202223261415[[#This Row],[Stand Gekoeld liter einde maand]]-Tabel242567891011121314151716181921202223261415[[#This Row],[Stand Gekoeld liter vorige maand]]</f>
        <v>232.70000000000005</v>
      </c>
      <c r="AK14" s="2">
        <f>Tabel242567891011121314151716181921202223261415[[#This Row],[Verbruik Gekoeld liter deze maand]]/0.15</f>
        <v>1551.3333333333337</v>
      </c>
      <c r="AL14" s="53">
        <v>860</v>
      </c>
      <c r="AM14">
        <f>maart2025!AL14</f>
        <v>705.6</v>
      </c>
      <c r="AN14">
        <f>Tabel242567891011121314151716181921202223261415[[#This Row],[Stand Bruisend liter einde maand]]-Tabel242567891011121314151716181921202223261415[[#This Row],[Stand Bruisend liter vorige maand]]</f>
        <v>154.39999999999998</v>
      </c>
      <c r="AO14" s="2">
        <f>Tabel242567891011121314151716181921202223261415[[#This Row],[Verbruik Bruisend liter deze maand]]/0.15</f>
        <v>1029.3333333333333</v>
      </c>
      <c r="AP14" s="53">
        <v>834.9</v>
      </c>
      <c r="AQ14">
        <f>maart2025!AP14</f>
        <v>740.3</v>
      </c>
      <c r="AR14">
        <f>Tabel242567891011121314151716181921202223261415[[#This Row],[Stand licht bruisend liter einde maand]]-Tabel242567891011121314151716181921202223261415[[#This Row],[Stand licht bruisend liter vorige maand]]</f>
        <v>94.600000000000023</v>
      </c>
      <c r="AS14" s="2">
        <f>Tabel242567891011121314151716181921202223261415[[#This Row],[Verbruik licht bruisend liter deze maand]]/0.15</f>
        <v>630.66666666666686</v>
      </c>
      <c r="AT14" s="53">
        <v>3656.4</v>
      </c>
      <c r="AU14">
        <f>maart2025!AT14</f>
        <v>3252.5</v>
      </c>
      <c r="AV14">
        <f>Tabel242567891011121314151716181921202223261415[[#This Row],[Stand heet water liter einde maand]]-Tabel242567891011121314151716181921202223261415[[#This Row],[Stand heet water liter vorige maand]]</f>
        <v>403.90000000000009</v>
      </c>
      <c r="AW14" s="2">
        <f>Tabel242567891011121314151716181921202223261415[[#This Row],[Verbruik heet Water liter deze maand ]]/0.15</f>
        <v>2692.6666666666674</v>
      </c>
      <c r="AX14" s="77">
        <f>Tabel242567891011121314151716181921202223261415[[#This Row],[Aantal consumpties heet water deze maand]]+Tabel242567891011121314151716181921202223261415[[#This Row],[Aantal consumpties licht bruisend water deze maand]]+Tabel242567891011121314151716181921202223261415[[#This Row],[aantal consumpties Bruisend water deze maand]]+Tabel242567891011121314151716181921202223261415[[#This Row],[Aantal consumpties gekoeld water deze maand]]+Tabel242567891011121314151716181921202223261415[[#This Row],[Aantal consumpties Kamertemp deze maand]]</f>
        <v>6060.0000000000018</v>
      </c>
      <c r="AY14" s="95">
        <f>Tabel242567891011121314151716181921202223261415[[#This Row],[Subtotaal waterbar in consumpties]]+Tabel242567891011121314151716181921202223261415[[#This Row],[Subtotaal koffieautomaten]]</f>
        <v>9712.0000000000018</v>
      </c>
    </row>
    <row r="15" spans="1:130" ht="14.45" customHeight="1" x14ac:dyDescent="0.25">
      <c r="A15" s="65" t="s">
        <v>52</v>
      </c>
      <c r="B15" t="s">
        <v>53</v>
      </c>
      <c r="C15" t="s">
        <v>31</v>
      </c>
      <c r="E15">
        <v>19421</v>
      </c>
      <c r="F15">
        <f>maart2025!E15</f>
        <v>18832</v>
      </c>
      <c r="G15">
        <f>Tabel242567891011121314151716181921202223261415[[#This Row],[Stand Coffee einde maand]]-Tabel242567891011121314151716181921202223261415[[#This Row],[Coffee vorige maand]]</f>
        <v>589</v>
      </c>
      <c r="H15" s="53">
        <v>5377</v>
      </c>
      <c r="I15">
        <f>maart2025!H15</f>
        <v>5242</v>
      </c>
      <c r="J15">
        <f>Tabel242567891011121314151716181921202223261415[[#This Row],[Stand Espresso Einde maand]]-Tabel242567891011121314151716181921202223261415[[#This Row],[Espresso vorige maand]]</f>
        <v>135</v>
      </c>
      <c r="K15" s="53">
        <v>1103</v>
      </c>
      <c r="L15">
        <f>maart2025!K15</f>
        <v>1068</v>
      </c>
      <c r="M15">
        <f>Tabel242567891011121314151716181921202223261415[[#This Row],[Stand Latte Macchiato einde maand]]-Tabel242567891011121314151716181921202223261415[[#This Row],[Latte Macchiato vorige maand]]</f>
        <v>35</v>
      </c>
      <c r="N15" s="53">
        <v>1205</v>
      </c>
      <c r="O15">
        <f>maart2025!N15</f>
        <v>1170</v>
      </c>
      <c r="P15">
        <f>Tabel242567891011121314151716181921202223261415[[#This Row],[Stand Coffee Latte einde maand]]-Tabel242567891011121314151716181921202223261415[[#This Row],[Coffee Latte vorige maand]]</f>
        <v>35</v>
      </c>
      <c r="Q15" s="53">
        <v>33465</v>
      </c>
      <c r="R15">
        <f>maart2025!Q15</f>
        <v>31945</v>
      </c>
      <c r="S15">
        <f>Tabel242567891011121314151716181921202223261415[[#This Row],[Stand Hot Water einde maand]]-Tabel242567891011121314151716181921202223261415[[#This Row],[Hot Water vorige maand]]</f>
        <v>1520</v>
      </c>
      <c r="T15" s="53">
        <v>8428</v>
      </c>
      <c r="U15">
        <f>maart2025!T15</f>
        <v>8175</v>
      </c>
      <c r="V15">
        <f>Tabel242567891011121314151716181921202223261415[[#This Row],[Stand Cappucino einde maand]]-Tabel242567891011121314151716181921202223261415[[#This Row],[Stand Cappucino vorige maand]]</f>
        <v>253</v>
      </c>
      <c r="W15" s="53">
        <v>1799</v>
      </c>
      <c r="X15">
        <f>maart2025!W15</f>
        <v>1771</v>
      </c>
      <c r="Y15">
        <f>Tabel242567891011121314151716181921202223261415[[#This Row],[Stand Cappucino Plantaardig einde maand]]-Tabel242567891011121314151716181921202223261415[[#This Row],[Stand Cappucino Plantaardig vorige maand]]</f>
        <v>28</v>
      </c>
      <c r="Z15" s="53">
        <v>420</v>
      </c>
      <c r="AA15">
        <f>maart2025!Z15</f>
        <v>409</v>
      </c>
      <c r="AB15">
        <f>Tabel242567891011121314151716181921202223261415[[#This Row],[Stand Latte Macchiato Plantaardig einde maand]]-Tabel242567891011121314151716181921202223261415[[#This Row],[Stand Latte Macchiato Plantaardig vorige maand]]</f>
        <v>11</v>
      </c>
      <c r="AC15" s="71">
        <f>Tabel242567891011121314151716181921202223261415[[#This Row],[Verbruik Stand Latte Macchiato Plantaardig deze maand]]+Tabel242567891011121314151716181921202223261415[[#This Row],[Verbruik  Cappucino Plantaardig deze maand]]+Tabel242567891011121314151716181921202223261415[[#This Row],[Verbruik Cappucino deze maand]]+Tabel242567891011121314151716181921202223261415[[#This Row],[Verbruik Hot Water deze maand]]+Tabel242567891011121314151716181921202223261415[[#This Row],[Verbruik Coffee Latte deze maand]]+Tabel242567891011121314151716181921202223261415[[#This Row],[Verbruik Latte Macchiato deze maand]]+Tabel242567891011121314151716181921202223261415[[#This Row],[Verbruik Espresso deze maand]]+Tabel242567891011121314151716181921202223261415[[#This Row],[Verbruik Coffee deze maand]]</f>
        <v>2606</v>
      </c>
      <c r="AD15" s="69"/>
      <c r="AE15" s="41"/>
      <c r="AF15" s="5"/>
      <c r="AG15" s="5"/>
      <c r="AH15" s="75"/>
      <c r="AI15" s="41"/>
      <c r="AJ15" s="5"/>
      <c r="AK15" s="5"/>
      <c r="AL15" s="75"/>
      <c r="AM15" s="41"/>
      <c r="AN15" s="5"/>
      <c r="AO15" s="5"/>
      <c r="AP15" s="75"/>
      <c r="AQ15" s="41"/>
      <c r="AR15" s="5"/>
      <c r="AS15" s="5"/>
      <c r="AT15" s="75"/>
      <c r="AU15" s="41"/>
      <c r="AV15" s="5"/>
      <c r="AW15" s="5"/>
      <c r="AX15" s="79"/>
      <c r="AY15" s="95">
        <f>Tabel242567891011121314151716181921202223261415[[#This Row],[Subtotaal waterbar in consumpties]]+Tabel242567891011121314151716181921202223261415[[#This Row],[Subtotaal koffieautomaten]]</f>
        <v>2606</v>
      </c>
    </row>
    <row r="16" spans="1:130" ht="14.45" customHeight="1" x14ac:dyDescent="0.25">
      <c r="A16" s="65" t="s">
        <v>54</v>
      </c>
      <c r="B16" t="s">
        <v>55</v>
      </c>
      <c r="C16" t="s">
        <v>47</v>
      </c>
      <c r="E16">
        <v>2387</v>
      </c>
      <c r="F16">
        <f>maart2025!E16</f>
        <v>2153</v>
      </c>
      <c r="G16">
        <f>Tabel242567891011121314151716181921202223261415[[#This Row],[Stand Coffee einde maand]]-Tabel242567891011121314151716181921202223261415[[#This Row],[Coffee vorige maand]]</f>
        <v>234</v>
      </c>
      <c r="H16" s="53">
        <v>3024</v>
      </c>
      <c r="I16">
        <f>maart2025!H16</f>
        <v>2678</v>
      </c>
      <c r="J16">
        <f>Tabel242567891011121314151716181921202223261415[[#This Row],[Stand Espresso Einde maand]]-Tabel242567891011121314151716181921202223261415[[#This Row],[Espresso vorige maand]]</f>
        <v>346</v>
      </c>
      <c r="K16" s="53">
        <v>253</v>
      </c>
      <c r="L16">
        <f>maart2025!K16</f>
        <v>212</v>
      </c>
      <c r="M16">
        <f>Tabel242567891011121314151716181921202223261415[[#This Row],[Stand Latte Macchiato einde maand]]-Tabel242567891011121314151716181921202223261415[[#This Row],[Latte Macchiato vorige maand]]</f>
        <v>41</v>
      </c>
      <c r="N16" s="53">
        <v>162</v>
      </c>
      <c r="O16">
        <f>maart2025!N16</f>
        <v>161</v>
      </c>
      <c r="P16">
        <f>Tabel242567891011121314151716181921202223261415[[#This Row],[Stand Coffee Latte einde maand]]-Tabel242567891011121314151716181921202223261415[[#This Row],[Coffee Latte vorige maand]]</f>
        <v>1</v>
      </c>
      <c r="Q16" s="53">
        <v>719</v>
      </c>
      <c r="R16">
        <f>maart2025!Q16</f>
        <v>631</v>
      </c>
      <c r="S16">
        <f>Tabel242567891011121314151716181921202223261415[[#This Row],[Stand Hot Water einde maand]]-Tabel242567891011121314151716181921202223261415[[#This Row],[Hot Water vorige maand]]</f>
        <v>88</v>
      </c>
      <c r="T16" s="53">
        <v>3524</v>
      </c>
      <c r="U16">
        <f>maart2025!T16</f>
        <v>3160</v>
      </c>
      <c r="V16">
        <f>Tabel242567891011121314151716181921202223261415[[#This Row],[Stand Cappucino einde maand]]-Tabel242567891011121314151716181921202223261415[[#This Row],[Stand Cappucino vorige maand]]</f>
        <v>364</v>
      </c>
      <c r="W16" s="53">
        <v>329</v>
      </c>
      <c r="X16">
        <f>maart2025!W16</f>
        <v>281</v>
      </c>
      <c r="Y16">
        <f>Tabel242567891011121314151716181921202223261415[[#This Row],[Stand Cappucino Plantaardig einde maand]]-Tabel242567891011121314151716181921202223261415[[#This Row],[Stand Cappucino Plantaardig vorige maand]]</f>
        <v>48</v>
      </c>
      <c r="Z16" s="53">
        <v>54</v>
      </c>
      <c r="AA16">
        <f>maart2025!Z16</f>
        <v>48</v>
      </c>
      <c r="AB16">
        <f>Tabel242567891011121314151716181921202223261415[[#This Row],[Stand Latte Macchiato Plantaardig einde maand]]-Tabel242567891011121314151716181921202223261415[[#This Row],[Stand Latte Macchiato Plantaardig vorige maand]]</f>
        <v>6</v>
      </c>
      <c r="AC16" s="71">
        <f>Tabel242567891011121314151716181921202223261415[[#This Row],[Verbruik Stand Latte Macchiato Plantaardig deze maand]]+Tabel242567891011121314151716181921202223261415[[#This Row],[Verbruik  Cappucino Plantaardig deze maand]]+Tabel242567891011121314151716181921202223261415[[#This Row],[Verbruik Cappucino deze maand]]+Tabel242567891011121314151716181921202223261415[[#This Row],[Verbruik Hot Water deze maand]]+Tabel242567891011121314151716181921202223261415[[#This Row],[Verbruik Coffee Latte deze maand]]+Tabel242567891011121314151716181921202223261415[[#This Row],[Verbruik Latte Macchiato deze maand]]+Tabel242567891011121314151716181921202223261415[[#This Row],[Verbruik Espresso deze maand]]+Tabel242567891011121314151716181921202223261415[[#This Row],[Verbruik Coffee deze maand]]</f>
        <v>1128</v>
      </c>
      <c r="AD16" s="53">
        <v>14.7</v>
      </c>
      <c r="AE16">
        <f>maart2025!AD16</f>
        <v>8.4</v>
      </c>
      <c r="AF16">
        <f>Tabel242567891011121314151716181921202223261415[[#This Row],[Stand Kamertemp liter einde maand]]-Tabel242567891011121314151716181921202223261415[[#This Row],[Stand Kamertemp liter vorige maand]]</f>
        <v>6.2999999999999989</v>
      </c>
      <c r="AG16" s="2">
        <f>Tabel242567891011121314151716181921202223261415[[#This Row],[Verbruik Kamertemp liter deze maand]]/0.15</f>
        <v>41.999999999999993</v>
      </c>
      <c r="AH16" s="51">
        <v>292.7</v>
      </c>
      <c r="AI16">
        <f>maart2025!AH16</f>
        <v>147.6</v>
      </c>
      <c r="AJ16">
        <f>Tabel242567891011121314151716181921202223261415[[#This Row],[Stand Gekoeld liter einde maand]]-Tabel242567891011121314151716181921202223261415[[#This Row],[Stand Gekoeld liter vorige maand]]</f>
        <v>145.1</v>
      </c>
      <c r="AK16" s="2">
        <f>Tabel242567891011121314151716181921202223261415[[#This Row],[Verbruik Gekoeld liter deze maand]]/0.15</f>
        <v>967.33333333333337</v>
      </c>
      <c r="AL16" s="51">
        <v>208.6</v>
      </c>
      <c r="AM16">
        <f>maart2025!AL16</f>
        <v>94.3</v>
      </c>
      <c r="AN16">
        <f>Tabel242567891011121314151716181921202223261415[[#This Row],[Stand Bruisend liter einde maand]]-Tabel242567891011121314151716181921202223261415[[#This Row],[Stand Bruisend liter vorige maand]]</f>
        <v>114.3</v>
      </c>
      <c r="AO16" s="2">
        <f>Tabel242567891011121314151716181921202223261415[[#This Row],[Verbruik Bruisend liter deze maand]]/0.15</f>
        <v>762</v>
      </c>
      <c r="AP16" s="51">
        <v>49.7</v>
      </c>
      <c r="AQ16">
        <f>maart2025!AP16</f>
        <v>32.200000000000003</v>
      </c>
      <c r="AR16">
        <f>Tabel242567891011121314151716181921202223261415[[#This Row],[Stand licht bruisend liter einde maand]]-Tabel242567891011121314151716181921202223261415[[#This Row],[Stand licht bruisend liter vorige maand]]</f>
        <v>17.5</v>
      </c>
      <c r="AS16" s="2">
        <f>Tabel242567891011121314151716181921202223261415[[#This Row],[Verbruik licht bruisend liter deze maand]]/0.15</f>
        <v>116.66666666666667</v>
      </c>
      <c r="AT16" s="51">
        <v>701.1</v>
      </c>
      <c r="AU16">
        <f>maart2025!AT16</f>
        <v>392.1</v>
      </c>
      <c r="AV16">
        <f>Tabel242567891011121314151716181921202223261415[[#This Row],[Stand heet water liter einde maand]]-Tabel242567891011121314151716181921202223261415[[#This Row],[Stand heet water liter vorige maand]]</f>
        <v>309</v>
      </c>
      <c r="AW16" s="2">
        <f>Tabel242567891011121314151716181921202223261415[[#This Row],[Verbruik heet Water liter deze maand ]]/0.15</f>
        <v>2060</v>
      </c>
      <c r="AX16" s="77">
        <f>Tabel242567891011121314151716181921202223261415[[#This Row],[Aantal consumpties heet water deze maand]]+Tabel242567891011121314151716181921202223261415[[#This Row],[Aantal consumpties licht bruisend water deze maand]]+Tabel242567891011121314151716181921202223261415[[#This Row],[aantal consumpties Bruisend water deze maand]]+Tabel242567891011121314151716181921202223261415[[#This Row],[Aantal consumpties gekoeld water deze maand]]+Tabel242567891011121314151716181921202223261415[[#This Row],[Aantal consumpties Kamertemp deze maand]]</f>
        <v>3948</v>
      </c>
      <c r="AY16" s="95">
        <f>Tabel242567891011121314151716181921202223261415[[#This Row],[Subtotaal waterbar in consumpties]]+Tabel242567891011121314151716181921202223261415[[#This Row],[Subtotaal koffieautomaten]]</f>
        <v>5076</v>
      </c>
    </row>
    <row r="17" spans="1:130" ht="14.45" customHeight="1" x14ac:dyDescent="0.25">
      <c r="A17" s="65" t="s">
        <v>56</v>
      </c>
      <c r="B17" t="s">
        <v>57</v>
      </c>
      <c r="C17" t="s">
        <v>31</v>
      </c>
      <c r="E17">
        <v>28117</v>
      </c>
      <c r="F17">
        <f>maart2025!E17</f>
        <v>27139</v>
      </c>
      <c r="G17">
        <f>Tabel242567891011121314151716181921202223261415[[#This Row],[Stand Coffee einde maand]]-Tabel242567891011121314151716181921202223261415[[#This Row],[Coffee vorige maand]]</f>
        <v>978</v>
      </c>
      <c r="H17" s="53">
        <v>5707</v>
      </c>
      <c r="I17">
        <f>maart2025!H17</f>
        <v>5580</v>
      </c>
      <c r="J17">
        <f>Tabel242567891011121314151716181921202223261415[[#This Row],[Stand Espresso Einde maand]]-Tabel242567891011121314151716181921202223261415[[#This Row],[Espresso vorige maand]]</f>
        <v>127</v>
      </c>
      <c r="K17" s="53">
        <v>791</v>
      </c>
      <c r="L17">
        <f>maart2025!K17</f>
        <v>768</v>
      </c>
      <c r="M17">
        <f>Tabel242567891011121314151716181921202223261415[[#This Row],[Stand Latte Macchiato einde maand]]-Tabel242567891011121314151716181921202223261415[[#This Row],[Latte Macchiato vorige maand]]</f>
        <v>23</v>
      </c>
      <c r="N17" s="53">
        <v>1645</v>
      </c>
      <c r="O17">
        <f>maart2025!N17</f>
        <v>1603</v>
      </c>
      <c r="P17">
        <f>Tabel242567891011121314151716181921202223261415[[#This Row],[Stand Coffee Latte einde maand]]-Tabel242567891011121314151716181921202223261415[[#This Row],[Coffee Latte vorige maand]]</f>
        <v>42</v>
      </c>
      <c r="Q17" s="53">
        <v>43642</v>
      </c>
      <c r="R17">
        <f>maart2025!Q17</f>
        <v>41844</v>
      </c>
      <c r="S17">
        <f>Tabel242567891011121314151716181921202223261415[[#This Row],[Stand Hot Water einde maand]]-Tabel242567891011121314151716181921202223261415[[#This Row],[Hot Water vorige maand]]</f>
        <v>1798</v>
      </c>
      <c r="T17" s="53">
        <v>11407</v>
      </c>
      <c r="U17">
        <f>maart2025!T17</f>
        <v>11101</v>
      </c>
      <c r="V17">
        <f>Tabel242567891011121314151716181921202223261415[[#This Row],[Stand Cappucino einde maand]]-Tabel242567891011121314151716181921202223261415[[#This Row],[Stand Cappucino vorige maand]]</f>
        <v>306</v>
      </c>
      <c r="W17" s="53">
        <v>3414</v>
      </c>
      <c r="X17">
        <f>maart2025!W17</f>
        <v>3346</v>
      </c>
      <c r="Y17">
        <f>Tabel242567891011121314151716181921202223261415[[#This Row],[Stand Cappucino Plantaardig einde maand]]-Tabel242567891011121314151716181921202223261415[[#This Row],[Stand Cappucino Plantaardig vorige maand]]</f>
        <v>68</v>
      </c>
      <c r="Z17" s="53">
        <v>881</v>
      </c>
      <c r="AA17">
        <f>maart2025!Z17</f>
        <v>864</v>
      </c>
      <c r="AB17">
        <f>Tabel242567891011121314151716181921202223261415[[#This Row],[Stand Latte Macchiato Plantaardig einde maand]]-Tabel242567891011121314151716181921202223261415[[#This Row],[Stand Latte Macchiato Plantaardig vorige maand]]</f>
        <v>17</v>
      </c>
      <c r="AC17" s="71">
        <f>Tabel242567891011121314151716181921202223261415[[#This Row],[Verbruik Stand Latte Macchiato Plantaardig deze maand]]+Tabel242567891011121314151716181921202223261415[[#This Row],[Verbruik  Cappucino Plantaardig deze maand]]+Tabel242567891011121314151716181921202223261415[[#This Row],[Verbruik Cappucino deze maand]]+Tabel242567891011121314151716181921202223261415[[#This Row],[Verbruik Hot Water deze maand]]+Tabel242567891011121314151716181921202223261415[[#This Row],[Verbruik Coffee Latte deze maand]]+Tabel242567891011121314151716181921202223261415[[#This Row],[Verbruik Latte Macchiato deze maand]]+Tabel242567891011121314151716181921202223261415[[#This Row],[Verbruik Espresso deze maand]]+Tabel242567891011121314151716181921202223261415[[#This Row],[Verbruik Coffee deze maand]]</f>
        <v>3359</v>
      </c>
      <c r="AD17" s="69"/>
      <c r="AE17" s="41"/>
      <c r="AF17" s="5"/>
      <c r="AG17" s="5"/>
      <c r="AH17" s="75"/>
      <c r="AI17" s="41"/>
      <c r="AJ17" s="5"/>
      <c r="AK17" s="5"/>
      <c r="AL17" s="75"/>
      <c r="AM17" s="41"/>
      <c r="AN17" s="5"/>
      <c r="AO17" s="5"/>
      <c r="AP17" s="75"/>
      <c r="AQ17" s="41"/>
      <c r="AR17" s="5"/>
      <c r="AS17" s="5"/>
      <c r="AT17" s="75"/>
      <c r="AU17" s="41"/>
      <c r="AV17" s="5"/>
      <c r="AW17" s="5"/>
      <c r="AX17" s="79"/>
      <c r="AY17" s="95">
        <f>Tabel242567891011121314151716181921202223261415[[#This Row],[Subtotaal waterbar in consumpties]]+Tabel242567891011121314151716181921202223261415[[#This Row],[Subtotaal koffieautomaten]]</f>
        <v>3359</v>
      </c>
    </row>
    <row r="18" spans="1:130" ht="14.45" customHeight="1" x14ac:dyDescent="0.25">
      <c r="A18" s="65" t="s">
        <v>58</v>
      </c>
      <c r="B18" t="s">
        <v>59</v>
      </c>
      <c r="C18" t="s">
        <v>47</v>
      </c>
      <c r="E18">
        <v>19773</v>
      </c>
      <c r="F18">
        <f>maart2025!E18</f>
        <v>19176</v>
      </c>
      <c r="G18">
        <f>Tabel242567891011121314151716181921202223261415[[#This Row],[Stand Coffee einde maand]]-Tabel242567891011121314151716181921202223261415[[#This Row],[Coffee vorige maand]]</f>
        <v>597</v>
      </c>
      <c r="H18" s="53">
        <v>4964</v>
      </c>
      <c r="I18">
        <f>maart2025!H18</f>
        <v>4662</v>
      </c>
      <c r="J18">
        <f>Tabel242567891011121314151716181921202223261415[[#This Row],[Stand Espresso Einde maand]]-Tabel242567891011121314151716181921202223261415[[#This Row],[Espresso vorige maand]]</f>
        <v>302</v>
      </c>
      <c r="K18" s="53">
        <v>2749</v>
      </c>
      <c r="L18">
        <f>maart2025!K18</f>
        <v>2655</v>
      </c>
      <c r="M18">
        <f>Tabel242567891011121314151716181921202223261415[[#This Row],[Stand Latte Macchiato einde maand]]-Tabel242567891011121314151716181921202223261415[[#This Row],[Latte Macchiato vorige maand]]</f>
        <v>94</v>
      </c>
      <c r="N18" s="53">
        <v>739</v>
      </c>
      <c r="O18">
        <f>maart2025!N18</f>
        <v>711</v>
      </c>
      <c r="P18">
        <f>Tabel242567891011121314151716181921202223261415[[#This Row],[Stand Coffee Latte einde maand]]-Tabel242567891011121314151716181921202223261415[[#This Row],[Coffee Latte vorige maand]]</f>
        <v>28</v>
      </c>
      <c r="Q18" s="53">
        <v>1</v>
      </c>
      <c r="R18">
        <f>maart2025!Q18</f>
        <v>1</v>
      </c>
      <c r="S18">
        <f>Tabel242567891011121314151716181921202223261415[[#This Row],[Stand Hot Water einde maand]]-Tabel242567891011121314151716181921202223261415[[#This Row],[Hot Water vorige maand]]</f>
        <v>0</v>
      </c>
      <c r="T18" s="53">
        <v>10702</v>
      </c>
      <c r="U18">
        <f>maart2025!T18</f>
        <v>10328</v>
      </c>
      <c r="V18">
        <f>Tabel242567891011121314151716181921202223261415[[#This Row],[Stand Cappucino einde maand]]-Tabel242567891011121314151716181921202223261415[[#This Row],[Stand Cappucino vorige maand]]</f>
        <v>374</v>
      </c>
      <c r="W18" s="53">
        <v>3929</v>
      </c>
      <c r="X18">
        <f>maart2025!W18</f>
        <v>3787</v>
      </c>
      <c r="Y18">
        <f>Tabel242567891011121314151716181921202223261415[[#This Row],[Stand Cappucino Plantaardig einde maand]]-Tabel242567891011121314151716181921202223261415[[#This Row],[Stand Cappucino Plantaardig vorige maand]]</f>
        <v>142</v>
      </c>
      <c r="Z18" s="53">
        <v>459</v>
      </c>
      <c r="AA18">
        <f>maart2025!Z18</f>
        <v>446</v>
      </c>
      <c r="AB18">
        <f>Tabel242567891011121314151716181921202223261415[[#This Row],[Stand Latte Macchiato Plantaardig einde maand]]-Tabel242567891011121314151716181921202223261415[[#This Row],[Stand Latte Macchiato Plantaardig vorige maand]]</f>
        <v>13</v>
      </c>
      <c r="AC18" s="71">
        <f>Tabel242567891011121314151716181921202223261415[[#This Row],[Verbruik Stand Latte Macchiato Plantaardig deze maand]]+Tabel242567891011121314151716181921202223261415[[#This Row],[Verbruik  Cappucino Plantaardig deze maand]]+Tabel242567891011121314151716181921202223261415[[#This Row],[Verbruik Cappucino deze maand]]+Tabel242567891011121314151716181921202223261415[[#This Row],[Verbruik Hot Water deze maand]]+Tabel242567891011121314151716181921202223261415[[#This Row],[Verbruik Coffee Latte deze maand]]+Tabel242567891011121314151716181921202223261415[[#This Row],[Verbruik Latte Macchiato deze maand]]+Tabel242567891011121314151716181921202223261415[[#This Row],[Verbruik Espresso deze maand]]+Tabel242567891011121314151716181921202223261415[[#This Row],[Verbruik Coffee deze maand]]</f>
        <v>1550</v>
      </c>
      <c r="AD18" s="53">
        <v>498.4</v>
      </c>
      <c r="AE18">
        <f>maart2025!AD18</f>
        <v>453.4</v>
      </c>
      <c r="AF18">
        <f>Tabel242567891011121314151716181921202223261415[[#This Row],[Stand Kamertemp liter einde maand]]-Tabel242567891011121314151716181921202223261415[[#This Row],[Stand Kamertemp liter vorige maand]]</f>
        <v>45</v>
      </c>
      <c r="AG18" s="2">
        <f>Tabel242567891011121314151716181921202223261415[[#This Row],[Verbruik Kamertemp liter deze maand]]/0.15</f>
        <v>300</v>
      </c>
      <c r="AH18" s="53">
        <v>1961.5</v>
      </c>
      <c r="AI18">
        <f>maart2025!AH18</f>
        <v>1763</v>
      </c>
      <c r="AJ18">
        <f>Tabel242567891011121314151716181921202223261415[[#This Row],[Stand Gekoeld liter einde maand]]-Tabel242567891011121314151716181921202223261415[[#This Row],[Stand Gekoeld liter vorige maand]]</f>
        <v>198.5</v>
      </c>
      <c r="AK18" s="2">
        <f>Tabel242567891011121314151716181921202223261415[[#This Row],[Verbruik Gekoeld liter deze maand]]/0.15</f>
        <v>1323.3333333333335</v>
      </c>
      <c r="AL18" s="53">
        <v>1728.4</v>
      </c>
      <c r="AM18">
        <f>maart2025!AL18</f>
        <v>1586.4</v>
      </c>
      <c r="AN18">
        <f>Tabel242567891011121314151716181921202223261415[[#This Row],[Stand Bruisend liter einde maand]]-Tabel242567891011121314151716181921202223261415[[#This Row],[Stand Bruisend liter vorige maand]]</f>
        <v>142</v>
      </c>
      <c r="AO18" s="2">
        <f>Tabel242567891011121314151716181921202223261415[[#This Row],[Verbruik Bruisend liter deze maand]]/0.15</f>
        <v>946.66666666666674</v>
      </c>
      <c r="AP18" s="53">
        <v>581.9</v>
      </c>
      <c r="AQ18">
        <f>maart2025!AP18</f>
        <v>502.3</v>
      </c>
      <c r="AR18">
        <f>Tabel242567891011121314151716181921202223261415[[#This Row],[Stand licht bruisend liter einde maand]]-Tabel242567891011121314151716181921202223261415[[#This Row],[Stand licht bruisend liter vorige maand]]</f>
        <v>79.599999999999966</v>
      </c>
      <c r="AS18" s="2">
        <f>Tabel242567891011121314151716181921202223261415[[#This Row],[Verbruik licht bruisend liter deze maand]]/0.15</f>
        <v>530.66666666666652</v>
      </c>
      <c r="AT18" s="53">
        <v>4530.3</v>
      </c>
      <c r="AU18">
        <f>maart2025!AT18</f>
        <v>4164.6000000000004</v>
      </c>
      <c r="AV18">
        <f>Tabel242567891011121314151716181921202223261415[[#This Row],[Stand heet water liter einde maand]]-Tabel242567891011121314151716181921202223261415[[#This Row],[Stand heet water liter vorige maand]]</f>
        <v>365.69999999999982</v>
      </c>
      <c r="AW18" s="2">
        <f>Tabel242567891011121314151716181921202223261415[[#This Row],[Verbruik heet Water liter deze maand ]]/0.15</f>
        <v>2437.9999999999991</v>
      </c>
      <c r="AX18" s="77">
        <f>Tabel242567891011121314151716181921202223261415[[#This Row],[Aantal consumpties heet water deze maand]]+Tabel242567891011121314151716181921202223261415[[#This Row],[Aantal consumpties licht bruisend water deze maand]]+Tabel242567891011121314151716181921202223261415[[#This Row],[aantal consumpties Bruisend water deze maand]]+Tabel242567891011121314151716181921202223261415[[#This Row],[Aantal consumpties gekoeld water deze maand]]+Tabel242567891011121314151716181921202223261415[[#This Row],[Aantal consumpties Kamertemp deze maand]]</f>
        <v>5538.6666666666661</v>
      </c>
      <c r="AY18" s="95">
        <f>Tabel242567891011121314151716181921202223261415[[#This Row],[Subtotaal waterbar in consumpties]]+Tabel242567891011121314151716181921202223261415[[#This Row],[Subtotaal koffieautomaten]]</f>
        <v>7088.6666666666661</v>
      </c>
    </row>
    <row r="19" spans="1:130" ht="14.45" customHeight="1" x14ac:dyDescent="0.25">
      <c r="A19" s="65" t="s">
        <v>60</v>
      </c>
      <c r="B19" t="s">
        <v>61</v>
      </c>
      <c r="C19" t="s">
        <v>31</v>
      </c>
      <c r="E19">
        <v>21184</v>
      </c>
      <c r="F19">
        <f>maart2025!E19</f>
        <v>20337</v>
      </c>
      <c r="G19">
        <f>Tabel242567891011121314151716181921202223261415[[#This Row],[Stand Coffee einde maand]]-Tabel242567891011121314151716181921202223261415[[#This Row],[Coffee vorige maand]]</f>
        <v>847</v>
      </c>
      <c r="H19" s="53">
        <v>4701</v>
      </c>
      <c r="I19">
        <f>maart2025!H19</f>
        <v>4492</v>
      </c>
      <c r="J19">
        <f>Tabel242567891011121314151716181921202223261415[[#This Row],[Stand Espresso Einde maand]]-Tabel242567891011121314151716181921202223261415[[#This Row],[Espresso vorige maand]]</f>
        <v>209</v>
      </c>
      <c r="K19" s="53">
        <v>1537</v>
      </c>
      <c r="L19">
        <f>maart2025!K19</f>
        <v>1487</v>
      </c>
      <c r="M19">
        <f>Tabel242567891011121314151716181921202223261415[[#This Row],[Stand Latte Macchiato einde maand]]-Tabel242567891011121314151716181921202223261415[[#This Row],[Latte Macchiato vorige maand]]</f>
        <v>50</v>
      </c>
      <c r="N19" s="53">
        <v>989</v>
      </c>
      <c r="O19">
        <f>maart2025!N19</f>
        <v>917</v>
      </c>
      <c r="P19">
        <f>Tabel242567891011121314151716181921202223261415[[#This Row],[Stand Coffee Latte einde maand]]-Tabel242567891011121314151716181921202223261415[[#This Row],[Coffee Latte vorige maand]]</f>
        <v>72</v>
      </c>
      <c r="Q19" s="53">
        <v>47395</v>
      </c>
      <c r="R19">
        <f>maart2025!Q19</f>
        <v>45169</v>
      </c>
      <c r="S19">
        <f>Tabel242567891011121314151716181921202223261415[[#This Row],[Stand Hot Water einde maand]]-Tabel242567891011121314151716181921202223261415[[#This Row],[Hot Water vorige maand]]</f>
        <v>2226</v>
      </c>
      <c r="T19" s="53">
        <v>11549</v>
      </c>
      <c r="U19">
        <f>maart2025!T19</f>
        <v>11207</v>
      </c>
      <c r="V19">
        <f>Tabel242567891011121314151716181921202223261415[[#This Row],[Stand Cappucino einde maand]]-Tabel242567891011121314151716181921202223261415[[#This Row],[Stand Cappucino vorige maand]]</f>
        <v>342</v>
      </c>
      <c r="W19" s="53">
        <v>1938</v>
      </c>
      <c r="X19">
        <f>maart2025!W19</f>
        <v>1864</v>
      </c>
      <c r="Y19">
        <f>Tabel242567891011121314151716181921202223261415[[#This Row],[Stand Cappucino Plantaardig einde maand]]-Tabel242567891011121314151716181921202223261415[[#This Row],[Stand Cappucino Plantaardig vorige maand]]</f>
        <v>74</v>
      </c>
      <c r="Z19" s="53">
        <v>515</v>
      </c>
      <c r="AA19">
        <f>maart2025!Z19</f>
        <v>497</v>
      </c>
      <c r="AB19">
        <f>Tabel242567891011121314151716181921202223261415[[#This Row],[Stand Latte Macchiato Plantaardig einde maand]]-Tabel242567891011121314151716181921202223261415[[#This Row],[Stand Latte Macchiato Plantaardig vorige maand]]</f>
        <v>18</v>
      </c>
      <c r="AC19" s="71">
        <f>Tabel242567891011121314151716181921202223261415[[#This Row],[Verbruik Stand Latte Macchiato Plantaardig deze maand]]+Tabel242567891011121314151716181921202223261415[[#This Row],[Verbruik  Cappucino Plantaardig deze maand]]+Tabel242567891011121314151716181921202223261415[[#This Row],[Verbruik Cappucino deze maand]]+Tabel242567891011121314151716181921202223261415[[#This Row],[Verbruik Hot Water deze maand]]+Tabel242567891011121314151716181921202223261415[[#This Row],[Verbruik Coffee Latte deze maand]]+Tabel242567891011121314151716181921202223261415[[#This Row],[Verbruik Latte Macchiato deze maand]]+Tabel242567891011121314151716181921202223261415[[#This Row],[Verbruik Espresso deze maand]]+Tabel242567891011121314151716181921202223261415[[#This Row],[Verbruik Coffee deze maand]]</f>
        <v>3838</v>
      </c>
      <c r="AD19" s="69"/>
      <c r="AE19" s="41"/>
      <c r="AF19" s="5"/>
      <c r="AG19" s="5"/>
      <c r="AH19" s="75"/>
      <c r="AI19" s="41"/>
      <c r="AJ19" s="5"/>
      <c r="AK19" s="5"/>
      <c r="AL19" s="75"/>
      <c r="AM19" s="41"/>
      <c r="AN19" s="5"/>
      <c r="AO19" s="5"/>
      <c r="AP19" s="75"/>
      <c r="AQ19" s="41"/>
      <c r="AR19" s="5"/>
      <c r="AS19" s="5"/>
      <c r="AT19" s="75"/>
      <c r="AU19" s="41"/>
      <c r="AV19" s="5"/>
      <c r="AW19" s="5"/>
      <c r="AX19" s="79"/>
      <c r="AY19" s="95">
        <f>Tabel242567891011121314151716181921202223261415[[#This Row],[Subtotaal waterbar in consumpties]]+Tabel242567891011121314151716181921202223261415[[#This Row],[Subtotaal koffieautomaten]]</f>
        <v>3838</v>
      </c>
    </row>
    <row r="20" spans="1:130" ht="14.45" customHeight="1" x14ac:dyDescent="0.25">
      <c r="A20" s="65" t="s">
        <v>62</v>
      </c>
      <c r="B20" t="s">
        <v>63</v>
      </c>
      <c r="C20" t="s">
        <v>47</v>
      </c>
      <c r="E20">
        <v>6981</v>
      </c>
      <c r="F20">
        <f>maart2025!E20</f>
        <v>6029</v>
      </c>
      <c r="G20">
        <f>Tabel242567891011121314151716181921202223261415[[#This Row],[Stand Coffee einde maand]]-Tabel242567891011121314151716181921202223261415[[#This Row],[Coffee vorige maand]]</f>
        <v>952</v>
      </c>
      <c r="H20" s="53">
        <v>1384</v>
      </c>
      <c r="I20">
        <f>maart2025!H20</f>
        <v>1243</v>
      </c>
      <c r="J20">
        <f>Tabel242567891011121314151716181921202223261415[[#This Row],[Stand Espresso Einde maand]]-Tabel242567891011121314151716181921202223261415[[#This Row],[Espresso vorige maand]]</f>
        <v>141</v>
      </c>
      <c r="K20" s="53">
        <v>282</v>
      </c>
      <c r="L20">
        <f>maart2025!K20</f>
        <v>246</v>
      </c>
      <c r="M20">
        <f>Tabel242567891011121314151716181921202223261415[[#This Row],[Stand Latte Macchiato einde maand]]-Tabel242567891011121314151716181921202223261415[[#This Row],[Latte Macchiato vorige maand]]</f>
        <v>36</v>
      </c>
      <c r="N20" s="53">
        <v>520</v>
      </c>
      <c r="O20">
        <f>maart2025!N20</f>
        <v>470</v>
      </c>
      <c r="P20">
        <f>Tabel242567891011121314151716181921202223261415[[#This Row],[Stand Coffee Latte einde maand]]-Tabel242567891011121314151716181921202223261415[[#This Row],[Coffee Latte vorige maand]]</f>
        <v>50</v>
      </c>
      <c r="Q20" s="53">
        <v>2415</v>
      </c>
      <c r="R20">
        <f>maart2025!Q20</f>
        <v>2077</v>
      </c>
      <c r="S20">
        <f>Tabel242567891011121314151716181921202223261415[[#This Row],[Stand Hot Water einde maand]]-Tabel242567891011121314151716181921202223261415[[#This Row],[Hot Water vorige maand]]</f>
        <v>338</v>
      </c>
      <c r="T20" s="53">
        <v>2348</v>
      </c>
      <c r="U20">
        <f>maart2025!T20</f>
        <v>2098</v>
      </c>
      <c r="V20">
        <f>Tabel242567891011121314151716181921202223261415[[#This Row],[Stand Cappucino einde maand]]-Tabel242567891011121314151716181921202223261415[[#This Row],[Stand Cappucino vorige maand]]</f>
        <v>250</v>
      </c>
      <c r="W20" s="53">
        <v>800</v>
      </c>
      <c r="X20">
        <f>maart2025!W20</f>
        <v>737</v>
      </c>
      <c r="Y20">
        <f>Tabel242567891011121314151716181921202223261415[[#This Row],[Stand Cappucino Plantaardig einde maand]]-Tabel242567891011121314151716181921202223261415[[#This Row],[Stand Cappucino Plantaardig vorige maand]]</f>
        <v>63</v>
      </c>
      <c r="Z20" s="53">
        <v>308</v>
      </c>
      <c r="AA20">
        <f>maart2025!Z20</f>
        <v>280</v>
      </c>
      <c r="AB20">
        <f>Tabel242567891011121314151716181921202223261415[[#This Row],[Stand Latte Macchiato Plantaardig einde maand]]-Tabel242567891011121314151716181921202223261415[[#This Row],[Stand Latte Macchiato Plantaardig vorige maand]]</f>
        <v>28</v>
      </c>
      <c r="AC20" s="71">
        <f>Tabel242567891011121314151716181921202223261415[[#This Row],[Verbruik Stand Latte Macchiato Plantaardig deze maand]]+Tabel242567891011121314151716181921202223261415[[#This Row],[Verbruik  Cappucino Plantaardig deze maand]]+Tabel242567891011121314151716181921202223261415[[#This Row],[Verbruik Cappucino deze maand]]+Tabel242567891011121314151716181921202223261415[[#This Row],[Verbruik Hot Water deze maand]]+Tabel242567891011121314151716181921202223261415[[#This Row],[Verbruik Coffee Latte deze maand]]+Tabel242567891011121314151716181921202223261415[[#This Row],[Verbruik Latte Macchiato deze maand]]+Tabel242567891011121314151716181921202223261415[[#This Row],[Verbruik Espresso deze maand]]+Tabel242567891011121314151716181921202223261415[[#This Row],[Verbruik Coffee deze maand]]</f>
        <v>1858</v>
      </c>
      <c r="AD20" s="53">
        <v>182.3</v>
      </c>
      <c r="AE20">
        <f>maart2025!AD20</f>
        <v>162.5</v>
      </c>
      <c r="AF20">
        <f>Tabel242567891011121314151716181921202223261415[[#This Row],[Stand Kamertemp liter einde maand]]-Tabel242567891011121314151716181921202223261415[[#This Row],[Stand Kamertemp liter vorige maand]]</f>
        <v>19.800000000000011</v>
      </c>
      <c r="AG20" s="2">
        <f>Tabel242567891011121314151716181921202223261415[[#This Row],[Verbruik Kamertemp liter deze maand]]/0.15</f>
        <v>132.00000000000009</v>
      </c>
      <c r="AH20" s="51">
        <v>1568.7</v>
      </c>
      <c r="AI20">
        <f>maart2025!AH20</f>
        <v>1423.4</v>
      </c>
      <c r="AJ20">
        <f>Tabel242567891011121314151716181921202223261415[[#This Row],[Stand Gekoeld liter einde maand]]-Tabel242567891011121314151716181921202223261415[[#This Row],[Stand Gekoeld liter vorige maand]]</f>
        <v>145.29999999999995</v>
      </c>
      <c r="AK20" s="2">
        <f>Tabel242567891011121314151716181921202223261415[[#This Row],[Verbruik Gekoeld liter deze maand]]/0.15</f>
        <v>968.6666666666664</v>
      </c>
      <c r="AL20" s="51">
        <v>1806.8</v>
      </c>
      <c r="AM20">
        <f>maart2025!AL20</f>
        <v>1636.9</v>
      </c>
      <c r="AN20">
        <f>Tabel242567891011121314151716181921202223261415[[#This Row],[Stand Bruisend liter einde maand]]-Tabel242567891011121314151716181921202223261415[[#This Row],[Stand Bruisend liter vorige maand]]</f>
        <v>169.89999999999986</v>
      </c>
      <c r="AO20" s="2">
        <f>Tabel242567891011121314151716181921202223261415[[#This Row],[Verbruik Bruisend liter deze maand]]/0.15</f>
        <v>1132.6666666666658</v>
      </c>
      <c r="AP20" s="51">
        <v>417.6</v>
      </c>
      <c r="AQ20">
        <f>maart2025!AP20</f>
        <v>385.7</v>
      </c>
      <c r="AR20">
        <f>Tabel242567891011121314151716181921202223261415[[#This Row],[Stand licht bruisend liter einde maand]]-Tabel242567891011121314151716181921202223261415[[#This Row],[Stand licht bruisend liter vorige maand]]</f>
        <v>31.900000000000034</v>
      </c>
      <c r="AS20" s="2">
        <f>Tabel242567891011121314151716181921202223261415[[#This Row],[Verbruik licht bruisend liter deze maand]]/0.15</f>
        <v>212.66666666666691</v>
      </c>
      <c r="AT20" s="51">
        <v>4731.8999999999996</v>
      </c>
      <c r="AU20">
        <f>maart2025!AT20</f>
        <v>4414.3999999999996</v>
      </c>
      <c r="AV20">
        <f>Tabel242567891011121314151716181921202223261415[[#This Row],[Stand heet water liter einde maand]]-Tabel242567891011121314151716181921202223261415[[#This Row],[Stand heet water liter vorige maand]]</f>
        <v>317.5</v>
      </c>
      <c r="AW20" s="2">
        <f>Tabel242567891011121314151716181921202223261415[[#This Row],[Verbruik heet Water liter deze maand ]]/0.15</f>
        <v>2116.666666666667</v>
      </c>
      <c r="AX20" s="77">
        <f>Tabel242567891011121314151716181921202223261415[[#This Row],[Aantal consumpties heet water deze maand]]+Tabel242567891011121314151716181921202223261415[[#This Row],[Aantal consumpties licht bruisend water deze maand]]+Tabel242567891011121314151716181921202223261415[[#This Row],[aantal consumpties Bruisend water deze maand]]+Tabel242567891011121314151716181921202223261415[[#This Row],[Aantal consumpties gekoeld water deze maand]]+Tabel242567891011121314151716181921202223261415[[#This Row],[Aantal consumpties Kamertemp deze maand]]</f>
        <v>4562.6666666666661</v>
      </c>
      <c r="AY20" s="95">
        <f>Tabel242567891011121314151716181921202223261415[[#This Row],[Subtotaal waterbar in consumpties]]+Tabel242567891011121314151716181921202223261415[[#This Row],[Subtotaal koffieautomaten]]</f>
        <v>6420.6666666666661</v>
      </c>
    </row>
    <row r="21" spans="1:130" ht="14.45" customHeight="1" x14ac:dyDescent="0.25">
      <c r="A21" s="65" t="s">
        <v>64</v>
      </c>
      <c r="B21" t="s">
        <v>65</v>
      </c>
      <c r="C21" t="s">
        <v>31</v>
      </c>
      <c r="E21">
        <v>23826</v>
      </c>
      <c r="F21">
        <f>maart2025!E21</f>
        <v>22855</v>
      </c>
      <c r="G21">
        <f>Tabel242567891011121314151716181921202223261415[[#This Row],[Stand Coffee einde maand]]-Tabel242567891011121314151716181921202223261415[[#This Row],[Coffee vorige maand]]</f>
        <v>971</v>
      </c>
      <c r="H21" s="53">
        <v>6565</v>
      </c>
      <c r="I21">
        <f>maart2025!H21</f>
        <v>6285</v>
      </c>
      <c r="J21">
        <f>Tabel242567891011121314151716181921202223261415[[#This Row],[Stand Espresso Einde maand]]-Tabel242567891011121314151716181921202223261415[[#This Row],[Espresso vorige maand]]</f>
        <v>280</v>
      </c>
      <c r="K21" s="53">
        <v>2860</v>
      </c>
      <c r="L21">
        <f>maart2025!K21</f>
        <v>2754</v>
      </c>
      <c r="M21">
        <f>Tabel242567891011121314151716181921202223261415[[#This Row],[Stand Latte Macchiato einde maand]]-Tabel242567891011121314151716181921202223261415[[#This Row],[Latte Macchiato vorige maand]]</f>
        <v>106</v>
      </c>
      <c r="N21" s="53">
        <v>1188</v>
      </c>
      <c r="O21">
        <f>maart2025!N21</f>
        <v>1160</v>
      </c>
      <c r="P21">
        <f>Tabel242567891011121314151716181921202223261415[[#This Row],[Stand Coffee Latte einde maand]]-Tabel242567891011121314151716181921202223261415[[#This Row],[Coffee Latte vorige maand]]</f>
        <v>28</v>
      </c>
      <c r="Q21" s="53">
        <v>51537</v>
      </c>
      <c r="R21">
        <f>maart2025!Q21</f>
        <v>49488</v>
      </c>
      <c r="S21">
        <f>Tabel242567891011121314151716181921202223261415[[#This Row],[Stand Hot Water einde maand]]-Tabel242567891011121314151716181921202223261415[[#This Row],[Hot Water vorige maand]]</f>
        <v>2049</v>
      </c>
      <c r="T21" s="53">
        <v>15406</v>
      </c>
      <c r="U21">
        <f>maart2025!T21</f>
        <v>14874</v>
      </c>
      <c r="V21">
        <f>Tabel242567891011121314151716181921202223261415[[#This Row],[Stand Cappucino einde maand]]-Tabel242567891011121314151716181921202223261415[[#This Row],[Stand Cappucino vorige maand]]</f>
        <v>532</v>
      </c>
      <c r="W21" s="53">
        <v>2652</v>
      </c>
      <c r="X21">
        <f>maart2025!W21</f>
        <v>2577</v>
      </c>
      <c r="Y21">
        <f>Tabel242567891011121314151716181921202223261415[[#This Row],[Stand Cappucino Plantaardig einde maand]]-Tabel242567891011121314151716181921202223261415[[#This Row],[Stand Cappucino Plantaardig vorige maand]]</f>
        <v>75</v>
      </c>
      <c r="Z21" s="53">
        <v>827</v>
      </c>
      <c r="AA21">
        <f>maart2025!Z21</f>
        <v>798</v>
      </c>
      <c r="AB21">
        <f>Tabel242567891011121314151716181921202223261415[[#This Row],[Stand Latte Macchiato Plantaardig einde maand]]-Tabel242567891011121314151716181921202223261415[[#This Row],[Stand Latte Macchiato Plantaardig vorige maand]]</f>
        <v>29</v>
      </c>
      <c r="AC21" s="71">
        <f>Tabel242567891011121314151716181921202223261415[[#This Row],[Verbruik Stand Latte Macchiato Plantaardig deze maand]]+Tabel242567891011121314151716181921202223261415[[#This Row],[Verbruik  Cappucino Plantaardig deze maand]]+Tabel242567891011121314151716181921202223261415[[#This Row],[Verbruik Cappucino deze maand]]+Tabel242567891011121314151716181921202223261415[[#This Row],[Verbruik Hot Water deze maand]]+Tabel242567891011121314151716181921202223261415[[#This Row],[Verbruik Coffee Latte deze maand]]+Tabel242567891011121314151716181921202223261415[[#This Row],[Verbruik Latte Macchiato deze maand]]+Tabel242567891011121314151716181921202223261415[[#This Row],[Verbruik Espresso deze maand]]+Tabel242567891011121314151716181921202223261415[[#This Row],[Verbruik Coffee deze maand]]</f>
        <v>4070</v>
      </c>
      <c r="AD21" s="69"/>
      <c r="AE21" s="41"/>
      <c r="AF21" s="5"/>
      <c r="AG21" s="5"/>
      <c r="AH21" s="75"/>
      <c r="AI21" s="41"/>
      <c r="AJ21" s="5"/>
      <c r="AK21" s="5"/>
      <c r="AL21" s="75"/>
      <c r="AM21" s="41"/>
      <c r="AN21" s="5"/>
      <c r="AO21" s="5"/>
      <c r="AP21" s="75"/>
      <c r="AQ21" s="41"/>
      <c r="AR21" s="5"/>
      <c r="AS21" s="5"/>
      <c r="AT21" s="75"/>
      <c r="AU21" s="41"/>
      <c r="AV21" s="5"/>
      <c r="AW21" s="5"/>
      <c r="AX21" s="79"/>
      <c r="AY21" s="95">
        <f>Tabel242567891011121314151716181921202223261415[[#This Row],[Subtotaal waterbar in consumpties]]+Tabel242567891011121314151716181921202223261415[[#This Row],[Subtotaal koffieautomaten]]</f>
        <v>4070</v>
      </c>
    </row>
    <row r="22" spans="1:130" ht="14.45" customHeight="1" x14ac:dyDescent="0.25">
      <c r="A22" s="65" t="s">
        <v>66</v>
      </c>
      <c r="B22" t="s">
        <v>67</v>
      </c>
      <c r="C22" t="s">
        <v>31</v>
      </c>
      <c r="E22">
        <v>28688</v>
      </c>
      <c r="F22">
        <f>maart2025!E22</f>
        <v>27600</v>
      </c>
      <c r="G22">
        <f>Tabel242567891011121314151716181921202223261415[[#This Row],[Stand Coffee einde maand]]-Tabel242567891011121314151716181921202223261415[[#This Row],[Coffee vorige maand]]</f>
        <v>1088</v>
      </c>
      <c r="H22" s="53">
        <v>4793</v>
      </c>
      <c r="I22">
        <f>maart2025!H22</f>
        <v>4481</v>
      </c>
      <c r="J22">
        <f>Tabel242567891011121314151716181921202223261415[[#This Row],[Stand Espresso Einde maand]]-Tabel242567891011121314151716181921202223261415[[#This Row],[Espresso vorige maand]]</f>
        <v>312</v>
      </c>
      <c r="K22" s="53">
        <v>3459</v>
      </c>
      <c r="L22">
        <f>maart2025!K22</f>
        <v>3359</v>
      </c>
      <c r="M22">
        <f>Tabel242567891011121314151716181921202223261415[[#This Row],[Stand Latte Macchiato einde maand]]-Tabel242567891011121314151716181921202223261415[[#This Row],[Latte Macchiato vorige maand]]</f>
        <v>100</v>
      </c>
      <c r="N22" s="53">
        <v>829</v>
      </c>
      <c r="O22">
        <f>maart2025!N22</f>
        <v>812</v>
      </c>
      <c r="P22">
        <f>Tabel242567891011121314151716181921202223261415[[#This Row],[Stand Coffee Latte einde maand]]-Tabel242567891011121314151716181921202223261415[[#This Row],[Coffee Latte vorige maand]]</f>
        <v>17</v>
      </c>
      <c r="Q22" s="53">
        <v>46987</v>
      </c>
      <c r="R22">
        <f>maart2025!Q22</f>
        <v>45242</v>
      </c>
      <c r="S22">
        <f>Tabel242567891011121314151716181921202223261415[[#This Row],[Stand Hot Water einde maand]]-Tabel242567891011121314151716181921202223261415[[#This Row],[Hot Water vorige maand]]</f>
        <v>1745</v>
      </c>
      <c r="T22" s="53">
        <v>15670</v>
      </c>
      <c r="U22">
        <f>maart2025!T22</f>
        <v>15074</v>
      </c>
      <c r="V22">
        <f>Tabel242567891011121314151716181921202223261415[[#This Row],[Stand Cappucino einde maand]]-Tabel242567891011121314151716181921202223261415[[#This Row],[Stand Cappucino vorige maand]]</f>
        <v>596</v>
      </c>
      <c r="W22" s="53">
        <v>3355</v>
      </c>
      <c r="X22">
        <f>maart2025!W22</f>
        <v>3199</v>
      </c>
      <c r="Y22">
        <f>Tabel242567891011121314151716181921202223261415[[#This Row],[Stand Cappucino Plantaardig einde maand]]-Tabel242567891011121314151716181921202223261415[[#This Row],[Stand Cappucino Plantaardig vorige maand]]</f>
        <v>156</v>
      </c>
      <c r="Z22" s="53">
        <v>681</v>
      </c>
      <c r="AA22">
        <f>maart2025!Z22</f>
        <v>675</v>
      </c>
      <c r="AB22">
        <f>Tabel242567891011121314151716181921202223261415[[#This Row],[Stand Latte Macchiato Plantaardig einde maand]]-Tabel242567891011121314151716181921202223261415[[#This Row],[Stand Latte Macchiato Plantaardig vorige maand]]</f>
        <v>6</v>
      </c>
      <c r="AC22" s="71">
        <f>Tabel242567891011121314151716181921202223261415[[#This Row],[Verbruik Stand Latte Macchiato Plantaardig deze maand]]+Tabel242567891011121314151716181921202223261415[[#This Row],[Verbruik  Cappucino Plantaardig deze maand]]+Tabel242567891011121314151716181921202223261415[[#This Row],[Verbruik Cappucino deze maand]]+Tabel242567891011121314151716181921202223261415[[#This Row],[Verbruik Hot Water deze maand]]+Tabel242567891011121314151716181921202223261415[[#This Row],[Verbruik Coffee Latte deze maand]]+Tabel242567891011121314151716181921202223261415[[#This Row],[Verbruik Latte Macchiato deze maand]]+Tabel242567891011121314151716181921202223261415[[#This Row],[Verbruik Espresso deze maand]]+Tabel242567891011121314151716181921202223261415[[#This Row],[Verbruik Coffee deze maand]]</f>
        <v>4020</v>
      </c>
      <c r="AD22" s="69"/>
      <c r="AE22" s="41"/>
      <c r="AF22" s="5"/>
      <c r="AG22" s="5"/>
      <c r="AH22" s="75"/>
      <c r="AI22" s="41"/>
      <c r="AJ22" s="5"/>
      <c r="AK22" s="5"/>
      <c r="AL22" s="75"/>
      <c r="AM22" s="41"/>
      <c r="AN22" s="5"/>
      <c r="AO22" s="5"/>
      <c r="AP22" s="75"/>
      <c r="AQ22" s="41"/>
      <c r="AR22" s="5"/>
      <c r="AS22" s="5"/>
      <c r="AT22" s="75"/>
      <c r="AU22" s="41"/>
      <c r="AV22" s="5"/>
      <c r="AW22" s="5"/>
      <c r="AX22" s="79"/>
      <c r="AY22" s="95">
        <f>Tabel242567891011121314151716181921202223261415[[#This Row],[Subtotaal waterbar in consumpties]]+Tabel242567891011121314151716181921202223261415[[#This Row],[Subtotaal koffieautomaten]]</f>
        <v>4020</v>
      </c>
    </row>
    <row r="23" spans="1:130" ht="14.45" customHeight="1" x14ac:dyDescent="0.25">
      <c r="A23" s="65" t="s">
        <v>68</v>
      </c>
      <c r="B23" t="s">
        <v>69</v>
      </c>
      <c r="C23" t="s">
        <v>47</v>
      </c>
      <c r="E23">
        <v>16791</v>
      </c>
      <c r="F23">
        <f>maart2025!E23</f>
        <v>16101</v>
      </c>
      <c r="G23">
        <f>Tabel242567891011121314151716181921202223261415[[#This Row],[Stand Coffee einde maand]]-Tabel242567891011121314151716181921202223261415[[#This Row],[Coffee vorige maand]]</f>
        <v>690</v>
      </c>
      <c r="H23" s="53">
        <v>6893</v>
      </c>
      <c r="I23">
        <f>maart2025!H23</f>
        <v>6693</v>
      </c>
      <c r="J23">
        <f>Tabel242567891011121314151716181921202223261415[[#This Row],[Stand Espresso Einde maand]]-Tabel242567891011121314151716181921202223261415[[#This Row],[Espresso vorige maand]]</f>
        <v>200</v>
      </c>
      <c r="K23" s="53">
        <v>5060</v>
      </c>
      <c r="L23">
        <f>maart2025!K23</f>
        <v>4860</v>
      </c>
      <c r="M23">
        <f>Tabel242567891011121314151716181921202223261415[[#This Row],[Stand Latte Macchiato einde maand]]-Tabel242567891011121314151716181921202223261415[[#This Row],[Latte Macchiato vorige maand]]</f>
        <v>200</v>
      </c>
      <c r="N23" s="53">
        <v>5060</v>
      </c>
      <c r="O23">
        <f>maart2025!N23</f>
        <v>826</v>
      </c>
      <c r="P23">
        <f>Tabel242567891011121314151716181921202223261415[[#This Row],[Stand Coffee Latte einde maand]]-Tabel242567891011121314151716181921202223261415[[#This Row],[Coffee Latte vorige maand]]</f>
        <v>4234</v>
      </c>
      <c r="Q23" s="53">
        <v>890</v>
      </c>
      <c r="R23">
        <f>maart2025!Q23</f>
        <v>1</v>
      </c>
      <c r="S23">
        <f>Tabel242567891011121314151716181921202223261415[[#This Row],[Stand Hot Water einde maand]]-Tabel242567891011121314151716181921202223261415[[#This Row],[Hot Water vorige maand]]</f>
        <v>889</v>
      </c>
      <c r="T23" s="53">
        <v>14208</v>
      </c>
      <c r="U23">
        <f>maart2025!T23</f>
        <v>13872</v>
      </c>
      <c r="V23">
        <f>Tabel242567891011121314151716181921202223261415[[#This Row],[Stand Cappucino einde maand]]-Tabel242567891011121314151716181921202223261415[[#This Row],[Stand Cappucino vorige maand]]</f>
        <v>336</v>
      </c>
      <c r="W23" s="53">
        <v>2838</v>
      </c>
      <c r="X23">
        <f>maart2025!W23</f>
        <v>2759</v>
      </c>
      <c r="Y23">
        <f>Tabel242567891011121314151716181921202223261415[[#This Row],[Stand Cappucino Plantaardig einde maand]]-Tabel242567891011121314151716181921202223261415[[#This Row],[Stand Cappucino Plantaardig vorige maand]]</f>
        <v>79</v>
      </c>
      <c r="Z23" s="53">
        <v>742</v>
      </c>
      <c r="AA23">
        <f>maart2025!Z23</f>
        <v>707</v>
      </c>
      <c r="AB23">
        <f>Tabel242567891011121314151716181921202223261415[[#This Row],[Stand Latte Macchiato Plantaardig einde maand]]-Tabel242567891011121314151716181921202223261415[[#This Row],[Stand Latte Macchiato Plantaardig vorige maand]]</f>
        <v>35</v>
      </c>
      <c r="AC23" s="71">
        <f>Tabel242567891011121314151716181921202223261415[[#This Row],[Verbruik Stand Latte Macchiato Plantaardig deze maand]]+Tabel242567891011121314151716181921202223261415[[#This Row],[Verbruik  Cappucino Plantaardig deze maand]]+Tabel242567891011121314151716181921202223261415[[#This Row],[Verbruik Cappucino deze maand]]+Tabel242567891011121314151716181921202223261415[[#This Row],[Verbruik Hot Water deze maand]]+Tabel242567891011121314151716181921202223261415[[#This Row],[Verbruik Coffee Latte deze maand]]+Tabel242567891011121314151716181921202223261415[[#This Row],[Verbruik Latte Macchiato deze maand]]+Tabel242567891011121314151716181921202223261415[[#This Row],[Verbruik Espresso deze maand]]+Tabel242567891011121314151716181921202223261415[[#This Row],[Verbruik Coffee deze maand]]</f>
        <v>6663</v>
      </c>
      <c r="AD23" s="53">
        <v>97.8</v>
      </c>
      <c r="AE23">
        <f>maart2025!AD23</f>
        <v>81</v>
      </c>
      <c r="AF23">
        <f>Tabel242567891011121314151716181921202223261415[[#This Row],[Stand Kamertemp liter einde maand]]-Tabel242567891011121314151716181921202223261415[[#This Row],[Stand Kamertemp liter vorige maand]]</f>
        <v>16.799999999999997</v>
      </c>
      <c r="AG23" s="2">
        <f>Tabel242567891011121314151716181921202223261415[[#This Row],[Verbruik Kamertemp liter deze maand]]/0.15</f>
        <v>111.99999999999999</v>
      </c>
      <c r="AH23" s="53">
        <v>934.1</v>
      </c>
      <c r="AI23">
        <f>maart2025!AH23</f>
        <v>736.3</v>
      </c>
      <c r="AJ23">
        <f>Tabel242567891011121314151716181921202223261415[[#This Row],[Stand Gekoeld liter einde maand]]-Tabel242567891011121314151716181921202223261415[[#This Row],[Stand Gekoeld liter vorige maand]]</f>
        <v>197.80000000000007</v>
      </c>
      <c r="AK23" s="2">
        <f>Tabel242567891011121314151716181921202223261415[[#This Row],[Verbruik Gekoeld liter deze maand]]/0.15</f>
        <v>1318.6666666666672</v>
      </c>
      <c r="AL23" s="53">
        <v>438</v>
      </c>
      <c r="AM23">
        <f>maart2025!AL23</f>
        <v>327.39999999999998</v>
      </c>
      <c r="AN23">
        <f>Tabel242567891011121314151716181921202223261415[[#This Row],[Stand Bruisend liter einde maand]]-Tabel242567891011121314151716181921202223261415[[#This Row],[Stand Bruisend liter vorige maand]]</f>
        <v>110.60000000000002</v>
      </c>
      <c r="AO23" s="2">
        <f>Tabel242567891011121314151716181921202223261415[[#This Row],[Verbruik Bruisend liter deze maand]]/0.15</f>
        <v>737.33333333333348</v>
      </c>
      <c r="AP23" s="53">
        <v>70.400000000000006</v>
      </c>
      <c r="AQ23">
        <f>maart2025!AP23</f>
        <v>50.1</v>
      </c>
      <c r="AR23">
        <f>Tabel242567891011121314151716181921202223261415[[#This Row],[Stand licht bruisend liter einde maand]]-Tabel242567891011121314151716181921202223261415[[#This Row],[Stand licht bruisend liter vorige maand]]</f>
        <v>20.300000000000004</v>
      </c>
      <c r="AS23" s="2">
        <f>Tabel242567891011121314151716181921202223261415[[#This Row],[Verbruik licht bruisend liter deze maand]]/0.15</f>
        <v>135.33333333333337</v>
      </c>
      <c r="AT23" s="53">
        <v>2174.6999999999998</v>
      </c>
      <c r="AU23">
        <f>maart2025!AT23</f>
        <v>1743.8</v>
      </c>
      <c r="AV23">
        <f>Tabel242567891011121314151716181921202223261415[[#This Row],[Stand heet water liter einde maand]]-Tabel242567891011121314151716181921202223261415[[#This Row],[Stand heet water liter vorige maand]]</f>
        <v>430.89999999999986</v>
      </c>
      <c r="AW23" s="2">
        <f>Tabel242567891011121314151716181921202223261415[[#This Row],[Verbruik heet Water liter deze maand ]]/0.15</f>
        <v>2872.6666666666661</v>
      </c>
      <c r="AX23" s="77">
        <f>Tabel242567891011121314151716181921202223261415[[#This Row],[Aantal consumpties heet water deze maand]]+Tabel242567891011121314151716181921202223261415[[#This Row],[Aantal consumpties licht bruisend water deze maand]]+Tabel242567891011121314151716181921202223261415[[#This Row],[aantal consumpties Bruisend water deze maand]]+Tabel242567891011121314151716181921202223261415[[#This Row],[Aantal consumpties gekoeld water deze maand]]+Tabel242567891011121314151716181921202223261415[[#This Row],[Aantal consumpties Kamertemp deze maand]]</f>
        <v>5176</v>
      </c>
      <c r="AY23" s="95">
        <f>Tabel242567891011121314151716181921202223261415[[#This Row],[Subtotaal waterbar in consumpties]]+Tabel242567891011121314151716181921202223261415[[#This Row],[Subtotaal koffieautomaten]]</f>
        <v>11839</v>
      </c>
    </row>
    <row r="24" spans="1:130" ht="14.45" customHeight="1" x14ac:dyDescent="0.25">
      <c r="A24" s="65" t="s">
        <v>70</v>
      </c>
      <c r="B24" t="s">
        <v>71</v>
      </c>
      <c r="C24" t="s">
        <v>31</v>
      </c>
      <c r="E24">
        <v>18541</v>
      </c>
      <c r="F24">
        <f>maart2025!E24</f>
        <v>17832</v>
      </c>
      <c r="G24">
        <f>Tabel242567891011121314151716181921202223261415[[#This Row],[Stand Coffee einde maand]]-Tabel242567891011121314151716181921202223261415[[#This Row],[Coffee vorige maand]]</f>
        <v>709</v>
      </c>
      <c r="H24" s="53">
        <v>2860</v>
      </c>
      <c r="I24">
        <f>maart2025!H24</f>
        <v>2763</v>
      </c>
      <c r="J24">
        <f>Tabel242567891011121314151716181921202223261415[[#This Row],[Stand Espresso Einde maand]]-Tabel242567891011121314151716181921202223261415[[#This Row],[Espresso vorige maand]]</f>
        <v>97</v>
      </c>
      <c r="K24" s="53">
        <v>1363</v>
      </c>
      <c r="L24">
        <f>maart2025!K24</f>
        <v>1325</v>
      </c>
      <c r="M24">
        <f>Tabel242567891011121314151716181921202223261415[[#This Row],[Stand Latte Macchiato einde maand]]-Tabel242567891011121314151716181921202223261415[[#This Row],[Latte Macchiato vorige maand]]</f>
        <v>38</v>
      </c>
      <c r="N24" s="53">
        <v>2197</v>
      </c>
      <c r="O24">
        <f>maart2025!N24</f>
        <v>2104</v>
      </c>
      <c r="P24">
        <f>Tabel242567891011121314151716181921202223261415[[#This Row],[Stand Coffee Latte einde maand]]-Tabel242567891011121314151716181921202223261415[[#This Row],[Coffee Latte vorige maand]]</f>
        <v>93</v>
      </c>
      <c r="Q24" s="53">
        <v>35465</v>
      </c>
      <c r="R24">
        <f>maart2025!Q24</f>
        <v>33871</v>
      </c>
      <c r="S24">
        <f>Tabel242567891011121314151716181921202223261415[[#This Row],[Stand Hot Water einde maand]]-Tabel242567891011121314151716181921202223261415[[#This Row],[Hot Water vorige maand]]</f>
        <v>1594</v>
      </c>
      <c r="T24" s="53">
        <v>6873</v>
      </c>
      <c r="U24">
        <f>maart2025!T24</f>
        <v>6722</v>
      </c>
      <c r="V24">
        <f>Tabel242567891011121314151716181921202223261415[[#This Row],[Stand Cappucino einde maand]]-Tabel242567891011121314151716181921202223261415[[#This Row],[Stand Cappucino vorige maand]]</f>
        <v>151</v>
      </c>
      <c r="W24" s="53">
        <v>1236</v>
      </c>
      <c r="X24">
        <f>maart2025!W24</f>
        <v>1210</v>
      </c>
      <c r="Y24">
        <f>Tabel242567891011121314151716181921202223261415[[#This Row],[Stand Cappucino Plantaardig einde maand]]-Tabel242567891011121314151716181921202223261415[[#This Row],[Stand Cappucino Plantaardig vorige maand]]</f>
        <v>26</v>
      </c>
      <c r="Z24" s="53">
        <v>2209</v>
      </c>
      <c r="AA24">
        <f>maart2025!Z24</f>
        <v>2142</v>
      </c>
      <c r="AB24">
        <f>Tabel242567891011121314151716181921202223261415[[#This Row],[Stand Latte Macchiato Plantaardig einde maand]]-Tabel242567891011121314151716181921202223261415[[#This Row],[Stand Latte Macchiato Plantaardig vorige maand]]</f>
        <v>67</v>
      </c>
      <c r="AC24" s="71">
        <f>Tabel242567891011121314151716181921202223261415[[#This Row],[Verbruik Stand Latte Macchiato Plantaardig deze maand]]+Tabel242567891011121314151716181921202223261415[[#This Row],[Verbruik  Cappucino Plantaardig deze maand]]+Tabel242567891011121314151716181921202223261415[[#This Row],[Verbruik Cappucino deze maand]]+Tabel242567891011121314151716181921202223261415[[#This Row],[Verbruik Hot Water deze maand]]+Tabel242567891011121314151716181921202223261415[[#This Row],[Verbruik Coffee Latte deze maand]]+Tabel242567891011121314151716181921202223261415[[#This Row],[Verbruik Latte Macchiato deze maand]]+Tabel242567891011121314151716181921202223261415[[#This Row],[Verbruik Espresso deze maand]]+Tabel242567891011121314151716181921202223261415[[#This Row],[Verbruik Coffee deze maand]]</f>
        <v>2775</v>
      </c>
      <c r="AD24" s="69"/>
      <c r="AE24" s="41"/>
      <c r="AF24" s="5"/>
      <c r="AG24" s="5"/>
      <c r="AH24" s="75"/>
      <c r="AI24" s="41"/>
      <c r="AJ24" s="5"/>
      <c r="AK24" s="5"/>
      <c r="AL24" s="75"/>
      <c r="AM24" s="41"/>
      <c r="AN24" s="5"/>
      <c r="AO24" s="5"/>
      <c r="AP24" s="75"/>
      <c r="AQ24" s="41"/>
      <c r="AR24" s="5"/>
      <c r="AS24" s="5"/>
      <c r="AT24" s="75"/>
      <c r="AU24" s="41"/>
      <c r="AV24" s="5"/>
      <c r="AW24" s="5"/>
      <c r="AX24" s="79"/>
      <c r="AY24" s="95">
        <f>Tabel242567891011121314151716181921202223261415[[#This Row],[Subtotaal waterbar in consumpties]]+Tabel242567891011121314151716181921202223261415[[#This Row],[Subtotaal koffieautomaten]]</f>
        <v>2775</v>
      </c>
    </row>
    <row r="25" spans="1:130" ht="14.45" customHeight="1" x14ac:dyDescent="0.25">
      <c r="A25" s="65" t="s">
        <v>72</v>
      </c>
      <c r="B25" t="s">
        <v>73</v>
      </c>
      <c r="C25" t="s">
        <v>47</v>
      </c>
      <c r="E25">
        <v>13630</v>
      </c>
      <c r="F25">
        <f>maart2025!E25</f>
        <v>13221</v>
      </c>
      <c r="G25">
        <f>Tabel242567891011121314151716181921202223261415[[#This Row],[Stand Coffee einde maand]]-Tabel242567891011121314151716181921202223261415[[#This Row],[Coffee vorige maand]]</f>
        <v>409</v>
      </c>
      <c r="H25" s="53">
        <v>4288</v>
      </c>
      <c r="I25">
        <f>maart2025!H25</f>
        <v>4186</v>
      </c>
      <c r="J25">
        <f>Tabel242567891011121314151716181921202223261415[[#This Row],[Stand Espresso Einde maand]]-Tabel242567891011121314151716181921202223261415[[#This Row],[Espresso vorige maand]]</f>
        <v>102</v>
      </c>
      <c r="K25" s="53">
        <v>1678</v>
      </c>
      <c r="L25">
        <f>maart2025!K25</f>
        <v>1623</v>
      </c>
      <c r="M25">
        <f>Tabel242567891011121314151716181921202223261415[[#This Row],[Stand Latte Macchiato einde maand]]-Tabel242567891011121314151716181921202223261415[[#This Row],[Latte Macchiato vorige maand]]</f>
        <v>55</v>
      </c>
      <c r="N25" s="53">
        <v>1122</v>
      </c>
      <c r="O25">
        <f>maart2025!N25</f>
        <v>1059</v>
      </c>
      <c r="P25">
        <f>Tabel242567891011121314151716181921202223261415[[#This Row],[Stand Coffee Latte einde maand]]-Tabel242567891011121314151716181921202223261415[[#This Row],[Coffee Latte vorige maand]]</f>
        <v>63</v>
      </c>
      <c r="Q25" s="53">
        <v>1</v>
      </c>
      <c r="R25">
        <f>maart2025!Q25</f>
        <v>1</v>
      </c>
      <c r="S25">
        <f>Tabel242567891011121314151716181921202223261415[[#This Row],[Stand Hot Water einde maand]]-Tabel242567891011121314151716181921202223261415[[#This Row],[Hot Water vorige maand]]</f>
        <v>0</v>
      </c>
      <c r="T25" s="53">
        <v>8879</v>
      </c>
      <c r="U25">
        <f>maart2025!T25</f>
        <v>8702</v>
      </c>
      <c r="V25">
        <f>Tabel242567891011121314151716181921202223261415[[#This Row],[Stand Cappucino einde maand]]-Tabel242567891011121314151716181921202223261415[[#This Row],[Stand Cappucino vorige maand]]</f>
        <v>177</v>
      </c>
      <c r="W25" s="53">
        <v>1622</v>
      </c>
      <c r="X25">
        <f>maart2025!W25</f>
        <v>1583</v>
      </c>
      <c r="Y25">
        <f>Tabel242567891011121314151716181921202223261415[[#This Row],[Stand Cappucino Plantaardig einde maand]]-Tabel242567891011121314151716181921202223261415[[#This Row],[Stand Cappucino Plantaardig vorige maand]]</f>
        <v>39</v>
      </c>
      <c r="Z25" s="53">
        <v>490</v>
      </c>
      <c r="AA25">
        <f>maart2025!Z25</f>
        <v>480</v>
      </c>
      <c r="AB25">
        <f>Tabel242567891011121314151716181921202223261415[[#This Row],[Stand Latte Macchiato Plantaardig einde maand]]-Tabel242567891011121314151716181921202223261415[[#This Row],[Stand Latte Macchiato Plantaardig vorige maand]]</f>
        <v>10</v>
      </c>
      <c r="AC25" s="71">
        <f>Tabel242567891011121314151716181921202223261415[[#This Row],[Verbruik Stand Latte Macchiato Plantaardig deze maand]]+Tabel242567891011121314151716181921202223261415[[#This Row],[Verbruik  Cappucino Plantaardig deze maand]]+Tabel242567891011121314151716181921202223261415[[#This Row],[Verbruik Cappucino deze maand]]+Tabel242567891011121314151716181921202223261415[[#This Row],[Verbruik Hot Water deze maand]]+Tabel242567891011121314151716181921202223261415[[#This Row],[Verbruik Coffee Latte deze maand]]+Tabel242567891011121314151716181921202223261415[[#This Row],[Verbruik Latte Macchiato deze maand]]+Tabel242567891011121314151716181921202223261415[[#This Row],[Verbruik Espresso deze maand]]+Tabel242567891011121314151716181921202223261415[[#This Row],[Verbruik Coffee deze maand]]</f>
        <v>855</v>
      </c>
      <c r="AD25" s="53">
        <v>430.4</v>
      </c>
      <c r="AE25">
        <f>maart2025!AD25</f>
        <v>410.5</v>
      </c>
      <c r="AF25">
        <f>Tabel242567891011121314151716181921202223261415[[#This Row],[Stand Kamertemp liter einde maand]]-Tabel242567891011121314151716181921202223261415[[#This Row],[Stand Kamertemp liter vorige maand]]</f>
        <v>19.899999999999977</v>
      </c>
      <c r="AG25" s="2">
        <f>Tabel242567891011121314151716181921202223261415[[#This Row],[Verbruik Kamertemp liter deze maand]]/0.15</f>
        <v>132.66666666666652</v>
      </c>
      <c r="AH25" s="53">
        <v>2662.1</v>
      </c>
      <c r="AI25">
        <f>maart2025!AH25</f>
        <v>2527.6</v>
      </c>
      <c r="AJ25">
        <f>Tabel242567891011121314151716181921202223261415[[#This Row],[Stand Gekoeld liter einde maand]]-Tabel242567891011121314151716181921202223261415[[#This Row],[Stand Gekoeld liter vorige maand]]</f>
        <v>134.5</v>
      </c>
      <c r="AK25" s="2">
        <f>Tabel242567891011121314151716181921202223261415[[#This Row],[Verbruik Gekoeld liter deze maand]]/0.15</f>
        <v>896.66666666666674</v>
      </c>
      <c r="AL25" s="53">
        <v>2091.1999999999998</v>
      </c>
      <c r="AM25">
        <f>maart2025!AL25</f>
        <v>1990.6</v>
      </c>
      <c r="AN25">
        <f>Tabel242567891011121314151716181921202223261415[[#This Row],[Stand Bruisend liter einde maand]]-Tabel242567891011121314151716181921202223261415[[#This Row],[Stand Bruisend liter vorige maand]]</f>
        <v>100.59999999999991</v>
      </c>
      <c r="AO25" s="2">
        <f>Tabel242567891011121314151716181921202223261415[[#This Row],[Verbruik Bruisend liter deze maand]]/0.15</f>
        <v>670.66666666666606</v>
      </c>
      <c r="AP25" s="53">
        <v>644.70000000000005</v>
      </c>
      <c r="AQ25">
        <f>maart2025!AP25</f>
        <v>611.1</v>
      </c>
      <c r="AR25">
        <f>Tabel242567891011121314151716181921202223261415[[#This Row],[Stand licht bruisend liter einde maand]]-Tabel242567891011121314151716181921202223261415[[#This Row],[Stand licht bruisend liter vorige maand]]</f>
        <v>33.600000000000023</v>
      </c>
      <c r="AS25" s="2">
        <f>Tabel242567891011121314151716181921202223261415[[#This Row],[Verbruik licht bruisend liter deze maand]]/0.15</f>
        <v>224.00000000000017</v>
      </c>
      <c r="AT25" s="53">
        <v>3480.7</v>
      </c>
      <c r="AU25">
        <f>maart2025!AT25</f>
        <v>3349.2</v>
      </c>
      <c r="AV25">
        <f>Tabel242567891011121314151716181921202223261415[[#This Row],[Stand heet water liter einde maand]]-Tabel242567891011121314151716181921202223261415[[#This Row],[Stand heet water liter vorige maand]]</f>
        <v>131.5</v>
      </c>
      <c r="AW25" s="2">
        <f>Tabel242567891011121314151716181921202223261415[[#This Row],[Verbruik heet Water liter deze maand ]]/0.15</f>
        <v>876.66666666666674</v>
      </c>
      <c r="AX25" s="77">
        <f>Tabel242567891011121314151716181921202223261415[[#This Row],[Aantal consumpties heet water deze maand]]+Tabel242567891011121314151716181921202223261415[[#This Row],[Aantal consumpties licht bruisend water deze maand]]+Tabel242567891011121314151716181921202223261415[[#This Row],[aantal consumpties Bruisend water deze maand]]+Tabel242567891011121314151716181921202223261415[[#This Row],[Aantal consumpties gekoeld water deze maand]]+Tabel242567891011121314151716181921202223261415[[#This Row],[Aantal consumpties Kamertemp deze maand]]</f>
        <v>2800.6666666666665</v>
      </c>
      <c r="AY25" s="95">
        <f>Tabel242567891011121314151716181921202223261415[[#This Row],[Subtotaal waterbar in consumpties]]+Tabel242567891011121314151716181921202223261415[[#This Row],[Subtotaal koffieautomaten]]</f>
        <v>3655.6666666666665</v>
      </c>
    </row>
    <row r="26" spans="1:130" s="81" customFormat="1" ht="14.45" customHeight="1" x14ac:dyDescent="0.25">
      <c r="A26" s="80" t="s">
        <v>74</v>
      </c>
      <c r="D26" s="82"/>
      <c r="H26" s="86"/>
      <c r="K26" s="86"/>
      <c r="N26" s="86"/>
      <c r="Q26" s="86"/>
      <c r="T26" s="86"/>
      <c r="W26" s="86"/>
      <c r="Z26" s="86"/>
      <c r="AC26" s="85"/>
      <c r="AD26" s="86"/>
      <c r="AG26" s="87"/>
      <c r="AH26" s="86"/>
      <c r="AK26" s="87"/>
      <c r="AL26" s="86"/>
      <c r="AO26" s="87"/>
      <c r="AP26" s="86"/>
      <c r="AS26" s="87"/>
      <c r="AT26" s="86"/>
      <c r="AW26" s="87"/>
      <c r="AX26" s="88"/>
      <c r="AY26" s="94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</row>
    <row r="27" spans="1:130" ht="14.45" customHeight="1" x14ac:dyDescent="0.25">
      <c r="A27" s="65" t="s">
        <v>32</v>
      </c>
      <c r="B27" t="s">
        <v>75</v>
      </c>
      <c r="C27" t="s">
        <v>47</v>
      </c>
      <c r="E27">
        <v>9339</v>
      </c>
      <c r="F27">
        <f>maart2025!E27</f>
        <v>8934</v>
      </c>
      <c r="G27">
        <f>Tabel242567891011121314151716181921202223261415[[#This Row],[Stand Coffee einde maand]]-Tabel242567891011121314151716181921202223261415[[#This Row],[Coffee vorige maand]]</f>
        <v>405</v>
      </c>
      <c r="H27" s="53">
        <v>2423</v>
      </c>
      <c r="I27">
        <f>maart2025!H27</f>
        <v>2327</v>
      </c>
      <c r="J27">
        <f>Tabel242567891011121314151716181921202223261415[[#This Row],[Stand Espresso Einde maand]]-Tabel242567891011121314151716181921202223261415[[#This Row],[Espresso vorige maand]]</f>
        <v>96</v>
      </c>
      <c r="K27" s="53">
        <v>1798</v>
      </c>
      <c r="L27">
        <f>maart2025!K27</f>
        <v>1763</v>
      </c>
      <c r="M27">
        <f>Tabel242567891011121314151716181921202223261415[[#This Row],[Stand Latte Macchiato einde maand]]-Tabel242567891011121314151716181921202223261415[[#This Row],[Latte Macchiato vorige maand]]</f>
        <v>35</v>
      </c>
      <c r="N27" s="53">
        <v>772</v>
      </c>
      <c r="O27">
        <f>maart2025!N27</f>
        <v>745</v>
      </c>
      <c r="P27">
        <f>Tabel242567891011121314151716181921202223261415[[#This Row],[Stand Coffee Latte einde maand]]-Tabel242567891011121314151716181921202223261415[[#This Row],[Coffee Latte vorige maand]]</f>
        <v>27</v>
      </c>
      <c r="Q27" s="53">
        <v>1</v>
      </c>
      <c r="R27">
        <f>maart2025!Q27</f>
        <v>1</v>
      </c>
      <c r="S27">
        <f>Tabel242567891011121314151716181921202223261415[[#This Row],[Stand Hot Water einde maand]]-Tabel242567891011121314151716181921202223261415[[#This Row],[Hot Water vorige maand]]</f>
        <v>0</v>
      </c>
      <c r="T27" s="53">
        <v>5704</v>
      </c>
      <c r="U27">
        <f>maart2025!T27</f>
        <v>5479</v>
      </c>
      <c r="V27">
        <f>Tabel242567891011121314151716181921202223261415[[#This Row],[Stand Cappucino einde maand]]-Tabel242567891011121314151716181921202223261415[[#This Row],[Stand Cappucino vorige maand]]</f>
        <v>225</v>
      </c>
      <c r="W27" s="53">
        <v>908</v>
      </c>
      <c r="X27">
        <f>maart2025!W27</f>
        <v>889</v>
      </c>
      <c r="Y27">
        <f>Tabel242567891011121314151716181921202223261415[[#This Row],[Stand Cappucino Plantaardig einde maand]]-Tabel242567891011121314151716181921202223261415[[#This Row],[Stand Cappucino Plantaardig vorige maand]]</f>
        <v>19</v>
      </c>
      <c r="Z27" s="53">
        <v>455</v>
      </c>
      <c r="AA27">
        <f>maart2025!Z27</f>
        <v>436</v>
      </c>
      <c r="AB27">
        <f>Tabel242567891011121314151716181921202223261415[[#This Row],[Stand Latte Macchiato Plantaardig einde maand]]-Tabel242567891011121314151716181921202223261415[[#This Row],[Stand Latte Macchiato Plantaardig vorige maand]]</f>
        <v>19</v>
      </c>
      <c r="AC27" s="71">
        <f>Tabel242567891011121314151716181921202223261415[[#This Row],[Verbruik Stand Latte Macchiato Plantaardig deze maand]]+Tabel242567891011121314151716181921202223261415[[#This Row],[Verbruik  Cappucino Plantaardig deze maand]]+Tabel242567891011121314151716181921202223261415[[#This Row],[Verbruik Cappucino deze maand]]+Tabel242567891011121314151716181921202223261415[[#This Row],[Verbruik Hot Water deze maand]]+Tabel242567891011121314151716181921202223261415[[#This Row],[Verbruik Coffee Latte deze maand]]+Tabel242567891011121314151716181921202223261415[[#This Row],[Verbruik Latte Macchiato deze maand]]+Tabel242567891011121314151716181921202223261415[[#This Row],[Verbruik Espresso deze maand]]+Tabel242567891011121314151716181921202223261415[[#This Row],[Verbruik Coffee deze maand]]</f>
        <v>826</v>
      </c>
      <c r="AD27" s="120">
        <v>16.2</v>
      </c>
      <c r="AE27" s="49">
        <v>0</v>
      </c>
      <c r="AF27" s="49">
        <f>Tabel242567891011121314151716181921202223261415[[#This Row],[Stand Kamertemp liter einde maand]]-Tabel242567891011121314151716181921202223261415[[#This Row],[Stand Kamertemp liter vorige maand]]</f>
        <v>16.2</v>
      </c>
      <c r="AG27" s="121">
        <f>Tabel242567891011121314151716181921202223261415[[#This Row],[Verbruik Kamertemp liter deze maand]]/0.15</f>
        <v>108</v>
      </c>
      <c r="AH27" s="120">
        <v>54.7</v>
      </c>
      <c r="AI27" s="49">
        <v>0</v>
      </c>
      <c r="AJ27" s="49">
        <f>Tabel242567891011121314151716181921202223261415[[#This Row],[Stand Gekoeld liter einde maand]]-Tabel242567891011121314151716181921202223261415[[#This Row],[Stand Gekoeld liter vorige maand]]</f>
        <v>54.7</v>
      </c>
      <c r="AK27" s="121">
        <f>Tabel242567891011121314151716181921202223261415[[#This Row],[Verbruik Gekoeld liter deze maand]]/0.15</f>
        <v>364.66666666666669</v>
      </c>
      <c r="AL27" s="120">
        <v>18.3</v>
      </c>
      <c r="AM27" s="49">
        <v>0</v>
      </c>
      <c r="AN27" s="49">
        <f>Tabel242567891011121314151716181921202223261415[[#This Row],[Stand Bruisend liter einde maand]]-Tabel242567891011121314151716181921202223261415[[#This Row],[Stand Bruisend liter vorige maand]]</f>
        <v>18.3</v>
      </c>
      <c r="AO27" s="121">
        <f>Tabel242567891011121314151716181921202223261415[[#This Row],[Verbruik Bruisend liter deze maand]]/0.15</f>
        <v>122.00000000000001</v>
      </c>
      <c r="AP27" s="120">
        <v>19.5</v>
      </c>
      <c r="AQ27" s="49">
        <v>0</v>
      </c>
      <c r="AR27" s="49">
        <f>Tabel242567891011121314151716181921202223261415[[#This Row],[Stand licht bruisend liter einde maand]]-Tabel242567891011121314151716181921202223261415[[#This Row],[Stand licht bruisend liter vorige maand]]</f>
        <v>19.5</v>
      </c>
      <c r="AS27" s="121">
        <f>Tabel242567891011121314151716181921202223261415[[#This Row],[Verbruik licht bruisend liter deze maand]]/0.15</f>
        <v>130</v>
      </c>
      <c r="AT27" s="120">
        <v>113.8</v>
      </c>
      <c r="AU27" s="49">
        <v>0</v>
      </c>
      <c r="AV27" s="49">
        <f>Tabel242567891011121314151716181921202223261415[[#This Row],[Stand heet water liter einde maand]]-Tabel242567891011121314151716181921202223261415[[#This Row],[Stand heet water liter vorige maand]]</f>
        <v>113.8</v>
      </c>
      <c r="AW27" s="121">
        <f>Tabel242567891011121314151716181921202223261415[[#This Row],[Verbruik heet Water liter deze maand ]]/0.15</f>
        <v>758.66666666666663</v>
      </c>
      <c r="AX27" s="122">
        <f>Tabel242567891011121314151716181921202223261415[[#This Row],[Aantal consumpties heet water deze maand]]+Tabel242567891011121314151716181921202223261415[[#This Row],[Aantal consumpties licht bruisend water deze maand]]+Tabel242567891011121314151716181921202223261415[[#This Row],[aantal consumpties Bruisend water deze maand]]+Tabel242567891011121314151716181921202223261415[[#This Row],[Aantal consumpties gekoeld water deze maand]]+Tabel242567891011121314151716181921202223261415[[#This Row],[Aantal consumpties Kamertemp deze maand]]</f>
        <v>1483.3333333333333</v>
      </c>
      <c r="AY27" s="95">
        <f>Tabel242567891011121314151716181921202223261415[[#This Row],[Subtotaal waterbar in consumpties]]+Tabel242567891011121314151716181921202223261415[[#This Row],[Subtotaal koffieautomaten]]</f>
        <v>2309.333333333333</v>
      </c>
    </row>
    <row r="28" spans="1:130" ht="14.45" customHeight="1" x14ac:dyDescent="0.25">
      <c r="A28" s="65" t="s">
        <v>39</v>
      </c>
      <c r="B28" t="s">
        <v>163</v>
      </c>
      <c r="C28" t="s">
        <v>31</v>
      </c>
      <c r="E28">
        <v>27164</v>
      </c>
      <c r="F28">
        <f>maart2025!E28</f>
        <v>26575</v>
      </c>
      <c r="G28">
        <f>Tabel242567891011121314151716181921202223261415[[#This Row],[Stand Coffee einde maand]]-Tabel242567891011121314151716181921202223261415[[#This Row],[Coffee vorige maand]]</f>
        <v>589</v>
      </c>
      <c r="H28" s="53">
        <v>6731</v>
      </c>
      <c r="I28">
        <f>maart2025!H28</f>
        <v>6576</v>
      </c>
      <c r="J28">
        <f>Tabel242567891011121314151716181921202223261415[[#This Row],[Stand Espresso Einde maand]]-Tabel242567891011121314151716181921202223261415[[#This Row],[Espresso vorige maand]]</f>
        <v>155</v>
      </c>
      <c r="K28" s="53">
        <v>3305</v>
      </c>
      <c r="L28">
        <f>maart2025!K28</f>
        <v>3220</v>
      </c>
      <c r="M28">
        <f>Tabel242567891011121314151716181921202223261415[[#This Row],[Stand Latte Macchiato einde maand]]-Tabel242567891011121314151716181921202223261415[[#This Row],[Latte Macchiato vorige maand]]</f>
        <v>85</v>
      </c>
      <c r="N28" s="53">
        <v>1405</v>
      </c>
      <c r="O28">
        <f>maart2025!N28</f>
        <v>1364</v>
      </c>
      <c r="P28">
        <f>Tabel242567891011121314151716181921202223261415[[#This Row],[Stand Coffee Latte einde maand]]-Tabel242567891011121314151716181921202223261415[[#This Row],[Coffee Latte vorige maand]]</f>
        <v>41</v>
      </c>
      <c r="Q28" s="53">
        <v>23214</v>
      </c>
      <c r="R28">
        <f>maart2025!Q28</f>
        <v>22675</v>
      </c>
      <c r="S28">
        <f>Tabel242567891011121314151716181921202223261415[[#This Row],[Stand Hot Water einde maand]]-Tabel242567891011121314151716181921202223261415[[#This Row],[Hot Water vorige maand]]</f>
        <v>539</v>
      </c>
      <c r="T28" s="53">
        <v>18944</v>
      </c>
      <c r="U28">
        <f>maart2025!T28</f>
        <v>18500</v>
      </c>
      <c r="V28">
        <f>Tabel242567891011121314151716181921202223261415[[#This Row],[Stand Cappucino einde maand]]-Tabel242567891011121314151716181921202223261415[[#This Row],[Stand Cappucino vorige maand]]</f>
        <v>444</v>
      </c>
      <c r="W28" s="53">
        <v>2306</v>
      </c>
      <c r="X28">
        <f>maart2025!W28</f>
        <v>2232</v>
      </c>
      <c r="Y28">
        <f>Tabel242567891011121314151716181921202223261415[[#This Row],[Stand Cappucino Plantaardig einde maand]]-Tabel242567891011121314151716181921202223261415[[#This Row],[Stand Cappucino Plantaardig vorige maand]]</f>
        <v>74</v>
      </c>
      <c r="Z28" s="53">
        <v>708</v>
      </c>
      <c r="AA28">
        <f>maart2025!Z28</f>
        <v>696</v>
      </c>
      <c r="AB28">
        <f>Tabel242567891011121314151716181921202223261415[[#This Row],[Stand Latte Macchiato Plantaardig einde maand]]-Tabel242567891011121314151716181921202223261415[[#This Row],[Stand Latte Macchiato Plantaardig vorige maand]]</f>
        <v>12</v>
      </c>
      <c r="AC28" s="71">
        <f>Tabel242567891011121314151716181921202223261415[[#This Row],[Verbruik Stand Latte Macchiato Plantaardig deze maand]]+Tabel242567891011121314151716181921202223261415[[#This Row],[Verbruik  Cappucino Plantaardig deze maand]]+Tabel242567891011121314151716181921202223261415[[#This Row],[Verbruik Cappucino deze maand]]+Tabel242567891011121314151716181921202223261415[[#This Row],[Verbruik Hot Water deze maand]]+Tabel242567891011121314151716181921202223261415[[#This Row],[Verbruik Coffee Latte deze maand]]+Tabel242567891011121314151716181921202223261415[[#This Row],[Verbruik Latte Macchiato deze maand]]+Tabel242567891011121314151716181921202223261415[[#This Row],[Verbruik Espresso deze maand]]+Tabel242567891011121314151716181921202223261415[[#This Row],[Verbruik Coffee deze maand]]</f>
        <v>1939</v>
      </c>
      <c r="AD28" s="69"/>
      <c r="AE28" s="41"/>
      <c r="AF28" s="5"/>
      <c r="AG28" s="5"/>
      <c r="AH28" s="75"/>
      <c r="AI28" s="41"/>
      <c r="AJ28" s="5"/>
      <c r="AK28" s="5"/>
      <c r="AL28" s="75"/>
      <c r="AM28" s="41"/>
      <c r="AN28" s="5"/>
      <c r="AO28" s="5"/>
      <c r="AP28" s="75"/>
      <c r="AQ28" s="41"/>
      <c r="AR28" s="5"/>
      <c r="AS28" s="5"/>
      <c r="AT28" s="75"/>
      <c r="AU28" s="41"/>
      <c r="AV28" s="5"/>
      <c r="AW28" s="5"/>
      <c r="AX28" s="79"/>
      <c r="AY28" s="95">
        <f>Tabel242567891011121314151716181921202223261415[[#This Row],[Subtotaal waterbar in consumpties]]+Tabel242567891011121314151716181921202223261415[[#This Row],[Subtotaal koffieautomaten]]</f>
        <v>1939</v>
      </c>
    </row>
    <row r="29" spans="1:130" ht="14.45" customHeight="1" x14ac:dyDescent="0.25">
      <c r="A29" s="65" t="s">
        <v>39</v>
      </c>
      <c r="B29" t="s">
        <v>77</v>
      </c>
      <c r="C29" t="s">
        <v>36</v>
      </c>
      <c r="E29" s="46"/>
      <c r="F29" s="46"/>
      <c r="G29" s="47"/>
      <c r="H29" s="54"/>
      <c r="I29" s="46"/>
      <c r="J29" s="47"/>
      <c r="K29" s="54"/>
      <c r="L29" s="46"/>
      <c r="M29" s="47"/>
      <c r="N29" s="54"/>
      <c r="O29" s="46"/>
      <c r="P29" s="47"/>
      <c r="Q29" s="54"/>
      <c r="R29" s="46"/>
      <c r="S29" s="47"/>
      <c r="T29" s="54"/>
      <c r="U29" s="46"/>
      <c r="V29" s="47"/>
      <c r="W29" s="54"/>
      <c r="X29" s="46"/>
      <c r="Y29" s="47"/>
      <c r="Z29" s="54"/>
      <c r="AA29" s="46"/>
      <c r="AB29" s="47"/>
      <c r="AC29" s="72"/>
      <c r="AD29" s="125">
        <v>20.2</v>
      </c>
      <c r="AE29" s="126">
        <v>0</v>
      </c>
      <c r="AF29" s="126">
        <f>Tabel242567891011121314151716181921202223261415[[#This Row],[Stand Kamertemp liter einde maand]]-Tabel242567891011121314151716181921202223261415[[#This Row],[Stand Kamertemp liter vorige maand]]</f>
        <v>20.2</v>
      </c>
      <c r="AG29" s="127">
        <f>Tabel242567891011121314151716181921202223261415[[#This Row],[Verbruik Kamertemp liter deze maand]]/0.15</f>
        <v>134.66666666666666</v>
      </c>
      <c r="AH29" s="125">
        <v>147</v>
      </c>
      <c r="AI29" s="126">
        <v>0</v>
      </c>
      <c r="AJ29" s="126">
        <f>Tabel242567891011121314151716181921202223261415[[#This Row],[Stand Gekoeld liter einde maand]]-Tabel242567891011121314151716181921202223261415[[#This Row],[Stand Gekoeld liter vorige maand]]</f>
        <v>147</v>
      </c>
      <c r="AK29" s="127">
        <f>Tabel242567891011121314151716181921202223261415[[#This Row],[Verbruik Gekoeld liter deze maand]]/0.15</f>
        <v>980</v>
      </c>
      <c r="AL29" s="125">
        <v>92.6</v>
      </c>
      <c r="AM29" s="126">
        <v>0</v>
      </c>
      <c r="AN29" s="126">
        <f>Tabel242567891011121314151716181921202223261415[[#This Row],[Stand Bruisend liter einde maand]]-Tabel242567891011121314151716181921202223261415[[#This Row],[Stand Bruisend liter vorige maand]]</f>
        <v>92.6</v>
      </c>
      <c r="AO29" s="127">
        <f>Tabel242567891011121314151716181921202223261415[[#This Row],[Verbruik Bruisend liter deze maand]]/0.15</f>
        <v>617.33333333333337</v>
      </c>
      <c r="AP29" s="125">
        <v>27.4</v>
      </c>
      <c r="AQ29" s="126">
        <v>0</v>
      </c>
      <c r="AR29" s="126">
        <f>Tabel242567891011121314151716181921202223261415[[#This Row],[Stand licht bruisend liter einde maand]]-Tabel242567891011121314151716181921202223261415[[#This Row],[Stand licht bruisend liter vorige maand]]</f>
        <v>27.4</v>
      </c>
      <c r="AS29" s="127">
        <f>Tabel242567891011121314151716181921202223261415[[#This Row],[Verbruik licht bruisend liter deze maand]]/0.15</f>
        <v>182.66666666666666</v>
      </c>
      <c r="AT29" s="125">
        <v>57.2</v>
      </c>
      <c r="AU29" s="126">
        <v>0</v>
      </c>
      <c r="AV29" s="126">
        <f>Tabel242567891011121314151716181921202223261415[[#This Row],[Stand heet water liter einde maand]]-Tabel242567891011121314151716181921202223261415[[#This Row],[Stand heet water liter vorige maand]]</f>
        <v>57.2</v>
      </c>
      <c r="AW29" s="127">
        <f>Tabel242567891011121314151716181921202223261415[[#This Row],[Verbruik heet Water liter deze maand ]]/0.15</f>
        <v>381.33333333333337</v>
      </c>
      <c r="AX29" s="128">
        <f>Tabel242567891011121314151716181921202223261415[[#This Row],[Aantal consumpties heet water deze maand]]+Tabel242567891011121314151716181921202223261415[[#This Row],[Aantal consumpties licht bruisend water deze maand]]+Tabel242567891011121314151716181921202223261415[[#This Row],[aantal consumpties Bruisend water deze maand]]+Tabel242567891011121314151716181921202223261415[[#This Row],[Aantal consumpties gekoeld water deze maand]]+Tabel242567891011121314151716181921202223261415[[#This Row],[Aantal consumpties Kamertemp deze maand]]</f>
        <v>2296</v>
      </c>
      <c r="AY29" s="95">
        <f>Tabel242567891011121314151716181921202223261415[[#This Row],[Subtotaal waterbar in consumpties]]+Tabel242567891011121314151716181921202223261415[[#This Row],[Subtotaal koffieautomaten]]</f>
        <v>2296</v>
      </c>
    </row>
    <row r="30" spans="1:130" ht="14.45" customHeight="1" x14ac:dyDescent="0.25">
      <c r="A30" s="65" t="s">
        <v>41</v>
      </c>
      <c r="B30" t="s">
        <v>78</v>
      </c>
      <c r="C30" t="s">
        <v>47</v>
      </c>
      <c r="E30">
        <v>6513</v>
      </c>
      <c r="F30">
        <f>maart2025!E30</f>
        <v>6289</v>
      </c>
      <c r="G30">
        <f>Tabel242567891011121314151716181921202223261415[[#This Row],[Stand Coffee einde maand]]-Tabel242567891011121314151716181921202223261415[[#This Row],[Coffee vorige maand]]</f>
        <v>224</v>
      </c>
      <c r="H30" s="53">
        <v>2132</v>
      </c>
      <c r="I30">
        <f>maart2025!H30</f>
        <v>2121</v>
      </c>
      <c r="J30">
        <f>Tabel242567891011121314151716181921202223261415[[#This Row],[Stand Espresso Einde maand]]-Tabel242567891011121314151716181921202223261415[[#This Row],[Espresso vorige maand]]</f>
        <v>11</v>
      </c>
      <c r="K30" s="53">
        <v>494</v>
      </c>
      <c r="L30">
        <f>maart2025!K30</f>
        <v>471</v>
      </c>
      <c r="M30">
        <f>Tabel242567891011121314151716181921202223261415[[#This Row],[Stand Latte Macchiato einde maand]]-Tabel242567891011121314151716181921202223261415[[#This Row],[Latte Macchiato vorige maand]]</f>
        <v>23</v>
      </c>
      <c r="N30" s="53">
        <v>359</v>
      </c>
      <c r="O30">
        <f>maart2025!N30</f>
        <v>352</v>
      </c>
      <c r="P30">
        <f>Tabel242567891011121314151716181921202223261415[[#This Row],[Stand Coffee Latte einde maand]]-Tabel242567891011121314151716181921202223261415[[#This Row],[Coffee Latte vorige maand]]</f>
        <v>7</v>
      </c>
      <c r="Q30" s="53">
        <v>1</v>
      </c>
      <c r="R30">
        <f>maart2025!Q30</f>
        <v>1</v>
      </c>
      <c r="S30">
        <f>Tabel242567891011121314151716181921202223261415[[#This Row],[Stand Hot Water einde maand]]-Tabel242567891011121314151716181921202223261415[[#This Row],[Hot Water vorige maand]]</f>
        <v>0</v>
      </c>
      <c r="T30" s="53">
        <v>2933</v>
      </c>
      <c r="U30">
        <f>maart2025!T30</f>
        <v>2868</v>
      </c>
      <c r="V30">
        <f>Tabel242567891011121314151716181921202223261415[[#This Row],[Stand Cappucino einde maand]]-Tabel242567891011121314151716181921202223261415[[#This Row],[Stand Cappucino vorige maand]]</f>
        <v>65</v>
      </c>
      <c r="W30" s="53">
        <v>1507</v>
      </c>
      <c r="X30">
        <f>maart2025!W30</f>
        <v>1476</v>
      </c>
      <c r="Y30">
        <f>Tabel242567891011121314151716181921202223261415[[#This Row],[Stand Cappucino Plantaardig einde maand]]-Tabel242567891011121314151716181921202223261415[[#This Row],[Stand Cappucino Plantaardig vorige maand]]</f>
        <v>31</v>
      </c>
      <c r="Z30" s="53">
        <v>1059</v>
      </c>
      <c r="AA30">
        <f>maart2025!Z30</f>
        <v>1045</v>
      </c>
      <c r="AB30">
        <f>Tabel242567891011121314151716181921202223261415[[#This Row],[Stand Latte Macchiato Plantaardig einde maand]]-Tabel242567891011121314151716181921202223261415[[#This Row],[Stand Latte Macchiato Plantaardig vorige maand]]</f>
        <v>14</v>
      </c>
      <c r="AC30" s="71">
        <f>Tabel242567891011121314151716181921202223261415[[#This Row],[Verbruik Stand Latte Macchiato Plantaardig deze maand]]+Tabel242567891011121314151716181921202223261415[[#This Row],[Verbruik  Cappucino Plantaardig deze maand]]+Tabel242567891011121314151716181921202223261415[[#This Row],[Verbruik Cappucino deze maand]]+Tabel242567891011121314151716181921202223261415[[#This Row],[Verbruik Hot Water deze maand]]+Tabel242567891011121314151716181921202223261415[[#This Row],[Verbruik Coffee Latte deze maand]]+Tabel242567891011121314151716181921202223261415[[#This Row],[Verbruik Latte Macchiato deze maand]]+Tabel242567891011121314151716181921202223261415[[#This Row],[Verbruik Espresso deze maand]]+Tabel242567891011121314151716181921202223261415[[#This Row],[Verbruik Coffee deze maand]]</f>
        <v>375</v>
      </c>
      <c r="AD30" s="53">
        <v>186.5</v>
      </c>
      <c r="AE30">
        <f>maart2025!AD30</f>
        <v>170.1</v>
      </c>
      <c r="AF30">
        <f>Tabel242567891011121314151716181921202223261415[[#This Row],[Stand Kamertemp liter einde maand]]-Tabel242567891011121314151716181921202223261415[[#This Row],[Stand Kamertemp liter vorige maand]]</f>
        <v>16.400000000000006</v>
      </c>
      <c r="AG30" s="2">
        <f>Tabel242567891011121314151716181921202223261415[[#This Row],[Verbruik Kamertemp liter deze maand]]/0.15</f>
        <v>109.33333333333337</v>
      </c>
      <c r="AH30" s="53">
        <v>1301.4000000000001</v>
      </c>
      <c r="AI30">
        <f>maart2025!AH30</f>
        <v>1183.5</v>
      </c>
      <c r="AJ30">
        <f>Tabel242567891011121314151716181921202223261415[[#This Row],[Stand Gekoeld liter einde maand]]-Tabel242567891011121314151716181921202223261415[[#This Row],[Stand Gekoeld liter vorige maand]]</f>
        <v>117.90000000000009</v>
      </c>
      <c r="AK30" s="2">
        <f>Tabel242567891011121314151716181921202223261415[[#This Row],[Verbruik Gekoeld liter deze maand]]/0.15</f>
        <v>786.00000000000068</v>
      </c>
      <c r="AL30" s="53">
        <v>838.6</v>
      </c>
      <c r="AM30">
        <f>maart2025!AL30</f>
        <v>787.2</v>
      </c>
      <c r="AN30">
        <f>Tabel242567891011121314151716181921202223261415[[#This Row],[Stand Bruisend liter einde maand]]-Tabel242567891011121314151716181921202223261415[[#This Row],[Stand Bruisend liter vorige maand]]</f>
        <v>51.399999999999977</v>
      </c>
      <c r="AO30" s="2">
        <f>Tabel242567891011121314151716181921202223261415[[#This Row],[Verbruik Bruisend liter deze maand]]/0.15</f>
        <v>342.66666666666652</v>
      </c>
      <c r="AP30" s="53">
        <v>602.4</v>
      </c>
      <c r="AQ30">
        <f>maart2025!AP30</f>
        <v>578</v>
      </c>
      <c r="AR30">
        <f>Tabel242567891011121314151716181921202223261415[[#This Row],[Stand licht bruisend liter einde maand]]-Tabel242567891011121314151716181921202223261415[[#This Row],[Stand licht bruisend liter vorige maand]]</f>
        <v>24.399999999999977</v>
      </c>
      <c r="AS30" s="2">
        <f>Tabel242567891011121314151716181921202223261415[[#This Row],[Verbruik licht bruisend liter deze maand]]/0.15</f>
        <v>162.66666666666652</v>
      </c>
      <c r="AT30" s="53">
        <v>3937.4</v>
      </c>
      <c r="AU30">
        <f>maart2025!AT30</f>
        <v>3687.8</v>
      </c>
      <c r="AV30">
        <f>Tabel242567891011121314151716181921202223261415[[#This Row],[Stand heet water liter einde maand]]-Tabel242567891011121314151716181921202223261415[[#This Row],[Stand heet water liter vorige maand]]</f>
        <v>249.59999999999991</v>
      </c>
      <c r="AW30" s="2">
        <f>Tabel242567891011121314151716181921202223261415[[#This Row],[Verbruik heet Water liter deze maand ]]/0.15</f>
        <v>1663.9999999999995</v>
      </c>
      <c r="AX30" s="77">
        <f>Tabel242567891011121314151716181921202223261415[[#This Row],[Aantal consumpties heet water deze maand]]+Tabel242567891011121314151716181921202223261415[[#This Row],[Aantal consumpties licht bruisend water deze maand]]+Tabel242567891011121314151716181921202223261415[[#This Row],[aantal consumpties Bruisend water deze maand]]+Tabel242567891011121314151716181921202223261415[[#This Row],[Aantal consumpties gekoeld water deze maand]]+Tabel242567891011121314151716181921202223261415[[#This Row],[Aantal consumpties Kamertemp deze maand]]</f>
        <v>3064.6666666666665</v>
      </c>
      <c r="AY30" s="95">
        <f>Tabel242567891011121314151716181921202223261415[[#This Row],[Subtotaal waterbar in consumpties]]+Tabel242567891011121314151716181921202223261415[[#This Row],[Subtotaal koffieautomaten]]</f>
        <v>3439.6666666666665</v>
      </c>
    </row>
    <row r="31" spans="1:130" ht="14.45" customHeight="1" x14ac:dyDescent="0.25">
      <c r="A31" s="65" t="s">
        <v>43</v>
      </c>
      <c r="B31" t="s">
        <v>79</v>
      </c>
      <c r="C31" t="s">
        <v>31</v>
      </c>
      <c r="E31">
        <v>12185</v>
      </c>
      <c r="F31">
        <f>maart2025!E31</f>
        <v>11721</v>
      </c>
      <c r="G31">
        <f>Tabel242567891011121314151716181921202223261415[[#This Row],[Stand Coffee einde maand]]-Tabel242567891011121314151716181921202223261415[[#This Row],[Coffee vorige maand]]</f>
        <v>464</v>
      </c>
      <c r="H31" s="53">
        <v>4994</v>
      </c>
      <c r="I31">
        <f>maart2025!H31</f>
        <v>4586</v>
      </c>
      <c r="J31">
        <f>Tabel242567891011121314151716181921202223261415[[#This Row],[Stand Espresso Einde maand]]-Tabel242567891011121314151716181921202223261415[[#This Row],[Espresso vorige maand]]</f>
        <v>408</v>
      </c>
      <c r="K31" s="53">
        <v>786</v>
      </c>
      <c r="L31">
        <f>maart2025!K31</f>
        <v>742</v>
      </c>
      <c r="M31">
        <f>Tabel242567891011121314151716181921202223261415[[#This Row],[Stand Latte Macchiato einde maand]]-Tabel242567891011121314151716181921202223261415[[#This Row],[Latte Macchiato vorige maand]]</f>
        <v>44</v>
      </c>
      <c r="N31" s="53">
        <v>154</v>
      </c>
      <c r="O31">
        <f>maart2025!N31</f>
        <v>150</v>
      </c>
      <c r="P31">
        <f>Tabel242567891011121314151716181921202223261415[[#This Row],[Stand Coffee Latte einde maand]]-Tabel242567891011121314151716181921202223261415[[#This Row],[Coffee Latte vorige maand]]</f>
        <v>4</v>
      </c>
      <c r="Q31" s="53">
        <v>10634</v>
      </c>
      <c r="R31">
        <f>maart2025!Q31</f>
        <v>10266</v>
      </c>
      <c r="S31">
        <f>Tabel242567891011121314151716181921202223261415[[#This Row],[Stand Hot Water einde maand]]-Tabel242567891011121314151716181921202223261415[[#This Row],[Hot Water vorige maand]]</f>
        <v>368</v>
      </c>
      <c r="T31" s="53">
        <v>6816</v>
      </c>
      <c r="U31">
        <f>maart2025!T31</f>
        <v>6384</v>
      </c>
      <c r="V31">
        <f>Tabel242567891011121314151716181921202223261415[[#This Row],[Stand Cappucino einde maand]]-Tabel242567891011121314151716181921202223261415[[#This Row],[Stand Cappucino vorige maand]]</f>
        <v>432</v>
      </c>
      <c r="W31" s="53">
        <v>484</v>
      </c>
      <c r="X31">
        <f>maart2025!W31</f>
        <v>450</v>
      </c>
      <c r="Y31">
        <f>Tabel242567891011121314151716181921202223261415[[#This Row],[Stand Cappucino Plantaardig einde maand]]-Tabel242567891011121314151716181921202223261415[[#This Row],[Stand Cappucino Plantaardig vorige maand]]</f>
        <v>34</v>
      </c>
      <c r="Z31" s="53">
        <v>118</v>
      </c>
      <c r="AA31">
        <f>maart2025!Z31</f>
        <v>113</v>
      </c>
      <c r="AB31">
        <f>Tabel242567891011121314151716181921202223261415[[#This Row],[Stand Latte Macchiato Plantaardig einde maand]]-Tabel242567891011121314151716181921202223261415[[#This Row],[Stand Latte Macchiato Plantaardig vorige maand]]</f>
        <v>5</v>
      </c>
      <c r="AC31" s="71">
        <f>Tabel242567891011121314151716181921202223261415[[#This Row],[Verbruik Stand Latte Macchiato Plantaardig deze maand]]+Tabel242567891011121314151716181921202223261415[[#This Row],[Verbruik  Cappucino Plantaardig deze maand]]+Tabel242567891011121314151716181921202223261415[[#This Row],[Verbruik Cappucino deze maand]]+Tabel242567891011121314151716181921202223261415[[#This Row],[Verbruik Hot Water deze maand]]+Tabel242567891011121314151716181921202223261415[[#This Row],[Verbruik Coffee Latte deze maand]]+Tabel242567891011121314151716181921202223261415[[#This Row],[Verbruik Latte Macchiato deze maand]]+Tabel242567891011121314151716181921202223261415[[#This Row],[Verbruik Espresso deze maand]]+Tabel242567891011121314151716181921202223261415[[#This Row],[Verbruik Coffee deze maand]]</f>
        <v>1759</v>
      </c>
      <c r="AD31" s="69"/>
      <c r="AE31" s="41"/>
      <c r="AF31" s="5"/>
      <c r="AG31" s="5"/>
      <c r="AH31" s="75"/>
      <c r="AI31" s="41"/>
      <c r="AJ31" s="5"/>
      <c r="AK31" s="5"/>
      <c r="AL31" s="75"/>
      <c r="AM31" s="41"/>
      <c r="AN31" s="5"/>
      <c r="AO31" s="5"/>
      <c r="AP31" s="75"/>
      <c r="AQ31" s="41"/>
      <c r="AR31" s="5"/>
      <c r="AS31" s="5"/>
      <c r="AT31" s="75"/>
      <c r="AU31" s="41"/>
      <c r="AV31" s="5"/>
      <c r="AW31" s="5"/>
      <c r="AX31" s="79"/>
      <c r="AY31" s="95">
        <f>Tabel242567891011121314151716181921202223261415[[#This Row],[Subtotaal waterbar in consumpties]]+Tabel242567891011121314151716181921202223261415[[#This Row],[Subtotaal koffieautomaten]]</f>
        <v>1759</v>
      </c>
    </row>
    <row r="32" spans="1:130" ht="14.45" customHeight="1" x14ac:dyDescent="0.25">
      <c r="A32" s="65" t="s">
        <v>45</v>
      </c>
      <c r="B32" t="s">
        <v>80</v>
      </c>
      <c r="C32" t="s">
        <v>36</v>
      </c>
      <c r="E32" s="46"/>
      <c r="F32" s="46"/>
      <c r="G32" s="47"/>
      <c r="H32" s="54"/>
      <c r="I32" s="46"/>
      <c r="J32" s="47"/>
      <c r="K32" s="54"/>
      <c r="L32" s="46"/>
      <c r="M32" s="47"/>
      <c r="N32" s="54"/>
      <c r="O32" s="46"/>
      <c r="P32" s="47"/>
      <c r="Q32" s="54"/>
      <c r="R32" s="46"/>
      <c r="S32" s="47"/>
      <c r="T32" s="54"/>
      <c r="U32" s="46"/>
      <c r="V32" s="47"/>
      <c r="W32" s="54"/>
      <c r="X32" s="46"/>
      <c r="Y32" s="47"/>
      <c r="Z32" s="54"/>
      <c r="AA32" s="46"/>
      <c r="AB32" s="47"/>
      <c r="AC32" s="72"/>
      <c r="AD32" s="53">
        <v>49</v>
      </c>
      <c r="AE32">
        <f>maart2025!AD32</f>
        <v>39</v>
      </c>
      <c r="AF32">
        <f>Tabel242567891011121314151716181921202223261415[[#This Row],[Stand Kamertemp liter einde maand]]-Tabel242567891011121314151716181921202223261415[[#This Row],[Stand Kamertemp liter vorige maand]]</f>
        <v>10</v>
      </c>
      <c r="AG32" s="2">
        <f>Tabel242567891011121314151716181921202223261415[[#This Row],[Verbruik Kamertemp liter deze maand]]/0.15</f>
        <v>66.666666666666671</v>
      </c>
      <c r="AH32" s="53">
        <v>243.3</v>
      </c>
      <c r="AI32">
        <f>maart2025!AH32</f>
        <v>192.8</v>
      </c>
      <c r="AJ32">
        <f>Tabel242567891011121314151716181921202223261415[[#This Row],[Stand Gekoeld liter einde maand]]-Tabel242567891011121314151716181921202223261415[[#This Row],[Stand Gekoeld liter vorige maand]]</f>
        <v>50.5</v>
      </c>
      <c r="AK32" s="2">
        <f>Tabel242567891011121314151716181921202223261415[[#This Row],[Verbruik Gekoeld liter deze maand]]/0.15</f>
        <v>336.66666666666669</v>
      </c>
      <c r="AL32" s="53">
        <v>209.9</v>
      </c>
      <c r="AM32">
        <f>maart2025!AL32</f>
        <v>160.80000000000001</v>
      </c>
      <c r="AN32">
        <f>Tabel242567891011121314151716181921202223261415[[#This Row],[Stand Bruisend liter einde maand]]-Tabel242567891011121314151716181921202223261415[[#This Row],[Stand Bruisend liter vorige maand]]</f>
        <v>49.099999999999994</v>
      </c>
      <c r="AO32" s="2">
        <f>Tabel242567891011121314151716181921202223261415[[#This Row],[Verbruik Bruisend liter deze maand]]/0.15</f>
        <v>327.33333333333331</v>
      </c>
      <c r="AP32" s="53">
        <v>67.400000000000006</v>
      </c>
      <c r="AQ32">
        <f>maart2025!AP32</f>
        <v>51.2</v>
      </c>
      <c r="AR32">
        <f>Tabel242567891011121314151716181921202223261415[[#This Row],[Stand licht bruisend liter einde maand]]-Tabel242567891011121314151716181921202223261415[[#This Row],[Stand licht bruisend liter vorige maand]]</f>
        <v>16.200000000000003</v>
      </c>
      <c r="AS32" s="2">
        <f>Tabel242567891011121314151716181921202223261415[[#This Row],[Verbruik licht bruisend liter deze maand]]/0.15</f>
        <v>108.00000000000003</v>
      </c>
      <c r="AT32" s="53">
        <v>1012.7</v>
      </c>
      <c r="AU32">
        <f>maart2025!AT32</f>
        <v>843.8</v>
      </c>
      <c r="AV32">
        <f>Tabel242567891011121314151716181921202223261415[[#This Row],[Stand heet water liter einde maand]]-Tabel242567891011121314151716181921202223261415[[#This Row],[Stand heet water liter vorige maand]]</f>
        <v>168.90000000000009</v>
      </c>
      <c r="AW32" s="2">
        <f>Tabel242567891011121314151716181921202223261415[[#This Row],[Verbruik heet Water liter deze maand ]]/0.15</f>
        <v>1126.0000000000007</v>
      </c>
      <c r="AX32" s="77">
        <f>Tabel242567891011121314151716181921202223261415[[#This Row],[Aantal consumpties heet water deze maand]]+Tabel242567891011121314151716181921202223261415[[#This Row],[Aantal consumpties licht bruisend water deze maand]]+Tabel242567891011121314151716181921202223261415[[#This Row],[aantal consumpties Bruisend water deze maand]]+Tabel242567891011121314151716181921202223261415[[#This Row],[Aantal consumpties gekoeld water deze maand]]+Tabel242567891011121314151716181921202223261415[[#This Row],[Aantal consumpties Kamertemp deze maand]]</f>
        <v>1964.6666666666674</v>
      </c>
      <c r="AY32" s="95">
        <f>Tabel242567891011121314151716181921202223261415[[#This Row],[Subtotaal waterbar in consumpties]]+Tabel242567891011121314151716181921202223261415[[#This Row],[Subtotaal koffieautomaten]]</f>
        <v>1964.6666666666674</v>
      </c>
    </row>
    <row r="33" spans="1:130" ht="14.45" customHeight="1" x14ac:dyDescent="0.25">
      <c r="A33" s="65" t="s">
        <v>48</v>
      </c>
      <c r="B33" t="s">
        <v>81</v>
      </c>
      <c r="C33" t="s">
        <v>31</v>
      </c>
      <c r="E33">
        <v>11375</v>
      </c>
      <c r="F33">
        <f>maart2025!E33</f>
        <v>10789</v>
      </c>
      <c r="G33">
        <f>Tabel242567891011121314151716181921202223261415[[#This Row],[Stand Coffee einde maand]]-Tabel242567891011121314151716181921202223261415[[#This Row],[Coffee vorige maand]]</f>
        <v>586</v>
      </c>
      <c r="H33" s="53">
        <v>491</v>
      </c>
      <c r="I33">
        <f>maart2025!H33</f>
        <v>470</v>
      </c>
      <c r="J33">
        <f>Tabel242567891011121314151716181921202223261415[[#This Row],[Stand Espresso Einde maand]]-Tabel242567891011121314151716181921202223261415[[#This Row],[Espresso vorige maand]]</f>
        <v>21</v>
      </c>
      <c r="K33" s="53">
        <v>725</v>
      </c>
      <c r="L33">
        <f>maart2025!K33</f>
        <v>712</v>
      </c>
      <c r="M33">
        <f>Tabel242567891011121314151716181921202223261415[[#This Row],[Stand Latte Macchiato einde maand]]-Tabel242567891011121314151716181921202223261415[[#This Row],[Latte Macchiato vorige maand]]</f>
        <v>13</v>
      </c>
      <c r="N33" s="53">
        <v>403</v>
      </c>
      <c r="O33">
        <f>maart2025!N33</f>
        <v>400</v>
      </c>
      <c r="P33">
        <f>Tabel242567891011121314151716181921202223261415[[#This Row],[Stand Coffee Latte einde maand]]-Tabel242567891011121314151716181921202223261415[[#This Row],[Coffee Latte vorige maand]]</f>
        <v>3</v>
      </c>
      <c r="Q33" s="53">
        <v>25069</v>
      </c>
      <c r="R33">
        <f>maart2025!Q33</f>
        <v>24136</v>
      </c>
      <c r="S33">
        <f>Tabel242567891011121314151716181921202223261415[[#This Row],[Stand Hot Water einde maand]]-Tabel242567891011121314151716181921202223261415[[#This Row],[Hot Water vorige maand]]</f>
        <v>933</v>
      </c>
      <c r="T33" s="53">
        <v>4261</v>
      </c>
      <c r="U33">
        <f>maart2025!T33</f>
        <v>4048</v>
      </c>
      <c r="V33">
        <f>Tabel242567891011121314151716181921202223261415[[#This Row],[Stand Cappucino einde maand]]-Tabel242567891011121314151716181921202223261415[[#This Row],[Stand Cappucino vorige maand]]</f>
        <v>213</v>
      </c>
      <c r="W33" s="53">
        <v>426</v>
      </c>
      <c r="X33">
        <f>maart2025!W33</f>
        <v>404</v>
      </c>
      <c r="Y33">
        <f>Tabel242567891011121314151716181921202223261415[[#This Row],[Stand Cappucino Plantaardig einde maand]]-Tabel242567891011121314151716181921202223261415[[#This Row],[Stand Cappucino Plantaardig vorige maand]]</f>
        <v>22</v>
      </c>
      <c r="Z33" s="53">
        <v>71</v>
      </c>
      <c r="AA33">
        <f>maart2025!Z33</f>
        <v>69</v>
      </c>
      <c r="AB33">
        <f>Tabel242567891011121314151716181921202223261415[[#This Row],[Stand Latte Macchiato Plantaardig einde maand]]-Tabel242567891011121314151716181921202223261415[[#This Row],[Stand Latte Macchiato Plantaardig vorige maand]]</f>
        <v>2</v>
      </c>
      <c r="AC33" s="71">
        <f>Tabel242567891011121314151716181921202223261415[[#This Row],[Verbruik Stand Latte Macchiato Plantaardig deze maand]]+Tabel242567891011121314151716181921202223261415[[#This Row],[Verbruik  Cappucino Plantaardig deze maand]]+Tabel242567891011121314151716181921202223261415[[#This Row],[Verbruik Cappucino deze maand]]+Tabel242567891011121314151716181921202223261415[[#This Row],[Verbruik Hot Water deze maand]]+Tabel242567891011121314151716181921202223261415[[#This Row],[Verbruik Coffee Latte deze maand]]+Tabel242567891011121314151716181921202223261415[[#This Row],[Verbruik Latte Macchiato deze maand]]+Tabel242567891011121314151716181921202223261415[[#This Row],[Verbruik Espresso deze maand]]+Tabel242567891011121314151716181921202223261415[[#This Row],[Verbruik Coffee deze maand]]</f>
        <v>1793</v>
      </c>
      <c r="AD33" s="69"/>
      <c r="AE33" s="41"/>
      <c r="AF33" s="5"/>
      <c r="AG33" s="5"/>
      <c r="AH33" s="75"/>
      <c r="AI33" s="41"/>
      <c r="AJ33" s="5"/>
      <c r="AK33" s="5"/>
      <c r="AL33" s="75"/>
      <c r="AM33" s="41"/>
      <c r="AN33" s="5"/>
      <c r="AO33" s="5"/>
      <c r="AP33" s="75"/>
      <c r="AQ33" s="41"/>
      <c r="AR33" s="5"/>
      <c r="AS33" s="5"/>
      <c r="AT33" s="75"/>
      <c r="AU33" s="41"/>
      <c r="AV33" s="5"/>
      <c r="AW33" s="5"/>
      <c r="AX33" s="79"/>
      <c r="AY33" s="95">
        <f>Tabel242567891011121314151716181921202223261415[[#This Row],[Subtotaal waterbar in consumpties]]+Tabel242567891011121314151716181921202223261415[[#This Row],[Subtotaal koffieautomaten]]</f>
        <v>1793</v>
      </c>
    </row>
    <row r="34" spans="1:130" ht="14.45" customHeight="1" x14ac:dyDescent="0.25">
      <c r="A34" s="65" t="s">
        <v>50</v>
      </c>
      <c r="B34" t="s">
        <v>82</v>
      </c>
      <c r="C34" t="s">
        <v>47</v>
      </c>
      <c r="E34">
        <v>7889</v>
      </c>
      <c r="F34">
        <f>maart2025!E34</f>
        <v>7623</v>
      </c>
      <c r="G34">
        <f>Tabel242567891011121314151716181921202223261415[[#This Row],[Stand Coffee einde maand]]-Tabel242567891011121314151716181921202223261415[[#This Row],[Coffee vorige maand]]</f>
        <v>266</v>
      </c>
      <c r="H34" s="53">
        <v>1461</v>
      </c>
      <c r="I34">
        <f>maart2025!H34</f>
        <v>1400</v>
      </c>
      <c r="J34">
        <f>Tabel242567891011121314151716181921202223261415[[#This Row],[Stand Espresso Einde maand]]-Tabel242567891011121314151716181921202223261415[[#This Row],[Espresso vorige maand]]</f>
        <v>61</v>
      </c>
      <c r="K34" s="53">
        <v>1969</v>
      </c>
      <c r="L34">
        <f>maart2025!K34</f>
        <v>1902</v>
      </c>
      <c r="M34">
        <f>Tabel242567891011121314151716181921202223261415[[#This Row],[Stand Latte Macchiato einde maand]]-Tabel242567891011121314151716181921202223261415[[#This Row],[Latte Macchiato vorige maand]]</f>
        <v>67</v>
      </c>
      <c r="N34" s="53">
        <v>1991</v>
      </c>
      <c r="O34">
        <f>maart2025!N34</f>
        <v>1849</v>
      </c>
      <c r="P34">
        <f>Tabel242567891011121314151716181921202223261415[[#This Row],[Stand Coffee Latte einde maand]]-Tabel242567891011121314151716181921202223261415[[#This Row],[Coffee Latte vorige maand]]</f>
        <v>142</v>
      </c>
      <c r="Q34" s="53">
        <v>1</v>
      </c>
      <c r="R34">
        <f>maart2025!Q34</f>
        <v>1</v>
      </c>
      <c r="S34">
        <f>Tabel242567891011121314151716181921202223261415[[#This Row],[Stand Hot Water einde maand]]-Tabel242567891011121314151716181921202223261415[[#This Row],[Hot Water vorige maand]]</f>
        <v>0</v>
      </c>
      <c r="T34" s="53">
        <v>4270</v>
      </c>
      <c r="U34">
        <f>maart2025!T34</f>
        <v>4163</v>
      </c>
      <c r="V34">
        <f>Tabel242567891011121314151716181921202223261415[[#This Row],[Stand Cappucino einde maand]]-Tabel242567891011121314151716181921202223261415[[#This Row],[Stand Cappucino vorige maand]]</f>
        <v>107</v>
      </c>
      <c r="W34" s="53">
        <v>829</v>
      </c>
      <c r="X34">
        <f>maart2025!W34</f>
        <v>795</v>
      </c>
      <c r="Y34">
        <f>Tabel242567891011121314151716181921202223261415[[#This Row],[Stand Cappucino Plantaardig einde maand]]-Tabel242567891011121314151716181921202223261415[[#This Row],[Stand Cappucino Plantaardig vorige maand]]</f>
        <v>34</v>
      </c>
      <c r="Z34" s="53">
        <v>101</v>
      </c>
      <c r="AA34">
        <f>maart2025!Z34</f>
        <v>100</v>
      </c>
      <c r="AB34">
        <f>Tabel242567891011121314151716181921202223261415[[#This Row],[Stand Latte Macchiato Plantaardig einde maand]]-Tabel242567891011121314151716181921202223261415[[#This Row],[Stand Latte Macchiato Plantaardig vorige maand]]</f>
        <v>1</v>
      </c>
      <c r="AC34" s="71">
        <f>Tabel242567891011121314151716181921202223261415[[#This Row],[Verbruik Stand Latte Macchiato Plantaardig deze maand]]+Tabel242567891011121314151716181921202223261415[[#This Row],[Verbruik  Cappucino Plantaardig deze maand]]+Tabel242567891011121314151716181921202223261415[[#This Row],[Verbruik Cappucino deze maand]]+Tabel242567891011121314151716181921202223261415[[#This Row],[Verbruik Hot Water deze maand]]+Tabel242567891011121314151716181921202223261415[[#This Row],[Verbruik Coffee Latte deze maand]]+Tabel242567891011121314151716181921202223261415[[#This Row],[Verbruik Latte Macchiato deze maand]]+Tabel242567891011121314151716181921202223261415[[#This Row],[Verbruik Espresso deze maand]]+Tabel242567891011121314151716181921202223261415[[#This Row],[Verbruik Coffee deze maand]]</f>
        <v>678</v>
      </c>
      <c r="AD34" s="53">
        <v>65.2</v>
      </c>
      <c r="AE34">
        <f>maart2025!AD34</f>
        <v>57.8</v>
      </c>
      <c r="AF34">
        <f>Tabel242567891011121314151716181921202223261415[[#This Row],[Stand Kamertemp liter einde maand]]-Tabel242567891011121314151716181921202223261415[[#This Row],[Stand Kamertemp liter vorige maand]]</f>
        <v>7.4000000000000057</v>
      </c>
      <c r="AG34" s="2">
        <f>Tabel242567891011121314151716181921202223261415[[#This Row],[Verbruik Kamertemp liter deze maand]]/0.15</f>
        <v>49.333333333333371</v>
      </c>
      <c r="AH34" s="53">
        <v>243.4</v>
      </c>
      <c r="AI34">
        <f>maart2025!AH34</f>
        <v>206.7</v>
      </c>
      <c r="AJ34">
        <f>Tabel242567891011121314151716181921202223261415[[#This Row],[Stand Gekoeld liter einde maand]]-Tabel242567891011121314151716181921202223261415[[#This Row],[Stand Gekoeld liter vorige maand]]</f>
        <v>36.700000000000017</v>
      </c>
      <c r="AK34" s="2">
        <f>Tabel242567891011121314151716181921202223261415[[#This Row],[Verbruik Gekoeld liter deze maand]]/0.15</f>
        <v>244.6666666666668</v>
      </c>
      <c r="AL34" s="53">
        <v>159.69999999999999</v>
      </c>
      <c r="AM34">
        <f>maart2025!AL34</f>
        <v>143.1</v>
      </c>
      <c r="AN34">
        <f>Tabel242567891011121314151716181921202223261415[[#This Row],[Stand Bruisend liter einde maand]]-Tabel242567891011121314151716181921202223261415[[#This Row],[Stand Bruisend liter vorige maand]]</f>
        <v>16.599999999999994</v>
      </c>
      <c r="AO34" s="2">
        <f>Tabel242567891011121314151716181921202223261415[[#This Row],[Verbruik Bruisend liter deze maand]]/0.15</f>
        <v>110.66666666666663</v>
      </c>
      <c r="AP34" s="53">
        <v>73.2</v>
      </c>
      <c r="AQ34">
        <f>maart2025!AP34</f>
        <v>62.3</v>
      </c>
      <c r="AR34">
        <f>Tabel242567891011121314151716181921202223261415[[#This Row],[Stand licht bruisend liter einde maand]]-Tabel242567891011121314151716181921202223261415[[#This Row],[Stand licht bruisend liter vorige maand]]</f>
        <v>10.900000000000006</v>
      </c>
      <c r="AS34" s="2">
        <f>Tabel242567891011121314151716181921202223261415[[#This Row],[Verbruik licht bruisend liter deze maand]]/0.15</f>
        <v>72.666666666666714</v>
      </c>
      <c r="AT34" s="53">
        <v>1090.9000000000001</v>
      </c>
      <c r="AU34">
        <f>maart2025!AT34</f>
        <v>938.2</v>
      </c>
      <c r="AV34">
        <f>Tabel242567891011121314151716181921202223261415[[#This Row],[Stand heet water liter einde maand]]-Tabel242567891011121314151716181921202223261415[[#This Row],[Stand heet water liter vorige maand]]</f>
        <v>152.70000000000005</v>
      </c>
      <c r="AW34" s="2">
        <f>Tabel242567891011121314151716181921202223261415[[#This Row],[Verbruik heet Water liter deze maand ]]/0.15</f>
        <v>1018.0000000000003</v>
      </c>
      <c r="AX34" s="77">
        <f>Tabel242567891011121314151716181921202223261415[[#This Row],[Aantal consumpties heet water deze maand]]+Tabel242567891011121314151716181921202223261415[[#This Row],[Aantal consumpties licht bruisend water deze maand]]+Tabel242567891011121314151716181921202223261415[[#This Row],[aantal consumpties Bruisend water deze maand]]+Tabel242567891011121314151716181921202223261415[[#This Row],[Aantal consumpties gekoeld water deze maand]]+Tabel242567891011121314151716181921202223261415[[#This Row],[Aantal consumpties Kamertemp deze maand]]</f>
        <v>1495.3333333333335</v>
      </c>
      <c r="AY34" s="95">
        <f>Tabel242567891011121314151716181921202223261415[[#This Row],[Subtotaal waterbar in consumpties]]+Tabel242567891011121314151716181921202223261415[[#This Row],[Subtotaal koffieautomaten]]</f>
        <v>2173.3333333333335</v>
      </c>
    </row>
    <row r="35" spans="1:130" ht="14.45" customHeight="1" x14ac:dyDescent="0.25">
      <c r="A35" s="65" t="s">
        <v>52</v>
      </c>
      <c r="B35" t="s">
        <v>83</v>
      </c>
      <c r="C35" t="s">
        <v>47</v>
      </c>
      <c r="E35">
        <v>8452</v>
      </c>
      <c r="F35">
        <f>maart2025!E35</f>
        <v>8160</v>
      </c>
      <c r="G35">
        <f>Tabel242567891011121314151716181921202223261415[[#This Row],[Stand Coffee einde maand]]-Tabel242567891011121314151716181921202223261415[[#This Row],[Coffee vorige maand]]</f>
        <v>292</v>
      </c>
      <c r="H35" s="53">
        <v>3145</v>
      </c>
      <c r="I35">
        <f>maart2025!H35</f>
        <v>3029</v>
      </c>
      <c r="J35">
        <f>Tabel242567891011121314151716181921202223261415[[#This Row],[Stand Espresso Einde maand]]-Tabel242567891011121314151716181921202223261415[[#This Row],[Espresso vorige maand]]</f>
        <v>116</v>
      </c>
      <c r="K35" s="53">
        <v>1438</v>
      </c>
      <c r="L35">
        <f>maart2025!K35</f>
        <v>1379</v>
      </c>
      <c r="M35">
        <f>Tabel242567891011121314151716181921202223261415[[#This Row],[Stand Latte Macchiato einde maand]]-Tabel242567891011121314151716181921202223261415[[#This Row],[Latte Macchiato vorige maand]]</f>
        <v>59</v>
      </c>
      <c r="N35" s="53">
        <v>277</v>
      </c>
      <c r="O35">
        <f>maart2025!N35</f>
        <v>271</v>
      </c>
      <c r="P35">
        <f>Tabel242567891011121314151716181921202223261415[[#This Row],[Stand Coffee Latte einde maand]]-Tabel242567891011121314151716181921202223261415[[#This Row],[Coffee Latte vorige maand]]</f>
        <v>6</v>
      </c>
      <c r="Q35" s="53">
        <v>1</v>
      </c>
      <c r="R35">
        <f>maart2025!Q35</f>
        <v>1</v>
      </c>
      <c r="S35">
        <f>Tabel242567891011121314151716181921202223261415[[#This Row],[Stand Hot Water einde maand]]-Tabel242567891011121314151716181921202223261415[[#This Row],[Hot Water vorige maand]]</f>
        <v>0</v>
      </c>
      <c r="T35" s="53">
        <v>3158</v>
      </c>
      <c r="U35">
        <f>maart2025!T35</f>
        <v>2970</v>
      </c>
      <c r="V35">
        <f>Tabel242567891011121314151716181921202223261415[[#This Row],[Stand Cappucino einde maand]]-Tabel242567891011121314151716181921202223261415[[#This Row],[Stand Cappucino vorige maand]]</f>
        <v>188</v>
      </c>
      <c r="W35" s="53">
        <v>951</v>
      </c>
      <c r="X35">
        <f>maart2025!W35</f>
        <v>930</v>
      </c>
      <c r="Y35">
        <f>Tabel242567891011121314151716181921202223261415[[#This Row],[Stand Cappucino Plantaardig einde maand]]-Tabel242567891011121314151716181921202223261415[[#This Row],[Stand Cappucino Plantaardig vorige maand]]</f>
        <v>21</v>
      </c>
      <c r="Z35" s="53">
        <v>585</v>
      </c>
      <c r="AA35">
        <f>maart2025!Z35</f>
        <v>571</v>
      </c>
      <c r="AB35">
        <f>Tabel242567891011121314151716181921202223261415[[#This Row],[Stand Latte Macchiato Plantaardig einde maand]]-Tabel242567891011121314151716181921202223261415[[#This Row],[Stand Latte Macchiato Plantaardig vorige maand]]</f>
        <v>14</v>
      </c>
      <c r="AC35" s="71">
        <f>Tabel242567891011121314151716181921202223261415[[#This Row],[Verbruik Stand Latte Macchiato Plantaardig deze maand]]+Tabel242567891011121314151716181921202223261415[[#This Row],[Verbruik  Cappucino Plantaardig deze maand]]+Tabel242567891011121314151716181921202223261415[[#This Row],[Verbruik Cappucino deze maand]]+Tabel242567891011121314151716181921202223261415[[#This Row],[Verbruik Hot Water deze maand]]+Tabel242567891011121314151716181921202223261415[[#This Row],[Verbruik Coffee Latte deze maand]]+Tabel242567891011121314151716181921202223261415[[#This Row],[Verbruik Latte Macchiato deze maand]]+Tabel242567891011121314151716181921202223261415[[#This Row],[Verbruik Espresso deze maand]]+Tabel242567891011121314151716181921202223261415[[#This Row],[Verbruik Coffee deze maand]]</f>
        <v>696</v>
      </c>
      <c r="AD35" s="53">
        <v>198.8</v>
      </c>
      <c r="AE35">
        <f>maart2025!AD35</f>
        <v>193.7</v>
      </c>
      <c r="AF35">
        <f>Tabel242567891011121314151716181921202223261415[[#This Row],[Stand Kamertemp liter einde maand]]-Tabel242567891011121314151716181921202223261415[[#This Row],[Stand Kamertemp liter vorige maand]]</f>
        <v>5.1000000000000227</v>
      </c>
      <c r="AG35" s="2">
        <f>Tabel242567891011121314151716181921202223261415[[#This Row],[Verbruik Kamertemp liter deze maand]]/0.15</f>
        <v>34.000000000000156</v>
      </c>
      <c r="AH35" s="53">
        <v>931.6</v>
      </c>
      <c r="AI35">
        <f>maart2025!AH35</f>
        <v>904.1</v>
      </c>
      <c r="AJ35">
        <f>Tabel242567891011121314151716181921202223261415[[#This Row],[Stand Gekoeld liter einde maand]]-Tabel242567891011121314151716181921202223261415[[#This Row],[Stand Gekoeld liter vorige maand]]</f>
        <v>27.5</v>
      </c>
      <c r="AK35" s="2">
        <f>Tabel242567891011121314151716181921202223261415[[#This Row],[Verbruik Gekoeld liter deze maand]]/0.15</f>
        <v>183.33333333333334</v>
      </c>
      <c r="AL35" s="53">
        <v>905.6</v>
      </c>
      <c r="AM35">
        <f>maart2025!AL35</f>
        <v>884.9</v>
      </c>
      <c r="AN35">
        <f>Tabel242567891011121314151716181921202223261415[[#This Row],[Stand Bruisend liter einde maand]]-Tabel242567891011121314151716181921202223261415[[#This Row],[Stand Bruisend liter vorige maand]]</f>
        <v>20.700000000000045</v>
      </c>
      <c r="AO35" s="2">
        <f>Tabel242567891011121314151716181921202223261415[[#This Row],[Verbruik Bruisend liter deze maand]]/0.15</f>
        <v>138.00000000000031</v>
      </c>
      <c r="AP35" s="53">
        <v>358.9</v>
      </c>
      <c r="AQ35">
        <f>maart2025!AP35</f>
        <v>346.1</v>
      </c>
      <c r="AR35">
        <f>Tabel242567891011121314151716181921202223261415[[#This Row],[Stand licht bruisend liter einde maand]]-Tabel242567891011121314151716181921202223261415[[#This Row],[Stand licht bruisend liter vorige maand]]</f>
        <v>12.799999999999955</v>
      </c>
      <c r="AS35" s="2">
        <f>Tabel242567891011121314151716181921202223261415[[#This Row],[Verbruik licht bruisend liter deze maand]]/0.15</f>
        <v>85.33333333333303</v>
      </c>
      <c r="AT35" s="53">
        <v>6285.3</v>
      </c>
      <c r="AU35">
        <f>maart2025!AT35</f>
        <v>6041.5</v>
      </c>
      <c r="AV35">
        <f>Tabel242567891011121314151716181921202223261415[[#This Row],[Stand heet water liter einde maand]]-Tabel242567891011121314151716181921202223261415[[#This Row],[Stand heet water liter vorige maand]]</f>
        <v>243.80000000000018</v>
      </c>
      <c r="AW35" s="2">
        <f>Tabel242567891011121314151716181921202223261415[[#This Row],[Verbruik heet Water liter deze maand ]]/0.15</f>
        <v>1625.3333333333346</v>
      </c>
      <c r="AX35" s="77">
        <f>Tabel242567891011121314151716181921202223261415[[#This Row],[Aantal consumpties heet water deze maand]]+Tabel242567891011121314151716181921202223261415[[#This Row],[Aantal consumpties licht bruisend water deze maand]]+Tabel242567891011121314151716181921202223261415[[#This Row],[aantal consumpties Bruisend water deze maand]]+Tabel242567891011121314151716181921202223261415[[#This Row],[Aantal consumpties gekoeld water deze maand]]+Tabel242567891011121314151716181921202223261415[[#This Row],[Aantal consumpties Kamertemp deze maand]]</f>
        <v>2066.0000000000014</v>
      </c>
      <c r="AY35" s="95">
        <f>Tabel242567891011121314151716181921202223261415[[#This Row],[Subtotaal waterbar in consumpties]]+Tabel242567891011121314151716181921202223261415[[#This Row],[Subtotaal koffieautomaten]]</f>
        <v>2762.0000000000014</v>
      </c>
    </row>
    <row r="36" spans="1:130" ht="14.45" customHeight="1" x14ac:dyDescent="0.25">
      <c r="A36" s="65" t="s">
        <v>54</v>
      </c>
      <c r="B36" t="s">
        <v>84</v>
      </c>
      <c r="C36" t="s">
        <v>31</v>
      </c>
      <c r="E36">
        <v>12987</v>
      </c>
      <c r="F36">
        <f>maart2025!E36</f>
        <v>12347</v>
      </c>
      <c r="G36">
        <f>Tabel242567891011121314151716181921202223261415[[#This Row],[Stand Coffee einde maand]]-Tabel242567891011121314151716181921202223261415[[#This Row],[Coffee vorige maand]]</f>
        <v>640</v>
      </c>
      <c r="H36" s="53">
        <v>2114</v>
      </c>
      <c r="I36">
        <f>maart2025!H36</f>
        <v>2002</v>
      </c>
      <c r="J36">
        <f>Tabel242567891011121314151716181921202223261415[[#This Row],[Stand Espresso Einde maand]]-Tabel242567891011121314151716181921202223261415[[#This Row],[Espresso vorige maand]]</f>
        <v>112</v>
      </c>
      <c r="K36" s="53">
        <v>1255</v>
      </c>
      <c r="L36">
        <f>maart2025!K36</f>
        <v>1199</v>
      </c>
      <c r="M36">
        <f>Tabel242567891011121314151716181921202223261415[[#This Row],[Stand Latte Macchiato einde maand]]-Tabel242567891011121314151716181921202223261415[[#This Row],[Latte Macchiato vorige maand]]</f>
        <v>56</v>
      </c>
      <c r="N36" s="53">
        <v>381</v>
      </c>
      <c r="O36">
        <f>maart2025!N36</f>
        <v>360</v>
      </c>
      <c r="P36">
        <f>Tabel242567891011121314151716181921202223261415[[#This Row],[Stand Coffee Latte einde maand]]-Tabel242567891011121314151716181921202223261415[[#This Row],[Coffee Latte vorige maand]]</f>
        <v>21</v>
      </c>
      <c r="Q36" s="53">
        <v>18474</v>
      </c>
      <c r="R36">
        <f>maart2025!Q36</f>
        <v>17658</v>
      </c>
      <c r="S36">
        <f>Tabel242567891011121314151716181921202223261415[[#This Row],[Stand Hot Water einde maand]]-Tabel242567891011121314151716181921202223261415[[#This Row],[Hot Water vorige maand]]</f>
        <v>816</v>
      </c>
      <c r="T36" s="53">
        <v>4351</v>
      </c>
      <c r="U36">
        <f>maart2025!T36</f>
        <v>4092</v>
      </c>
      <c r="V36">
        <f>Tabel242567891011121314151716181921202223261415[[#This Row],[Stand Cappucino einde maand]]-Tabel242567891011121314151716181921202223261415[[#This Row],[Stand Cappucino vorige maand]]</f>
        <v>259</v>
      </c>
      <c r="W36" s="53">
        <v>615</v>
      </c>
      <c r="X36">
        <f>maart2025!W36</f>
        <v>589</v>
      </c>
      <c r="Y36">
        <f>Tabel242567891011121314151716181921202223261415[[#This Row],[Stand Cappucino Plantaardig einde maand]]-Tabel242567891011121314151716181921202223261415[[#This Row],[Stand Cappucino Plantaardig vorige maand]]</f>
        <v>26</v>
      </c>
      <c r="Z36" s="53">
        <v>814</v>
      </c>
      <c r="AA36">
        <f>maart2025!Z36</f>
        <v>783</v>
      </c>
      <c r="AB36">
        <f>Tabel242567891011121314151716181921202223261415[[#This Row],[Stand Latte Macchiato Plantaardig einde maand]]-Tabel242567891011121314151716181921202223261415[[#This Row],[Stand Latte Macchiato Plantaardig vorige maand]]</f>
        <v>31</v>
      </c>
      <c r="AC36" s="71">
        <f>Tabel242567891011121314151716181921202223261415[[#This Row],[Verbruik Stand Latte Macchiato Plantaardig deze maand]]+Tabel242567891011121314151716181921202223261415[[#This Row],[Verbruik  Cappucino Plantaardig deze maand]]+Tabel242567891011121314151716181921202223261415[[#This Row],[Verbruik Cappucino deze maand]]+Tabel242567891011121314151716181921202223261415[[#This Row],[Verbruik Hot Water deze maand]]+Tabel242567891011121314151716181921202223261415[[#This Row],[Verbruik Coffee Latte deze maand]]+Tabel242567891011121314151716181921202223261415[[#This Row],[Verbruik Latte Macchiato deze maand]]+Tabel242567891011121314151716181921202223261415[[#This Row],[Verbruik Espresso deze maand]]+Tabel242567891011121314151716181921202223261415[[#This Row],[Verbruik Coffee deze maand]]</f>
        <v>1961</v>
      </c>
      <c r="AD36" s="69"/>
      <c r="AE36" s="41"/>
      <c r="AF36" s="5"/>
      <c r="AG36" s="5"/>
      <c r="AH36" s="75"/>
      <c r="AI36" s="41"/>
      <c r="AJ36" s="5"/>
      <c r="AK36" s="5"/>
      <c r="AL36" s="75"/>
      <c r="AM36" s="41"/>
      <c r="AN36" s="5"/>
      <c r="AO36" s="5"/>
      <c r="AP36" s="75"/>
      <c r="AQ36" s="41"/>
      <c r="AR36" s="5"/>
      <c r="AS36" s="5"/>
      <c r="AT36" s="75"/>
      <c r="AU36" s="41"/>
      <c r="AV36" s="5"/>
      <c r="AW36" s="5"/>
      <c r="AX36" s="79"/>
      <c r="AY36" s="95">
        <f>Tabel242567891011121314151716181921202223261415[[#This Row],[Subtotaal waterbar in consumpties]]+Tabel242567891011121314151716181921202223261415[[#This Row],[Subtotaal koffieautomaten]]</f>
        <v>1961</v>
      </c>
    </row>
    <row r="37" spans="1:130" ht="14.45" customHeight="1" x14ac:dyDescent="0.25">
      <c r="A37" s="65" t="s">
        <v>56</v>
      </c>
      <c r="B37" t="s">
        <v>85</v>
      </c>
      <c r="C37" t="s">
        <v>36</v>
      </c>
      <c r="E37" s="46"/>
      <c r="F37" s="46"/>
      <c r="G37" s="47"/>
      <c r="H37" s="54"/>
      <c r="I37" s="46"/>
      <c r="J37" s="47"/>
      <c r="K37" s="54"/>
      <c r="L37" s="46"/>
      <c r="M37" s="47"/>
      <c r="N37" s="54"/>
      <c r="O37" s="46"/>
      <c r="P37" s="47"/>
      <c r="Q37" s="54"/>
      <c r="R37" s="46"/>
      <c r="S37" s="47"/>
      <c r="T37" s="54"/>
      <c r="U37" s="46"/>
      <c r="V37" s="47"/>
      <c r="W37" s="54"/>
      <c r="X37" s="46"/>
      <c r="Y37" s="47"/>
      <c r="Z37" s="54"/>
      <c r="AA37" s="46"/>
      <c r="AB37" s="47"/>
      <c r="AC37" s="72"/>
      <c r="AD37" s="53">
        <v>137.4</v>
      </c>
      <c r="AE37">
        <f>maart2025!AD37</f>
        <v>124.4</v>
      </c>
      <c r="AF37">
        <f>Tabel242567891011121314151716181921202223261415[[#This Row],[Stand Kamertemp liter einde maand]]-Tabel242567891011121314151716181921202223261415[[#This Row],[Stand Kamertemp liter vorige maand]]</f>
        <v>13</v>
      </c>
      <c r="AG37" s="2">
        <f>Tabel242567891011121314151716181921202223261415[[#This Row],[Verbruik Kamertemp liter deze maand]]/0.15</f>
        <v>86.666666666666671</v>
      </c>
      <c r="AH37" s="53">
        <v>716.6</v>
      </c>
      <c r="AI37">
        <f>maart2025!AH37</f>
        <v>672.8</v>
      </c>
      <c r="AJ37">
        <f>Tabel242567891011121314151716181921202223261415[[#This Row],[Stand Gekoeld liter einde maand]]-Tabel242567891011121314151716181921202223261415[[#This Row],[Stand Gekoeld liter vorige maand]]</f>
        <v>43.800000000000068</v>
      </c>
      <c r="AK37" s="2">
        <f>Tabel242567891011121314151716181921202223261415[[#This Row],[Verbruik Gekoeld liter deze maand]]/0.15</f>
        <v>292.00000000000045</v>
      </c>
      <c r="AL37" s="53">
        <v>504.6</v>
      </c>
      <c r="AM37">
        <f>maart2025!AL37</f>
        <v>445.3</v>
      </c>
      <c r="AN37">
        <f>Tabel242567891011121314151716181921202223261415[[#This Row],[Stand Bruisend liter einde maand]]-Tabel242567891011121314151716181921202223261415[[#This Row],[Stand Bruisend liter vorige maand]]</f>
        <v>59.300000000000011</v>
      </c>
      <c r="AO37" s="2">
        <f>Tabel242567891011121314151716181921202223261415[[#This Row],[Verbruik Bruisend liter deze maand]]/0.15</f>
        <v>395.33333333333343</v>
      </c>
      <c r="AP37" s="53">
        <v>293.39999999999998</v>
      </c>
      <c r="AQ37">
        <f>maart2025!AP37</f>
        <v>273.60000000000002</v>
      </c>
      <c r="AR37">
        <f>Tabel242567891011121314151716181921202223261415[[#This Row],[Stand licht bruisend liter einde maand]]-Tabel242567891011121314151716181921202223261415[[#This Row],[Stand licht bruisend liter vorige maand]]</f>
        <v>19.799999999999955</v>
      </c>
      <c r="AS37" s="2">
        <f>Tabel242567891011121314151716181921202223261415[[#This Row],[Verbruik licht bruisend liter deze maand]]/0.15</f>
        <v>131.99999999999972</v>
      </c>
      <c r="AT37" s="53">
        <v>2237.1999999999998</v>
      </c>
      <c r="AU37">
        <f>maart2025!AT37</f>
        <v>2058.8000000000002</v>
      </c>
      <c r="AV37">
        <f>Tabel242567891011121314151716181921202223261415[[#This Row],[Stand heet water liter einde maand]]-Tabel242567891011121314151716181921202223261415[[#This Row],[Stand heet water liter vorige maand]]</f>
        <v>178.39999999999964</v>
      </c>
      <c r="AW37" s="2">
        <f>Tabel242567891011121314151716181921202223261415[[#This Row],[Verbruik heet Water liter deze maand ]]/0.15</f>
        <v>1189.333333333331</v>
      </c>
      <c r="AX37" s="77">
        <f>Tabel242567891011121314151716181921202223261415[[#This Row],[Aantal consumpties heet water deze maand]]+Tabel242567891011121314151716181921202223261415[[#This Row],[Aantal consumpties licht bruisend water deze maand]]+Tabel242567891011121314151716181921202223261415[[#This Row],[aantal consumpties Bruisend water deze maand]]+Tabel242567891011121314151716181921202223261415[[#This Row],[Aantal consumpties gekoeld water deze maand]]+Tabel242567891011121314151716181921202223261415[[#This Row],[Aantal consumpties Kamertemp deze maand]]</f>
        <v>2095.3333333333312</v>
      </c>
      <c r="AY37" s="95">
        <f>Tabel242567891011121314151716181921202223261415[[#This Row],[Subtotaal waterbar in consumpties]]+Tabel242567891011121314151716181921202223261415[[#This Row],[Subtotaal koffieautomaten]]</f>
        <v>2095.3333333333312</v>
      </c>
    </row>
    <row r="38" spans="1:130" ht="14.45" customHeight="1" x14ac:dyDescent="0.25">
      <c r="A38" s="65" t="s">
        <v>58</v>
      </c>
      <c r="B38" t="s">
        <v>86</v>
      </c>
      <c r="C38" t="s">
        <v>47</v>
      </c>
      <c r="E38">
        <v>12318</v>
      </c>
      <c r="F38">
        <f>maart2025!E38</f>
        <v>11867</v>
      </c>
      <c r="G38">
        <f>Tabel242567891011121314151716181921202223261415[[#This Row],[Stand Coffee einde maand]]-Tabel242567891011121314151716181921202223261415[[#This Row],[Coffee vorige maand]]</f>
        <v>451</v>
      </c>
      <c r="H38" s="53">
        <v>3588</v>
      </c>
      <c r="I38">
        <f>maart2025!H38</f>
        <v>3533</v>
      </c>
      <c r="J38">
        <f>Tabel242567891011121314151716181921202223261415[[#This Row],[Stand Espresso Einde maand]]-Tabel242567891011121314151716181921202223261415[[#This Row],[Espresso vorige maand]]</f>
        <v>55</v>
      </c>
      <c r="K38" s="53">
        <v>2061</v>
      </c>
      <c r="L38">
        <f>maart2025!K38</f>
        <v>1951</v>
      </c>
      <c r="M38">
        <f>Tabel242567891011121314151716181921202223261415[[#This Row],[Stand Latte Macchiato einde maand]]-Tabel242567891011121314151716181921202223261415[[#This Row],[Latte Macchiato vorige maand]]</f>
        <v>110</v>
      </c>
      <c r="N38" s="53">
        <v>1042</v>
      </c>
      <c r="O38">
        <f>maart2025!N38</f>
        <v>1009</v>
      </c>
      <c r="P38">
        <f>Tabel242567891011121314151716181921202223261415[[#This Row],[Stand Coffee Latte einde maand]]-Tabel242567891011121314151716181921202223261415[[#This Row],[Coffee Latte vorige maand]]</f>
        <v>33</v>
      </c>
      <c r="Q38" s="53">
        <v>1232</v>
      </c>
      <c r="R38">
        <f>maart2025!Q38</f>
        <v>1153</v>
      </c>
      <c r="S38">
        <f>Tabel242567891011121314151716181921202223261415[[#This Row],[Stand Hot Water einde maand]]-Tabel242567891011121314151716181921202223261415[[#This Row],[Hot Water vorige maand]]</f>
        <v>79</v>
      </c>
      <c r="T38" s="53">
        <v>6459</v>
      </c>
      <c r="U38">
        <f>maart2025!T38</f>
        <v>6295</v>
      </c>
      <c r="V38">
        <f>Tabel242567891011121314151716181921202223261415[[#This Row],[Stand Cappucino einde maand]]-Tabel242567891011121314151716181921202223261415[[#This Row],[Stand Cappucino vorige maand]]</f>
        <v>164</v>
      </c>
      <c r="W38" s="53">
        <v>982</v>
      </c>
      <c r="X38">
        <f>maart2025!W38</f>
        <v>923</v>
      </c>
      <c r="Y38">
        <f>Tabel242567891011121314151716181921202223261415[[#This Row],[Stand Cappucino Plantaardig einde maand]]-Tabel242567891011121314151716181921202223261415[[#This Row],[Stand Cappucino Plantaardig vorige maand]]</f>
        <v>59</v>
      </c>
      <c r="Z38" s="53">
        <v>778</v>
      </c>
      <c r="AA38">
        <f>maart2025!Z38</f>
        <v>773</v>
      </c>
      <c r="AB38">
        <f>Tabel242567891011121314151716181921202223261415[[#This Row],[Stand Latte Macchiato Plantaardig einde maand]]-Tabel242567891011121314151716181921202223261415[[#This Row],[Stand Latte Macchiato Plantaardig vorige maand]]</f>
        <v>5</v>
      </c>
      <c r="AC38" s="71">
        <f>Tabel242567891011121314151716181921202223261415[[#This Row],[Verbruik Stand Latte Macchiato Plantaardig deze maand]]+Tabel242567891011121314151716181921202223261415[[#This Row],[Verbruik  Cappucino Plantaardig deze maand]]+Tabel242567891011121314151716181921202223261415[[#This Row],[Verbruik Cappucino deze maand]]+Tabel242567891011121314151716181921202223261415[[#This Row],[Verbruik Hot Water deze maand]]+Tabel242567891011121314151716181921202223261415[[#This Row],[Verbruik Coffee Latte deze maand]]+Tabel242567891011121314151716181921202223261415[[#This Row],[Verbruik Latte Macchiato deze maand]]+Tabel242567891011121314151716181921202223261415[[#This Row],[Verbruik Espresso deze maand]]+Tabel242567891011121314151716181921202223261415[[#This Row],[Verbruik Coffee deze maand]]</f>
        <v>956</v>
      </c>
      <c r="AD38" s="53">
        <v>112.1</v>
      </c>
      <c r="AE38">
        <f>maart2025!AD38</f>
        <v>106</v>
      </c>
      <c r="AF38">
        <f>Tabel242567891011121314151716181921202223261415[[#This Row],[Stand Kamertemp liter einde maand]]-Tabel242567891011121314151716181921202223261415[[#This Row],[Stand Kamertemp liter vorige maand]]</f>
        <v>6.0999999999999943</v>
      </c>
      <c r="AG38" s="2">
        <f>Tabel242567891011121314151716181921202223261415[[#This Row],[Verbruik Kamertemp liter deze maand]]/0.15</f>
        <v>40.666666666666629</v>
      </c>
      <c r="AH38" s="53">
        <v>509.4</v>
      </c>
      <c r="AI38">
        <f>maart2025!AH38</f>
        <v>456.9</v>
      </c>
      <c r="AJ38">
        <f>Tabel242567891011121314151716181921202223261415[[#This Row],[Stand Gekoeld liter einde maand]]-Tabel242567891011121314151716181921202223261415[[#This Row],[Stand Gekoeld liter vorige maand]]</f>
        <v>52.5</v>
      </c>
      <c r="AK38" s="2">
        <f>Tabel242567891011121314151716181921202223261415[[#This Row],[Verbruik Gekoeld liter deze maand]]/0.15</f>
        <v>350</v>
      </c>
      <c r="AL38" s="53">
        <v>436.7</v>
      </c>
      <c r="AM38">
        <f>maart2025!AL38</f>
        <v>378.8</v>
      </c>
      <c r="AN38">
        <f>Tabel242567891011121314151716181921202223261415[[#This Row],[Stand Bruisend liter einde maand]]-Tabel242567891011121314151716181921202223261415[[#This Row],[Stand Bruisend liter vorige maand]]</f>
        <v>57.899999999999977</v>
      </c>
      <c r="AO38" s="2">
        <f>Tabel242567891011121314151716181921202223261415[[#This Row],[Verbruik Bruisend liter deze maand]]/0.15</f>
        <v>385.99999999999989</v>
      </c>
      <c r="AP38" s="53">
        <v>133.6</v>
      </c>
      <c r="AQ38">
        <f>maart2025!AP38</f>
        <v>118.1</v>
      </c>
      <c r="AR38">
        <f>Tabel242567891011121314151716181921202223261415[[#This Row],[Stand licht bruisend liter einde maand]]-Tabel242567891011121314151716181921202223261415[[#This Row],[Stand licht bruisend liter vorige maand]]</f>
        <v>15.5</v>
      </c>
      <c r="AS38" s="2">
        <f>Tabel242567891011121314151716181921202223261415[[#This Row],[Verbruik licht bruisend liter deze maand]]/0.15</f>
        <v>103.33333333333334</v>
      </c>
      <c r="AT38" s="53">
        <v>1755</v>
      </c>
      <c r="AU38">
        <f>maart2025!AT38</f>
        <v>1534.7</v>
      </c>
      <c r="AV38">
        <f>Tabel242567891011121314151716181921202223261415[[#This Row],[Stand heet water liter einde maand]]-Tabel242567891011121314151716181921202223261415[[#This Row],[Stand heet water liter vorige maand]]</f>
        <v>220.29999999999995</v>
      </c>
      <c r="AW38" s="2">
        <f>Tabel242567891011121314151716181921202223261415[[#This Row],[Verbruik heet Water liter deze maand ]]/0.15</f>
        <v>1468.6666666666665</v>
      </c>
      <c r="AX38" s="77">
        <f>Tabel242567891011121314151716181921202223261415[[#This Row],[Aantal consumpties heet water deze maand]]+Tabel242567891011121314151716181921202223261415[[#This Row],[Aantal consumpties licht bruisend water deze maand]]+Tabel242567891011121314151716181921202223261415[[#This Row],[aantal consumpties Bruisend water deze maand]]+Tabel242567891011121314151716181921202223261415[[#This Row],[Aantal consumpties gekoeld water deze maand]]+Tabel242567891011121314151716181921202223261415[[#This Row],[Aantal consumpties Kamertemp deze maand]]</f>
        <v>2348.6666666666661</v>
      </c>
      <c r="AY38" s="95">
        <f>Tabel242567891011121314151716181921202223261415[[#This Row],[Subtotaal waterbar in consumpties]]+Tabel242567891011121314151716181921202223261415[[#This Row],[Subtotaal koffieautomaten]]</f>
        <v>3304.6666666666661</v>
      </c>
    </row>
    <row r="39" spans="1:130" ht="14.45" customHeight="1" x14ac:dyDescent="0.25">
      <c r="A39" s="65" t="s">
        <v>60</v>
      </c>
      <c r="B39" t="s">
        <v>87</v>
      </c>
      <c r="C39" t="s">
        <v>31</v>
      </c>
      <c r="E39">
        <v>6637</v>
      </c>
      <c r="F39">
        <f>maart2025!E39</f>
        <v>6332</v>
      </c>
      <c r="G39">
        <f>Tabel242567891011121314151716181921202223261415[[#This Row],[Stand Coffee einde maand]]-Tabel242567891011121314151716181921202223261415[[#This Row],[Coffee vorige maand]]</f>
        <v>305</v>
      </c>
      <c r="H39" s="53">
        <v>1032</v>
      </c>
      <c r="I39">
        <f>maart2025!H39</f>
        <v>1012</v>
      </c>
      <c r="J39">
        <f>Tabel242567891011121314151716181921202223261415[[#This Row],[Stand Espresso Einde maand]]-Tabel242567891011121314151716181921202223261415[[#This Row],[Espresso vorige maand]]</f>
        <v>20</v>
      </c>
      <c r="K39" s="53">
        <v>697</v>
      </c>
      <c r="L39">
        <f>maart2025!K39</f>
        <v>678</v>
      </c>
      <c r="M39">
        <f>Tabel242567891011121314151716181921202223261415[[#This Row],[Stand Latte Macchiato einde maand]]-Tabel242567891011121314151716181921202223261415[[#This Row],[Latte Macchiato vorige maand]]</f>
        <v>19</v>
      </c>
      <c r="N39" s="53">
        <v>824</v>
      </c>
      <c r="O39">
        <f>maart2025!N39</f>
        <v>793</v>
      </c>
      <c r="P39">
        <f>Tabel242567891011121314151716181921202223261415[[#This Row],[Stand Coffee Latte einde maand]]-Tabel242567891011121314151716181921202223261415[[#This Row],[Coffee Latte vorige maand]]</f>
        <v>31</v>
      </c>
      <c r="Q39" s="53">
        <v>17970</v>
      </c>
      <c r="R39">
        <f>maart2025!Q39</f>
        <v>17354</v>
      </c>
      <c r="S39">
        <f>Tabel242567891011121314151716181921202223261415[[#This Row],[Stand Hot Water einde maand]]-Tabel242567891011121314151716181921202223261415[[#This Row],[Hot Water vorige maand]]</f>
        <v>616</v>
      </c>
      <c r="T39" s="53">
        <v>4244</v>
      </c>
      <c r="U39">
        <f>maart2025!T39</f>
        <v>4106</v>
      </c>
      <c r="V39">
        <f>Tabel242567891011121314151716181921202223261415[[#This Row],[Stand Cappucino einde maand]]-Tabel242567891011121314151716181921202223261415[[#This Row],[Stand Cappucino vorige maand]]</f>
        <v>138</v>
      </c>
      <c r="W39" s="53">
        <v>351</v>
      </c>
      <c r="X39">
        <f>maart2025!W39</f>
        <v>339</v>
      </c>
      <c r="Y39">
        <f>Tabel242567891011121314151716181921202223261415[[#This Row],[Stand Cappucino Plantaardig einde maand]]-Tabel242567891011121314151716181921202223261415[[#This Row],[Stand Cappucino Plantaardig vorige maand]]</f>
        <v>12</v>
      </c>
      <c r="Z39" s="53">
        <v>225</v>
      </c>
      <c r="AA39">
        <f>maart2025!Z39</f>
        <v>218</v>
      </c>
      <c r="AB39">
        <f>Tabel242567891011121314151716181921202223261415[[#This Row],[Stand Latte Macchiato Plantaardig einde maand]]-Tabel242567891011121314151716181921202223261415[[#This Row],[Stand Latte Macchiato Plantaardig vorige maand]]</f>
        <v>7</v>
      </c>
      <c r="AC39" s="71">
        <f>Tabel242567891011121314151716181921202223261415[[#This Row],[Verbruik Stand Latte Macchiato Plantaardig deze maand]]+Tabel242567891011121314151716181921202223261415[[#This Row],[Verbruik  Cappucino Plantaardig deze maand]]+Tabel242567891011121314151716181921202223261415[[#This Row],[Verbruik Cappucino deze maand]]+Tabel242567891011121314151716181921202223261415[[#This Row],[Verbruik Hot Water deze maand]]+Tabel242567891011121314151716181921202223261415[[#This Row],[Verbruik Coffee Latte deze maand]]+Tabel242567891011121314151716181921202223261415[[#This Row],[Verbruik Latte Macchiato deze maand]]+Tabel242567891011121314151716181921202223261415[[#This Row],[Verbruik Espresso deze maand]]+Tabel242567891011121314151716181921202223261415[[#This Row],[Verbruik Coffee deze maand]]</f>
        <v>1148</v>
      </c>
      <c r="AD39" s="69"/>
      <c r="AE39" s="41"/>
      <c r="AF39" s="5"/>
      <c r="AG39" s="5"/>
      <c r="AH39" s="75"/>
      <c r="AI39" s="41"/>
      <c r="AJ39" s="5"/>
      <c r="AK39" s="5"/>
      <c r="AL39" s="75"/>
      <c r="AM39" s="41"/>
      <c r="AN39" s="5"/>
      <c r="AO39" s="5"/>
      <c r="AP39" s="75"/>
      <c r="AQ39" s="41"/>
      <c r="AR39" s="5"/>
      <c r="AS39" s="5"/>
      <c r="AT39" s="75"/>
      <c r="AU39" s="41"/>
      <c r="AV39" s="5"/>
      <c r="AW39" s="5"/>
      <c r="AX39" s="79"/>
      <c r="AY39" s="95">
        <f>Tabel242567891011121314151716181921202223261415[[#This Row],[Subtotaal waterbar in consumpties]]+Tabel242567891011121314151716181921202223261415[[#This Row],[Subtotaal koffieautomaten]]</f>
        <v>1148</v>
      </c>
    </row>
    <row r="40" spans="1:130" s="81" customFormat="1" ht="14.45" customHeight="1" x14ac:dyDescent="0.25">
      <c r="A40" s="80" t="s">
        <v>88</v>
      </c>
      <c r="D40" s="82"/>
      <c r="H40" s="86"/>
      <c r="K40" s="86"/>
      <c r="N40" s="86"/>
      <c r="Q40" s="86"/>
      <c r="T40" s="86"/>
      <c r="W40" s="86"/>
      <c r="Z40" s="86"/>
      <c r="AC40" s="85"/>
      <c r="AD40" s="86"/>
      <c r="AG40" s="87"/>
      <c r="AH40" s="86"/>
      <c r="AK40" s="87"/>
      <c r="AL40" s="86"/>
      <c r="AO40" s="87"/>
      <c r="AP40" s="86"/>
      <c r="AS40" s="87"/>
      <c r="AT40" s="86"/>
      <c r="AW40" s="87"/>
      <c r="AX40" s="88"/>
      <c r="AY40" s="94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</row>
    <row r="41" spans="1:130" ht="14.45" customHeight="1" x14ac:dyDescent="0.25">
      <c r="A41" s="65" t="s">
        <v>39</v>
      </c>
      <c r="B41" t="s">
        <v>89</v>
      </c>
      <c r="C41" t="s">
        <v>47</v>
      </c>
      <c r="E41">
        <v>8469</v>
      </c>
      <c r="F41">
        <f>maart2025!E41</f>
        <v>7756</v>
      </c>
      <c r="G41" s="40">
        <f>Tabel242567891011121314151716181921202223261415[[#This Row],[Stand Coffee einde maand]]-Tabel242567891011121314151716181921202223261415[[#This Row],[Coffee vorige maand]]</f>
        <v>713</v>
      </c>
      <c r="H41" s="53">
        <v>2043</v>
      </c>
      <c r="I41">
        <f>maart2025!H41</f>
        <v>1866</v>
      </c>
      <c r="J41" s="40">
        <f>Tabel242567891011121314151716181921202223261415[[#This Row],[Stand Espresso Einde maand]]-Tabel242567891011121314151716181921202223261415[[#This Row],[Espresso vorige maand]]</f>
        <v>177</v>
      </c>
      <c r="K41" s="53">
        <v>1057</v>
      </c>
      <c r="L41">
        <f>maart2025!K41</f>
        <v>977</v>
      </c>
      <c r="M41" s="40">
        <f>Tabel242567891011121314151716181921202223261415[[#This Row],[Stand Latte Macchiato einde maand]]-Tabel242567891011121314151716181921202223261415[[#This Row],[Latte Macchiato vorige maand]]</f>
        <v>80</v>
      </c>
      <c r="N41" s="53">
        <v>567</v>
      </c>
      <c r="O41">
        <f>maart2025!N41</f>
        <v>539</v>
      </c>
      <c r="P41" s="40">
        <f>Tabel242567891011121314151716181921202223261415[[#This Row],[Stand Coffee Latte einde maand]]-Tabel242567891011121314151716181921202223261415[[#This Row],[Coffee Latte vorige maand]]</f>
        <v>28</v>
      </c>
      <c r="Q41" s="53">
        <v>3856</v>
      </c>
      <c r="R41">
        <f>maart2025!Q41</f>
        <v>3628</v>
      </c>
      <c r="S41" s="40">
        <f>Tabel242567891011121314151716181921202223261415[[#This Row],[Stand Hot Water einde maand]]-Tabel242567891011121314151716181921202223261415[[#This Row],[Hot Water vorige maand]]</f>
        <v>228</v>
      </c>
      <c r="T41" s="53">
        <v>6431</v>
      </c>
      <c r="U41">
        <f>maart2025!T41</f>
        <v>6041</v>
      </c>
      <c r="V41" s="40">
        <f>Tabel242567891011121314151716181921202223261415[[#This Row],[Stand Cappucino einde maand]]-Tabel242567891011121314151716181921202223261415[[#This Row],[Stand Cappucino vorige maand]]</f>
        <v>390</v>
      </c>
      <c r="W41" s="53">
        <v>543</v>
      </c>
      <c r="X41">
        <f>maart2025!W41</f>
        <v>504</v>
      </c>
      <c r="Y41" s="40">
        <f>Tabel242567891011121314151716181921202223261415[[#This Row],[Stand Cappucino Plantaardig einde maand]]-Tabel242567891011121314151716181921202223261415[[#This Row],[Stand Cappucino Plantaardig vorige maand]]</f>
        <v>39</v>
      </c>
      <c r="Z41" s="53">
        <v>194</v>
      </c>
      <c r="AA41">
        <f>maart2025!Z41</f>
        <v>184</v>
      </c>
      <c r="AB41" s="40">
        <f>Tabel242567891011121314151716181921202223261415[[#This Row],[Stand Latte Macchiato Plantaardig einde maand]]-Tabel242567891011121314151716181921202223261415[[#This Row],[Stand Latte Macchiato Plantaardig vorige maand]]</f>
        <v>10</v>
      </c>
      <c r="AC41" s="73">
        <f>Tabel242567891011121314151716181921202223261415[[#This Row],[Verbruik Stand Latte Macchiato Plantaardig deze maand]]+Tabel242567891011121314151716181921202223261415[[#This Row],[Verbruik  Cappucino Plantaardig deze maand]]+Tabel242567891011121314151716181921202223261415[[#This Row],[Verbruik Cappucino deze maand]]+Tabel242567891011121314151716181921202223261415[[#This Row],[Verbruik Hot Water deze maand]]+Tabel242567891011121314151716181921202223261415[[#This Row],[Verbruik Coffee Latte deze maand]]+Tabel242567891011121314151716181921202223261415[[#This Row],[Verbruik Latte Macchiato deze maand]]+Tabel242567891011121314151716181921202223261415[[#This Row],[Verbruik Espresso deze maand]]+Tabel242567891011121314151716181921202223261415[[#This Row],[Verbruik Coffee deze maand]]</f>
        <v>1665</v>
      </c>
      <c r="AD41" s="53">
        <v>173.2</v>
      </c>
      <c r="AE41">
        <f>maart2025!AD41</f>
        <v>142.9</v>
      </c>
      <c r="AF41">
        <f>Tabel242567891011121314151716181921202223261415[[#This Row],[Stand Kamertemp liter einde maand]]-Tabel242567891011121314151716181921202223261415[[#This Row],[Stand Kamertemp liter vorige maand]]</f>
        <v>30.299999999999983</v>
      </c>
      <c r="AG41" s="2">
        <f>Tabel242567891011121314151716181921202223261415[[#This Row],[Verbruik Kamertemp liter deze maand]]/0.15</f>
        <v>201.99999999999989</v>
      </c>
      <c r="AH41" s="53">
        <v>1059.7</v>
      </c>
      <c r="AI41">
        <f>maart2025!AH41</f>
        <v>925.1</v>
      </c>
      <c r="AJ41">
        <f>Tabel242567891011121314151716181921202223261415[[#This Row],[Stand Gekoeld liter einde maand]]-Tabel242567891011121314151716181921202223261415[[#This Row],[Stand Gekoeld liter vorige maand]]</f>
        <v>134.60000000000002</v>
      </c>
      <c r="AK41" s="2">
        <f>Tabel242567891011121314151716181921202223261415[[#This Row],[Verbruik Gekoeld liter deze maand]]/0.15</f>
        <v>897.33333333333348</v>
      </c>
      <c r="AL41" s="53">
        <v>445.2</v>
      </c>
      <c r="AM41">
        <f>maart2025!AL41</f>
        <v>367.5</v>
      </c>
      <c r="AN41">
        <f>Tabel242567891011121314151716181921202223261415[[#This Row],[Stand Bruisend liter einde maand]]-Tabel242567891011121314151716181921202223261415[[#This Row],[Stand Bruisend liter vorige maand]]</f>
        <v>77.699999999999989</v>
      </c>
      <c r="AO41" s="2">
        <f>Tabel242567891011121314151716181921202223261415[[#This Row],[Verbruik Bruisend liter deze maand]]/0.15</f>
        <v>518</v>
      </c>
      <c r="AP41" s="53">
        <v>168.7</v>
      </c>
      <c r="AQ41">
        <f>maart2025!AP41</f>
        <v>144.80000000000001</v>
      </c>
      <c r="AR41">
        <f>Tabel242567891011121314151716181921202223261415[[#This Row],[Stand licht bruisend liter einde maand]]-Tabel242567891011121314151716181921202223261415[[#This Row],[Stand licht bruisend liter vorige maand]]</f>
        <v>23.899999999999977</v>
      </c>
      <c r="AS41" s="2">
        <f>Tabel242567891011121314151716181921202223261415[[#This Row],[Verbruik licht bruisend liter deze maand]]/0.15</f>
        <v>159.3333333333332</v>
      </c>
      <c r="AT41" s="53">
        <v>511.8</v>
      </c>
      <c r="AU41">
        <f>maart2025!AT41</f>
        <v>443.2</v>
      </c>
      <c r="AV41">
        <f>Tabel242567891011121314151716181921202223261415[[#This Row],[Stand heet water liter einde maand]]-Tabel242567891011121314151716181921202223261415[[#This Row],[Stand heet water liter vorige maand]]</f>
        <v>68.600000000000023</v>
      </c>
      <c r="AW41" s="2">
        <f>Tabel242567891011121314151716181921202223261415[[#This Row],[Verbruik heet Water liter deze maand ]]/0.15</f>
        <v>457.33333333333348</v>
      </c>
      <c r="AX41" s="77">
        <f>Tabel242567891011121314151716181921202223261415[[#This Row],[Aantal consumpties heet water deze maand]]+Tabel242567891011121314151716181921202223261415[[#This Row],[Aantal consumpties licht bruisend water deze maand]]+Tabel242567891011121314151716181921202223261415[[#This Row],[aantal consumpties Bruisend water deze maand]]+Tabel242567891011121314151716181921202223261415[[#This Row],[Aantal consumpties gekoeld water deze maand]]+Tabel242567891011121314151716181921202223261415[[#This Row],[Aantal consumpties Kamertemp deze maand]]</f>
        <v>2234</v>
      </c>
      <c r="AY41" s="95">
        <f>Tabel242567891011121314151716181921202223261415[[#This Row],[Subtotaal waterbar in consumpties]]+Tabel242567891011121314151716181921202223261415[[#This Row],[Subtotaal koffieautomaten]]</f>
        <v>3899</v>
      </c>
    </row>
    <row r="42" spans="1:130" ht="14.45" customHeight="1" x14ac:dyDescent="0.25">
      <c r="A42" s="65" t="s">
        <v>41</v>
      </c>
      <c r="B42" t="s">
        <v>90</v>
      </c>
      <c r="C42" t="s">
        <v>31</v>
      </c>
      <c r="E42">
        <v>13384</v>
      </c>
      <c r="F42">
        <f>maart2025!E42</f>
        <v>12961</v>
      </c>
      <c r="G42">
        <f>Tabel242567891011121314151716181921202223261415[[#This Row],[Stand Coffee einde maand]]-Tabel242567891011121314151716181921202223261415[[#This Row],[Coffee vorige maand]]</f>
        <v>423</v>
      </c>
      <c r="H42" s="53">
        <v>4489</v>
      </c>
      <c r="I42">
        <f>maart2025!H42</f>
        <v>4353</v>
      </c>
      <c r="J42">
        <f>Tabel242567891011121314151716181921202223261415[[#This Row],[Stand Espresso Einde maand]]-Tabel242567891011121314151716181921202223261415[[#This Row],[Espresso vorige maand]]</f>
        <v>136</v>
      </c>
      <c r="K42" s="53">
        <v>1131</v>
      </c>
      <c r="L42">
        <f>maart2025!K42</f>
        <v>1102</v>
      </c>
      <c r="M42">
        <f>Tabel242567891011121314151716181921202223261415[[#This Row],[Stand Latte Macchiato einde maand]]-Tabel242567891011121314151716181921202223261415[[#This Row],[Latte Macchiato vorige maand]]</f>
        <v>29</v>
      </c>
      <c r="N42" s="53">
        <v>2211</v>
      </c>
      <c r="O42">
        <f>maart2025!N42</f>
        <v>2105</v>
      </c>
      <c r="P42">
        <f>Tabel242567891011121314151716181921202223261415[[#This Row],[Stand Coffee Latte einde maand]]-Tabel242567891011121314151716181921202223261415[[#This Row],[Coffee Latte vorige maand]]</f>
        <v>106</v>
      </c>
      <c r="Q42" s="53">
        <v>39806</v>
      </c>
      <c r="R42">
        <f>maart2025!Q42</f>
        <v>38261</v>
      </c>
      <c r="S42">
        <f>Tabel242567891011121314151716181921202223261415[[#This Row],[Stand Hot Water einde maand]]-Tabel242567891011121314151716181921202223261415[[#This Row],[Hot Water vorige maand]]</f>
        <v>1545</v>
      </c>
      <c r="T42" s="53">
        <v>6056</v>
      </c>
      <c r="U42">
        <f>maart2025!T42</f>
        <v>5810</v>
      </c>
      <c r="V42">
        <f>Tabel242567891011121314151716181921202223261415[[#This Row],[Stand Cappucino einde maand]]-Tabel242567891011121314151716181921202223261415[[#This Row],[Stand Cappucino vorige maand]]</f>
        <v>246</v>
      </c>
      <c r="W42" s="53">
        <v>468</v>
      </c>
      <c r="X42">
        <f>maart2025!W42</f>
        <v>453</v>
      </c>
      <c r="Y42">
        <f>Tabel242567891011121314151716181921202223261415[[#This Row],[Stand Cappucino Plantaardig einde maand]]-Tabel242567891011121314151716181921202223261415[[#This Row],[Stand Cappucino Plantaardig vorige maand]]</f>
        <v>15</v>
      </c>
      <c r="Z42" s="53">
        <v>400</v>
      </c>
      <c r="AA42">
        <f>maart2025!Z42</f>
        <v>368</v>
      </c>
      <c r="AB42">
        <f>Tabel242567891011121314151716181921202223261415[[#This Row],[Stand Latte Macchiato Plantaardig einde maand]]-Tabel242567891011121314151716181921202223261415[[#This Row],[Stand Latte Macchiato Plantaardig vorige maand]]</f>
        <v>32</v>
      </c>
      <c r="AC42" s="71">
        <f>Tabel242567891011121314151716181921202223261415[[#This Row],[Verbruik Stand Latte Macchiato Plantaardig deze maand]]+Tabel242567891011121314151716181921202223261415[[#This Row],[Verbruik  Cappucino Plantaardig deze maand]]+Tabel242567891011121314151716181921202223261415[[#This Row],[Verbruik Cappucino deze maand]]+Tabel242567891011121314151716181921202223261415[[#This Row],[Verbruik Hot Water deze maand]]+Tabel242567891011121314151716181921202223261415[[#This Row],[Verbruik Coffee Latte deze maand]]+Tabel242567891011121314151716181921202223261415[[#This Row],[Verbruik Latte Macchiato deze maand]]+Tabel242567891011121314151716181921202223261415[[#This Row],[Verbruik Espresso deze maand]]+Tabel242567891011121314151716181921202223261415[[#This Row],[Verbruik Coffee deze maand]]</f>
        <v>2532</v>
      </c>
      <c r="AD42" s="69"/>
      <c r="AE42" s="41"/>
      <c r="AF42" s="5"/>
      <c r="AG42" s="5"/>
      <c r="AH42" s="75"/>
      <c r="AI42" s="41"/>
      <c r="AJ42" s="5"/>
      <c r="AK42" s="5"/>
      <c r="AL42" s="75"/>
      <c r="AM42" s="41"/>
      <c r="AN42" s="5"/>
      <c r="AO42" s="5"/>
      <c r="AP42" s="75"/>
      <c r="AQ42" s="41"/>
      <c r="AR42" s="5"/>
      <c r="AS42" s="5"/>
      <c r="AT42" s="75"/>
      <c r="AU42" s="41"/>
      <c r="AV42" s="5"/>
      <c r="AW42" s="5"/>
      <c r="AX42" s="79"/>
      <c r="AY42" s="95">
        <f>Tabel242567891011121314151716181921202223261415[[#This Row],[Subtotaal waterbar in consumpties]]+Tabel242567891011121314151716181921202223261415[[#This Row],[Subtotaal koffieautomaten]]</f>
        <v>2532</v>
      </c>
    </row>
    <row r="43" spans="1:130" ht="14.45" customHeight="1" x14ac:dyDescent="0.25">
      <c r="A43" s="65" t="s">
        <v>43</v>
      </c>
      <c r="B43" t="s">
        <v>91</v>
      </c>
      <c r="C43" t="s">
        <v>47</v>
      </c>
      <c r="E43">
        <v>15066</v>
      </c>
      <c r="F43">
        <f>maart2025!E43</f>
        <v>14417</v>
      </c>
      <c r="G43">
        <f>Tabel242567891011121314151716181921202223261415[[#This Row],[Stand Coffee einde maand]]-Tabel242567891011121314151716181921202223261415[[#This Row],[Coffee vorige maand]]</f>
        <v>649</v>
      </c>
      <c r="H43" s="53">
        <v>2973</v>
      </c>
      <c r="I43">
        <f>maart2025!H43</f>
        <v>2879</v>
      </c>
      <c r="J43">
        <f>Tabel242567891011121314151716181921202223261415[[#This Row],[Stand Espresso Einde maand]]-Tabel242567891011121314151716181921202223261415[[#This Row],[Espresso vorige maand]]</f>
        <v>94</v>
      </c>
      <c r="K43" s="53">
        <v>706</v>
      </c>
      <c r="L43">
        <f>maart2025!K43</f>
        <v>650</v>
      </c>
      <c r="M43">
        <f>Tabel242567891011121314151716181921202223261415[[#This Row],[Stand Latte Macchiato einde maand]]-Tabel242567891011121314151716181921202223261415[[#This Row],[Latte Macchiato vorige maand]]</f>
        <v>56</v>
      </c>
      <c r="N43" s="53">
        <v>1248</v>
      </c>
      <c r="O43">
        <f>maart2025!N43</f>
        <v>1208</v>
      </c>
      <c r="P43">
        <f>Tabel242567891011121314151716181921202223261415[[#This Row],[Stand Coffee Latte einde maand]]-Tabel242567891011121314151716181921202223261415[[#This Row],[Coffee Latte vorige maand]]</f>
        <v>40</v>
      </c>
      <c r="Q43" s="53">
        <v>1583</v>
      </c>
      <c r="R43">
        <f>maart2025!Q43</f>
        <v>1560</v>
      </c>
      <c r="S43">
        <f>Tabel242567891011121314151716181921202223261415[[#This Row],[Stand Hot Water einde maand]]-Tabel242567891011121314151716181921202223261415[[#This Row],[Hot Water vorige maand]]</f>
        <v>23</v>
      </c>
      <c r="T43" s="53">
        <v>4633</v>
      </c>
      <c r="U43">
        <f>maart2025!T43</f>
        <v>4464</v>
      </c>
      <c r="V43">
        <f>Tabel242567891011121314151716181921202223261415[[#This Row],[Stand Cappucino einde maand]]-Tabel242567891011121314151716181921202223261415[[#This Row],[Stand Cappucino vorige maand]]</f>
        <v>169</v>
      </c>
      <c r="W43" s="53">
        <v>3421</v>
      </c>
      <c r="X43">
        <f>maart2025!W43</f>
        <v>3344</v>
      </c>
      <c r="Y43">
        <f>Tabel242567891011121314151716181921202223261415[[#This Row],[Stand Cappucino Plantaardig einde maand]]-Tabel242567891011121314151716181921202223261415[[#This Row],[Stand Cappucino Plantaardig vorige maand]]</f>
        <v>77</v>
      </c>
      <c r="Z43" s="53">
        <v>392</v>
      </c>
      <c r="AA43">
        <f>maart2025!Z43</f>
        <v>385</v>
      </c>
      <c r="AB43">
        <f>Tabel242567891011121314151716181921202223261415[[#This Row],[Stand Latte Macchiato Plantaardig einde maand]]-Tabel242567891011121314151716181921202223261415[[#This Row],[Stand Latte Macchiato Plantaardig vorige maand]]</f>
        <v>7</v>
      </c>
      <c r="AC43" s="71">
        <f>Tabel242567891011121314151716181921202223261415[[#This Row],[Verbruik Stand Latte Macchiato Plantaardig deze maand]]+Tabel242567891011121314151716181921202223261415[[#This Row],[Verbruik  Cappucino Plantaardig deze maand]]+Tabel242567891011121314151716181921202223261415[[#This Row],[Verbruik Cappucino deze maand]]+Tabel242567891011121314151716181921202223261415[[#This Row],[Verbruik Hot Water deze maand]]+Tabel242567891011121314151716181921202223261415[[#This Row],[Verbruik Coffee Latte deze maand]]+Tabel242567891011121314151716181921202223261415[[#This Row],[Verbruik Latte Macchiato deze maand]]+Tabel242567891011121314151716181921202223261415[[#This Row],[Verbruik Espresso deze maand]]+Tabel242567891011121314151716181921202223261415[[#This Row],[Verbruik Coffee deze maand]]</f>
        <v>1115</v>
      </c>
      <c r="AD43" s="53">
        <v>220.3</v>
      </c>
      <c r="AE43">
        <f>maart2025!AD43</f>
        <v>199.8</v>
      </c>
      <c r="AF43">
        <f>Tabel242567891011121314151716181921202223261415[[#This Row],[Stand Kamertemp liter einde maand]]-Tabel242567891011121314151716181921202223261415[[#This Row],[Stand Kamertemp liter vorige maand]]</f>
        <v>20.5</v>
      </c>
      <c r="AG43" s="2">
        <f>Tabel242567891011121314151716181921202223261415[[#This Row],[Verbruik Kamertemp liter deze maand]]/0.15</f>
        <v>136.66666666666669</v>
      </c>
      <c r="AH43" s="53">
        <v>1470.7</v>
      </c>
      <c r="AI43">
        <f>maart2025!AH43</f>
        <v>1321.6</v>
      </c>
      <c r="AJ43">
        <f>Tabel242567891011121314151716181921202223261415[[#This Row],[Stand Gekoeld liter einde maand]]-Tabel242567891011121314151716181921202223261415[[#This Row],[Stand Gekoeld liter vorige maand]]</f>
        <v>149.10000000000014</v>
      </c>
      <c r="AK43" s="2">
        <f>Tabel242567891011121314151716181921202223261415[[#This Row],[Verbruik Gekoeld liter deze maand]]/0.15</f>
        <v>994.00000000000091</v>
      </c>
      <c r="AL43" s="53">
        <v>1020.6</v>
      </c>
      <c r="AM43">
        <f>maart2025!AL43</f>
        <v>908</v>
      </c>
      <c r="AN43">
        <f>Tabel242567891011121314151716181921202223261415[[#This Row],[Stand Bruisend liter einde maand]]-Tabel242567891011121314151716181921202223261415[[#This Row],[Stand Bruisend liter vorige maand]]</f>
        <v>112.60000000000002</v>
      </c>
      <c r="AO43" s="2">
        <f>Tabel242567891011121314151716181921202223261415[[#This Row],[Verbruik Bruisend liter deze maand]]/0.15</f>
        <v>750.66666666666686</v>
      </c>
      <c r="AP43" s="53">
        <v>395.5</v>
      </c>
      <c r="AQ43">
        <f>maart2025!AP43</f>
        <v>334.4</v>
      </c>
      <c r="AR43">
        <f>Tabel242567891011121314151716181921202223261415[[#This Row],[Stand licht bruisend liter einde maand]]-Tabel242567891011121314151716181921202223261415[[#This Row],[Stand licht bruisend liter vorige maand]]</f>
        <v>61.100000000000023</v>
      </c>
      <c r="AS43" s="2">
        <f>Tabel242567891011121314151716181921202223261415[[#This Row],[Verbruik licht bruisend liter deze maand]]/0.15</f>
        <v>407.33333333333348</v>
      </c>
      <c r="AT43" s="53">
        <v>4092.5</v>
      </c>
      <c r="AU43">
        <f>maart2025!AT43</f>
        <v>3640.1</v>
      </c>
      <c r="AV43">
        <f>Tabel242567891011121314151716181921202223261415[[#This Row],[Stand heet water liter einde maand]]-Tabel242567891011121314151716181921202223261415[[#This Row],[Stand heet water liter vorige maand]]</f>
        <v>452.40000000000009</v>
      </c>
      <c r="AW43" s="2">
        <f>Tabel242567891011121314151716181921202223261415[[#This Row],[Verbruik heet Water liter deze maand ]]/0.15</f>
        <v>3016.0000000000009</v>
      </c>
      <c r="AX43" s="77">
        <f>Tabel242567891011121314151716181921202223261415[[#This Row],[Aantal consumpties heet water deze maand]]+Tabel242567891011121314151716181921202223261415[[#This Row],[Aantal consumpties licht bruisend water deze maand]]+Tabel242567891011121314151716181921202223261415[[#This Row],[aantal consumpties Bruisend water deze maand]]+Tabel242567891011121314151716181921202223261415[[#This Row],[Aantal consumpties gekoeld water deze maand]]+Tabel242567891011121314151716181921202223261415[[#This Row],[Aantal consumpties Kamertemp deze maand]]</f>
        <v>5304.6666666666688</v>
      </c>
      <c r="AY43" s="95">
        <f>Tabel242567891011121314151716181921202223261415[[#This Row],[Subtotaal waterbar in consumpties]]+Tabel242567891011121314151716181921202223261415[[#This Row],[Subtotaal koffieautomaten]]</f>
        <v>6419.6666666666688</v>
      </c>
    </row>
    <row r="44" spans="1:130" ht="14.45" customHeight="1" x14ac:dyDescent="0.25">
      <c r="A44" s="65" t="s">
        <v>45</v>
      </c>
      <c r="B44" t="s">
        <v>92</v>
      </c>
      <c r="C44" t="s">
        <v>36</v>
      </c>
      <c r="E44" s="46"/>
      <c r="F44" s="46"/>
      <c r="G44" s="47"/>
      <c r="H44" s="54"/>
      <c r="I44" s="46"/>
      <c r="J44" s="47"/>
      <c r="K44" s="54"/>
      <c r="L44" s="46"/>
      <c r="M44" s="47"/>
      <c r="N44" s="54"/>
      <c r="O44" s="46"/>
      <c r="P44" s="47"/>
      <c r="Q44" s="54"/>
      <c r="R44" s="46"/>
      <c r="S44" s="47"/>
      <c r="T44" s="54"/>
      <c r="U44" s="46"/>
      <c r="V44" s="47"/>
      <c r="W44" s="54"/>
      <c r="X44" s="46"/>
      <c r="Y44" s="47"/>
      <c r="Z44" s="54"/>
      <c r="AA44" s="46"/>
      <c r="AB44" s="47"/>
      <c r="AC44" s="72"/>
      <c r="AD44" s="53">
        <v>175.3</v>
      </c>
      <c r="AE44">
        <f>maart2025!AD44</f>
        <v>148.6</v>
      </c>
      <c r="AF44">
        <f>Tabel242567891011121314151716181921202223261415[[#This Row],[Stand Kamertemp liter einde maand]]-Tabel242567891011121314151716181921202223261415[[#This Row],[Stand Kamertemp liter vorige maand]]</f>
        <v>26.700000000000017</v>
      </c>
      <c r="AG44" s="2">
        <f>Tabel242567891011121314151716181921202223261415[[#This Row],[Verbruik Kamertemp liter deze maand]]/0.15</f>
        <v>178.00000000000011</v>
      </c>
      <c r="AH44" s="53">
        <v>492.6</v>
      </c>
      <c r="AI44">
        <f>maart2025!AH44</f>
        <v>422</v>
      </c>
      <c r="AJ44">
        <f>Tabel242567891011121314151716181921202223261415[[#This Row],[Stand Gekoeld liter einde maand]]-Tabel242567891011121314151716181921202223261415[[#This Row],[Stand Gekoeld liter vorige maand]]</f>
        <v>70.600000000000023</v>
      </c>
      <c r="AK44" s="2">
        <f>Tabel242567891011121314151716181921202223261415[[#This Row],[Verbruik Gekoeld liter deze maand]]/0.15</f>
        <v>470.66666666666686</v>
      </c>
      <c r="AL44" s="53">
        <v>539.70000000000005</v>
      </c>
      <c r="AM44">
        <f>maart2025!AL44</f>
        <v>479.8</v>
      </c>
      <c r="AN44">
        <f>Tabel242567891011121314151716181921202223261415[[#This Row],[Stand Bruisend liter einde maand]]-Tabel242567891011121314151716181921202223261415[[#This Row],[Stand Bruisend liter vorige maand]]</f>
        <v>59.900000000000034</v>
      </c>
      <c r="AO44" s="2">
        <f>Tabel242567891011121314151716181921202223261415[[#This Row],[Verbruik Bruisend liter deze maand]]/0.15</f>
        <v>399.3333333333336</v>
      </c>
      <c r="AP44" s="53">
        <v>144.80000000000001</v>
      </c>
      <c r="AQ44">
        <f>maart2025!AP44</f>
        <v>100.2</v>
      </c>
      <c r="AR44">
        <f>Tabel242567891011121314151716181921202223261415[[#This Row],[Stand licht bruisend liter einde maand]]-Tabel242567891011121314151716181921202223261415[[#This Row],[Stand licht bruisend liter vorige maand]]</f>
        <v>44.600000000000009</v>
      </c>
      <c r="AS44" s="2">
        <f>Tabel242567891011121314151716181921202223261415[[#This Row],[Verbruik licht bruisend liter deze maand]]/0.15</f>
        <v>297.33333333333343</v>
      </c>
      <c r="AT44" s="53">
        <v>1840.4</v>
      </c>
      <c r="AU44">
        <f>maart2025!AT44</f>
        <v>1594</v>
      </c>
      <c r="AV44">
        <f>Tabel242567891011121314151716181921202223261415[[#This Row],[Stand heet water liter einde maand]]-Tabel242567891011121314151716181921202223261415[[#This Row],[Stand heet water liter vorige maand]]</f>
        <v>246.40000000000009</v>
      </c>
      <c r="AW44" s="2">
        <f>Tabel242567891011121314151716181921202223261415[[#This Row],[Verbruik heet Water liter deze maand ]]/0.15</f>
        <v>1642.6666666666674</v>
      </c>
      <c r="AX44" s="77">
        <f>Tabel242567891011121314151716181921202223261415[[#This Row],[Aantal consumpties heet water deze maand]]+Tabel242567891011121314151716181921202223261415[[#This Row],[Aantal consumpties licht bruisend water deze maand]]+Tabel242567891011121314151716181921202223261415[[#This Row],[aantal consumpties Bruisend water deze maand]]+Tabel242567891011121314151716181921202223261415[[#This Row],[Aantal consumpties gekoeld water deze maand]]+Tabel242567891011121314151716181921202223261415[[#This Row],[Aantal consumpties Kamertemp deze maand]]</f>
        <v>2988.0000000000014</v>
      </c>
      <c r="AY44" s="95">
        <f>Tabel242567891011121314151716181921202223261415[[#This Row],[Subtotaal waterbar in consumpties]]+Tabel242567891011121314151716181921202223261415[[#This Row],[Subtotaal koffieautomaten]]</f>
        <v>2988.0000000000014</v>
      </c>
    </row>
    <row r="45" spans="1:130" ht="14.45" customHeight="1" x14ac:dyDescent="0.25">
      <c r="A45" s="65" t="s">
        <v>48</v>
      </c>
      <c r="B45" t="s">
        <v>158</v>
      </c>
      <c r="C45" t="s">
        <v>31</v>
      </c>
      <c r="E45">
        <v>25683</v>
      </c>
      <c r="F45">
        <f>maart2025!E45</f>
        <v>24566</v>
      </c>
      <c r="G45">
        <f>Tabel242567891011121314151716181921202223261415[[#This Row],[Stand Coffee einde maand]]-Tabel242567891011121314151716181921202223261415[[#This Row],[Coffee vorige maand]]</f>
        <v>1117</v>
      </c>
      <c r="H45" s="53">
        <v>6583</v>
      </c>
      <c r="I45">
        <f>maart2025!H45</f>
        <v>6325</v>
      </c>
      <c r="J45">
        <f>Tabel242567891011121314151716181921202223261415[[#This Row],[Stand Espresso Einde maand]]-Tabel242567891011121314151716181921202223261415[[#This Row],[Espresso vorige maand]]</f>
        <v>258</v>
      </c>
      <c r="K45" s="53">
        <v>2576</v>
      </c>
      <c r="L45">
        <f>maart2025!K45</f>
        <v>2432</v>
      </c>
      <c r="M45">
        <f>Tabel242567891011121314151716181921202223261415[[#This Row],[Stand Latte Macchiato einde maand]]-Tabel242567891011121314151716181921202223261415[[#This Row],[Latte Macchiato vorige maand]]</f>
        <v>144</v>
      </c>
      <c r="N45" s="53">
        <v>565</v>
      </c>
      <c r="O45">
        <f>maart2025!N45</f>
        <v>544</v>
      </c>
      <c r="P45">
        <f>Tabel242567891011121314151716181921202223261415[[#This Row],[Stand Coffee Latte einde maand]]-Tabel242567891011121314151716181921202223261415[[#This Row],[Coffee Latte vorige maand]]</f>
        <v>21</v>
      </c>
      <c r="Q45" s="53">
        <v>24854</v>
      </c>
      <c r="R45">
        <f>maart2025!Q45</f>
        <v>23713</v>
      </c>
      <c r="S45">
        <f>Tabel242567891011121314151716181921202223261415[[#This Row],[Stand Hot Water einde maand]]-Tabel242567891011121314151716181921202223261415[[#This Row],[Hot Water vorige maand]]</f>
        <v>1141</v>
      </c>
      <c r="T45" s="53">
        <v>9409</v>
      </c>
      <c r="U45">
        <f>maart2025!T45</f>
        <v>9010</v>
      </c>
      <c r="V45">
        <f>Tabel242567891011121314151716181921202223261415[[#This Row],[Stand Cappucino einde maand]]-Tabel242567891011121314151716181921202223261415[[#This Row],[Stand Cappucino vorige maand]]</f>
        <v>399</v>
      </c>
      <c r="W45" s="53">
        <v>1561</v>
      </c>
      <c r="X45">
        <f>maart2025!W45</f>
        <v>1524</v>
      </c>
      <c r="Y45">
        <f>Tabel242567891011121314151716181921202223261415[[#This Row],[Stand Cappucino Plantaardig einde maand]]-Tabel242567891011121314151716181921202223261415[[#This Row],[Stand Cappucino Plantaardig vorige maand]]</f>
        <v>37</v>
      </c>
      <c r="Z45" s="53">
        <v>1174</v>
      </c>
      <c r="AA45">
        <f>maart2025!Z45</f>
        <v>1121</v>
      </c>
      <c r="AB45">
        <f>Tabel242567891011121314151716181921202223261415[[#This Row],[Stand Latte Macchiato Plantaardig einde maand]]-Tabel242567891011121314151716181921202223261415[[#This Row],[Stand Latte Macchiato Plantaardig vorige maand]]</f>
        <v>53</v>
      </c>
      <c r="AC45" s="71">
        <f>Tabel242567891011121314151716181921202223261415[[#This Row],[Verbruik Stand Latte Macchiato Plantaardig deze maand]]+Tabel242567891011121314151716181921202223261415[[#This Row],[Verbruik  Cappucino Plantaardig deze maand]]+Tabel242567891011121314151716181921202223261415[[#This Row],[Verbruik Cappucino deze maand]]+Tabel242567891011121314151716181921202223261415[[#This Row],[Verbruik Hot Water deze maand]]+Tabel242567891011121314151716181921202223261415[[#This Row],[Verbruik Coffee Latte deze maand]]+Tabel242567891011121314151716181921202223261415[[#This Row],[Verbruik Latte Macchiato deze maand]]+Tabel242567891011121314151716181921202223261415[[#This Row],[Verbruik Espresso deze maand]]+Tabel242567891011121314151716181921202223261415[[#This Row],[Verbruik Coffee deze maand]]</f>
        <v>3170</v>
      </c>
      <c r="AD45" s="69"/>
      <c r="AE45" s="41"/>
      <c r="AF45" s="5"/>
      <c r="AG45" s="5"/>
      <c r="AH45" s="75"/>
      <c r="AI45" s="41"/>
      <c r="AJ45" s="5"/>
      <c r="AK45" s="5"/>
      <c r="AL45" s="75"/>
      <c r="AM45" s="41"/>
      <c r="AN45" s="5"/>
      <c r="AO45" s="5"/>
      <c r="AP45" s="75"/>
      <c r="AQ45" s="41"/>
      <c r="AR45" s="5"/>
      <c r="AS45" s="5"/>
      <c r="AT45" s="75"/>
      <c r="AU45" s="41"/>
      <c r="AV45" s="5"/>
      <c r="AW45" s="5"/>
      <c r="AX45" s="79"/>
      <c r="AY45" s="95">
        <f>Tabel242567891011121314151716181921202223261415[[#This Row],[Subtotaal waterbar in consumpties]]+Tabel242567891011121314151716181921202223261415[[#This Row],[Subtotaal koffieautomaten]]</f>
        <v>3170</v>
      </c>
    </row>
    <row r="46" spans="1:130" ht="14.45" customHeight="1" x14ac:dyDescent="0.25">
      <c r="A46" s="65" t="s">
        <v>50</v>
      </c>
      <c r="B46" t="s">
        <v>93</v>
      </c>
      <c r="C46" t="s">
        <v>36</v>
      </c>
      <c r="E46" s="46"/>
      <c r="F46" s="46"/>
      <c r="G46" s="47"/>
      <c r="H46" s="54"/>
      <c r="I46" s="46"/>
      <c r="J46" s="47"/>
      <c r="K46" s="54"/>
      <c r="L46" s="46"/>
      <c r="M46" s="47"/>
      <c r="N46" s="54"/>
      <c r="O46" s="46"/>
      <c r="P46" s="47"/>
      <c r="Q46" s="54"/>
      <c r="R46" s="46"/>
      <c r="S46" s="47"/>
      <c r="T46" s="54"/>
      <c r="U46" s="46"/>
      <c r="V46" s="47"/>
      <c r="W46" s="54"/>
      <c r="X46" s="46"/>
      <c r="Y46" s="47"/>
      <c r="Z46" s="54"/>
      <c r="AA46" s="46"/>
      <c r="AB46" s="47"/>
      <c r="AC46" s="72"/>
      <c r="AD46" s="53">
        <v>69.5</v>
      </c>
      <c r="AE46">
        <f>maart2025!AD46</f>
        <v>60.9</v>
      </c>
      <c r="AF46">
        <f>Tabel242567891011121314151716181921202223261415[[#This Row],[Stand Kamertemp liter einde maand]]-Tabel242567891011121314151716181921202223261415[[#This Row],[Stand Kamertemp liter vorige maand]]</f>
        <v>8.6000000000000014</v>
      </c>
      <c r="AG46" s="2">
        <f>Tabel242567891011121314151716181921202223261415[[#This Row],[Verbruik Kamertemp liter deze maand]]/0.15</f>
        <v>57.333333333333343</v>
      </c>
      <c r="AH46" s="53">
        <v>449.7</v>
      </c>
      <c r="AI46">
        <f>maart2025!AH46</f>
        <v>433.5</v>
      </c>
      <c r="AJ46">
        <f>Tabel242567891011121314151716181921202223261415[[#This Row],[Stand Gekoeld liter einde maand]]-Tabel242567891011121314151716181921202223261415[[#This Row],[Stand Gekoeld liter vorige maand]]</f>
        <v>16.199999999999989</v>
      </c>
      <c r="AK46" s="2">
        <f>Tabel242567891011121314151716181921202223261415[[#This Row],[Verbruik Gekoeld liter deze maand]]/0.15</f>
        <v>107.99999999999993</v>
      </c>
      <c r="AL46" s="53">
        <v>270.3</v>
      </c>
      <c r="AM46">
        <f>maart2025!AL46</f>
        <v>227</v>
      </c>
      <c r="AN46">
        <f>Tabel242567891011121314151716181921202223261415[[#This Row],[Stand Bruisend liter einde maand]]-Tabel242567891011121314151716181921202223261415[[#This Row],[Stand Bruisend liter vorige maand]]</f>
        <v>43.300000000000011</v>
      </c>
      <c r="AO46" s="2">
        <f>Tabel242567891011121314151716181921202223261415[[#This Row],[Verbruik Bruisend liter deze maand]]/0.15</f>
        <v>288.66666666666674</v>
      </c>
      <c r="AP46" s="53">
        <v>106.8</v>
      </c>
      <c r="AQ46">
        <f>maart2025!AP46</f>
        <v>92.7</v>
      </c>
      <c r="AR46">
        <f>Tabel242567891011121314151716181921202223261415[[#This Row],[Stand licht bruisend liter einde maand]]-Tabel242567891011121314151716181921202223261415[[#This Row],[Stand licht bruisend liter vorige maand]]</f>
        <v>14.099999999999994</v>
      </c>
      <c r="AS46" s="2">
        <f>Tabel242567891011121314151716181921202223261415[[#This Row],[Verbruik licht bruisend liter deze maand]]/0.15</f>
        <v>93.999999999999972</v>
      </c>
      <c r="AT46" s="53">
        <v>1215.7</v>
      </c>
      <c r="AU46">
        <f>maart2025!AT46</f>
        <v>1106</v>
      </c>
      <c r="AV46">
        <f>Tabel242567891011121314151716181921202223261415[[#This Row],[Stand heet water liter einde maand]]-Tabel242567891011121314151716181921202223261415[[#This Row],[Stand heet water liter vorige maand]]</f>
        <v>109.70000000000005</v>
      </c>
      <c r="AW46" s="2">
        <f>Tabel242567891011121314151716181921202223261415[[#This Row],[Verbruik heet Water liter deze maand ]]/0.15</f>
        <v>731.33333333333371</v>
      </c>
      <c r="AX46" s="77">
        <f>Tabel242567891011121314151716181921202223261415[[#This Row],[Aantal consumpties heet water deze maand]]+Tabel242567891011121314151716181921202223261415[[#This Row],[Aantal consumpties licht bruisend water deze maand]]+Tabel242567891011121314151716181921202223261415[[#This Row],[aantal consumpties Bruisend water deze maand]]+Tabel242567891011121314151716181921202223261415[[#This Row],[Aantal consumpties gekoeld water deze maand]]+Tabel242567891011121314151716181921202223261415[[#This Row],[Aantal consumpties Kamertemp deze maand]]</f>
        <v>1279.3333333333337</v>
      </c>
      <c r="AY46" s="95">
        <f>Tabel242567891011121314151716181921202223261415[[#This Row],[Subtotaal waterbar in consumpties]]+Tabel242567891011121314151716181921202223261415[[#This Row],[Subtotaal koffieautomaten]]</f>
        <v>1279.3333333333337</v>
      </c>
    </row>
    <row r="47" spans="1:130" ht="14.45" customHeight="1" x14ac:dyDescent="0.25">
      <c r="A47" s="67">
        <v>10</v>
      </c>
      <c r="B47" t="s">
        <v>94</v>
      </c>
      <c r="C47" t="s">
        <v>31</v>
      </c>
      <c r="E47">
        <v>9410</v>
      </c>
      <c r="F47">
        <f>maart2025!E47</f>
        <v>9048</v>
      </c>
      <c r="G47">
        <f>Tabel242567891011121314151716181921202223261415[[#This Row],[Stand Coffee einde maand]]-Tabel242567891011121314151716181921202223261415[[#This Row],[Coffee vorige maand]]</f>
        <v>362</v>
      </c>
      <c r="H47" s="53">
        <v>7467</v>
      </c>
      <c r="I47">
        <f>maart2025!H47</f>
        <v>7112</v>
      </c>
      <c r="J47">
        <f>Tabel242567891011121314151716181921202223261415[[#This Row],[Stand Espresso Einde maand]]-Tabel242567891011121314151716181921202223261415[[#This Row],[Espresso vorige maand]]</f>
        <v>355</v>
      </c>
      <c r="K47" s="53">
        <v>1223</v>
      </c>
      <c r="L47">
        <f>maart2025!K47</f>
        <v>1197</v>
      </c>
      <c r="M47">
        <f>Tabel242567891011121314151716181921202223261415[[#This Row],[Stand Latte Macchiato einde maand]]-Tabel242567891011121314151716181921202223261415[[#This Row],[Latte Macchiato vorige maand]]</f>
        <v>26</v>
      </c>
      <c r="N47" s="53">
        <v>898</v>
      </c>
      <c r="O47">
        <f>maart2025!N47</f>
        <v>870</v>
      </c>
      <c r="P47">
        <f>Tabel242567891011121314151716181921202223261415[[#This Row],[Stand Coffee Latte einde maand]]-Tabel242567891011121314151716181921202223261415[[#This Row],[Coffee Latte vorige maand]]</f>
        <v>28</v>
      </c>
      <c r="Q47" s="53">
        <v>19238</v>
      </c>
      <c r="R47">
        <f>maart2025!Q47</f>
        <v>18340</v>
      </c>
      <c r="S47">
        <f>Tabel242567891011121314151716181921202223261415[[#This Row],[Stand Hot Water einde maand]]-Tabel242567891011121314151716181921202223261415[[#This Row],[Hot Water vorige maand]]</f>
        <v>898</v>
      </c>
      <c r="T47" s="53">
        <v>7479</v>
      </c>
      <c r="U47">
        <f>maart2025!T47</f>
        <v>7280</v>
      </c>
      <c r="V47">
        <f>Tabel242567891011121314151716181921202223261415[[#This Row],[Stand Cappucino einde maand]]-Tabel242567891011121314151716181921202223261415[[#This Row],[Stand Cappucino vorige maand]]</f>
        <v>199</v>
      </c>
      <c r="W47" s="53">
        <v>1026</v>
      </c>
      <c r="X47">
        <f>maart2025!W47</f>
        <v>1001</v>
      </c>
      <c r="Y47">
        <f>Tabel242567891011121314151716181921202223261415[[#This Row],[Stand Cappucino Plantaardig einde maand]]-Tabel242567891011121314151716181921202223261415[[#This Row],[Stand Cappucino Plantaardig vorige maand]]</f>
        <v>25</v>
      </c>
      <c r="Z47" s="53">
        <v>195</v>
      </c>
      <c r="AA47">
        <f>maart2025!Z47</f>
        <v>189</v>
      </c>
      <c r="AB47">
        <f>Tabel242567891011121314151716181921202223261415[[#This Row],[Stand Latte Macchiato Plantaardig einde maand]]-Tabel242567891011121314151716181921202223261415[[#This Row],[Stand Latte Macchiato Plantaardig vorige maand]]</f>
        <v>6</v>
      </c>
      <c r="AC47" s="71">
        <f>Tabel242567891011121314151716181921202223261415[[#This Row],[Verbruik Stand Latte Macchiato Plantaardig deze maand]]+Tabel242567891011121314151716181921202223261415[[#This Row],[Verbruik  Cappucino Plantaardig deze maand]]+Tabel242567891011121314151716181921202223261415[[#This Row],[Verbruik Cappucino deze maand]]+Tabel242567891011121314151716181921202223261415[[#This Row],[Verbruik Hot Water deze maand]]+Tabel242567891011121314151716181921202223261415[[#This Row],[Verbruik Coffee Latte deze maand]]+Tabel242567891011121314151716181921202223261415[[#This Row],[Verbruik Latte Macchiato deze maand]]+Tabel242567891011121314151716181921202223261415[[#This Row],[Verbruik Espresso deze maand]]+Tabel242567891011121314151716181921202223261415[[#This Row],[Verbruik Coffee deze maand]]</f>
        <v>1899</v>
      </c>
      <c r="AD47" s="69"/>
      <c r="AE47" s="41"/>
      <c r="AF47" s="5"/>
      <c r="AG47" s="5"/>
      <c r="AH47" s="75"/>
      <c r="AI47" s="41"/>
      <c r="AJ47" s="5"/>
      <c r="AK47" s="5"/>
      <c r="AL47" s="75"/>
      <c r="AM47" s="41"/>
      <c r="AN47" s="5"/>
      <c r="AO47" s="5"/>
      <c r="AP47" s="75"/>
      <c r="AQ47" s="41"/>
      <c r="AR47" s="5"/>
      <c r="AS47" s="5"/>
      <c r="AT47" s="75"/>
      <c r="AU47" s="41"/>
      <c r="AV47" s="5"/>
      <c r="AW47" s="5"/>
      <c r="AX47" s="79"/>
      <c r="AY47" s="95">
        <f>Tabel242567891011121314151716181921202223261415[[#This Row],[Subtotaal waterbar in consumpties]]+Tabel242567891011121314151716181921202223261415[[#This Row],[Subtotaal koffieautomaten]]</f>
        <v>1899</v>
      </c>
    </row>
    <row r="48" spans="1:130" ht="14.45" customHeight="1" x14ac:dyDescent="0.25">
      <c r="A48" s="65" t="s">
        <v>54</v>
      </c>
      <c r="B48" t="s">
        <v>95</v>
      </c>
      <c r="C48" t="s">
        <v>47</v>
      </c>
      <c r="E48">
        <v>11607</v>
      </c>
      <c r="F48">
        <f>maart2025!E48</f>
        <v>11177</v>
      </c>
      <c r="G48">
        <f>Tabel242567891011121314151716181921202223261415[[#This Row],[Stand Coffee einde maand]]-Tabel242567891011121314151716181921202223261415[[#This Row],[Coffee vorige maand]]</f>
        <v>430</v>
      </c>
      <c r="H48" s="53">
        <v>3577</v>
      </c>
      <c r="I48">
        <f>maart2025!H48</f>
        <v>3459</v>
      </c>
      <c r="J48">
        <f>Tabel242567891011121314151716181921202223261415[[#This Row],[Stand Espresso Einde maand]]-Tabel242567891011121314151716181921202223261415[[#This Row],[Espresso vorige maand]]</f>
        <v>118</v>
      </c>
      <c r="K48" s="53">
        <v>1105</v>
      </c>
      <c r="L48">
        <f>maart2025!K48</f>
        <v>1061</v>
      </c>
      <c r="M48">
        <f>Tabel242567891011121314151716181921202223261415[[#This Row],[Stand Latte Macchiato einde maand]]-Tabel242567891011121314151716181921202223261415[[#This Row],[Latte Macchiato vorige maand]]</f>
        <v>44</v>
      </c>
      <c r="N48" s="53">
        <v>575</v>
      </c>
      <c r="O48">
        <f>maart2025!N48</f>
        <v>526</v>
      </c>
      <c r="P48">
        <f>Tabel242567891011121314151716181921202223261415[[#This Row],[Stand Coffee Latte einde maand]]-Tabel242567891011121314151716181921202223261415[[#This Row],[Coffee Latte vorige maand]]</f>
        <v>49</v>
      </c>
      <c r="Q48" s="53">
        <v>0</v>
      </c>
      <c r="R48">
        <f>maart2025!Q48</f>
        <v>0</v>
      </c>
      <c r="S48">
        <v>0</v>
      </c>
      <c r="T48" s="53">
        <v>5346</v>
      </c>
      <c r="U48">
        <f>maart2025!T48</f>
        <v>5129</v>
      </c>
      <c r="V48">
        <f>Tabel242567891011121314151716181921202223261415[[#This Row],[Stand Cappucino einde maand]]-Tabel242567891011121314151716181921202223261415[[#This Row],[Stand Cappucino vorige maand]]</f>
        <v>217</v>
      </c>
      <c r="W48" s="53">
        <v>1279</v>
      </c>
      <c r="X48">
        <f>maart2025!W48</f>
        <v>1253</v>
      </c>
      <c r="Y48">
        <f>Tabel242567891011121314151716181921202223261415[[#This Row],[Stand Cappucino Plantaardig einde maand]]-Tabel242567891011121314151716181921202223261415[[#This Row],[Stand Cappucino Plantaardig vorige maand]]</f>
        <v>26</v>
      </c>
      <c r="Z48" s="53">
        <v>738</v>
      </c>
      <c r="AA48">
        <f>maart2025!Z48</f>
        <v>711</v>
      </c>
      <c r="AB48">
        <f>Tabel242567891011121314151716181921202223261415[[#This Row],[Stand Latte Macchiato Plantaardig einde maand]]-Tabel242567891011121314151716181921202223261415[[#This Row],[Stand Latte Macchiato Plantaardig vorige maand]]</f>
        <v>27</v>
      </c>
      <c r="AC48" s="71">
        <f>Tabel242567891011121314151716181921202223261415[[#This Row],[Verbruik Stand Latte Macchiato Plantaardig deze maand]]+Tabel242567891011121314151716181921202223261415[[#This Row],[Verbruik  Cappucino Plantaardig deze maand]]+Tabel242567891011121314151716181921202223261415[[#This Row],[Verbruik Cappucino deze maand]]+Tabel242567891011121314151716181921202223261415[[#This Row],[Verbruik Hot Water deze maand]]+Tabel242567891011121314151716181921202223261415[[#This Row],[Verbruik Coffee Latte deze maand]]+Tabel242567891011121314151716181921202223261415[[#This Row],[Verbruik Latte Macchiato deze maand]]+Tabel242567891011121314151716181921202223261415[[#This Row],[Verbruik Espresso deze maand]]+Tabel242567891011121314151716181921202223261415[[#This Row],[Verbruik Coffee deze maand]]</f>
        <v>911</v>
      </c>
      <c r="AD48" s="53">
        <v>144.4</v>
      </c>
      <c r="AE48">
        <f>maart2025!AD48</f>
        <v>125.9</v>
      </c>
      <c r="AF48">
        <f>Tabel242567891011121314151716181921202223261415[[#This Row],[Stand Kamertemp liter einde maand]]-Tabel242567891011121314151716181921202223261415[[#This Row],[Stand Kamertemp liter vorige maand]]</f>
        <v>18.5</v>
      </c>
      <c r="AG48" s="2">
        <f>Tabel242567891011121314151716181921202223261415[[#This Row],[Verbruik Kamertemp liter deze maand]]/0.15</f>
        <v>123.33333333333334</v>
      </c>
      <c r="AH48" s="53">
        <v>1225.5</v>
      </c>
      <c r="AI48">
        <f>maart2025!AH48</f>
        <v>1093.9000000000001</v>
      </c>
      <c r="AJ48">
        <f>Tabel242567891011121314151716181921202223261415[[#This Row],[Stand Gekoeld liter einde maand]]-Tabel242567891011121314151716181921202223261415[[#This Row],[Stand Gekoeld liter vorige maand]]</f>
        <v>131.59999999999991</v>
      </c>
      <c r="AK48" s="2">
        <f>Tabel242567891011121314151716181921202223261415[[#This Row],[Verbruik Gekoeld liter deze maand]]/0.15</f>
        <v>877.3333333333328</v>
      </c>
      <c r="AL48" s="53">
        <v>597.9</v>
      </c>
      <c r="AM48">
        <f>maart2025!AL48</f>
        <v>523.9</v>
      </c>
      <c r="AN48">
        <f>Tabel242567891011121314151716181921202223261415[[#This Row],[Stand Bruisend liter einde maand]]-Tabel242567891011121314151716181921202223261415[[#This Row],[Stand Bruisend liter vorige maand]]</f>
        <v>74</v>
      </c>
      <c r="AO48" s="2">
        <f>Tabel242567891011121314151716181921202223261415[[#This Row],[Verbruik Bruisend liter deze maand]]/0.15</f>
        <v>493.33333333333337</v>
      </c>
      <c r="AP48" s="53">
        <v>237.4</v>
      </c>
      <c r="AQ48">
        <f>maart2025!AP48</f>
        <v>213.5</v>
      </c>
      <c r="AR48">
        <f>Tabel242567891011121314151716181921202223261415[[#This Row],[Stand licht bruisend liter einde maand]]-Tabel242567891011121314151716181921202223261415[[#This Row],[Stand licht bruisend liter vorige maand]]</f>
        <v>23.900000000000006</v>
      </c>
      <c r="AS48" s="2">
        <f>Tabel242567891011121314151716181921202223261415[[#This Row],[Verbruik licht bruisend liter deze maand]]/0.15</f>
        <v>159.33333333333337</v>
      </c>
      <c r="AT48" s="53">
        <v>2327.1</v>
      </c>
      <c r="AU48">
        <f>maart2025!AT48</f>
        <v>2074.8000000000002</v>
      </c>
      <c r="AV48">
        <f>Tabel242567891011121314151716181921202223261415[[#This Row],[Stand heet water liter einde maand]]-Tabel242567891011121314151716181921202223261415[[#This Row],[Stand heet water liter vorige maand]]</f>
        <v>252.29999999999973</v>
      </c>
      <c r="AW48" s="2">
        <f>Tabel242567891011121314151716181921202223261415[[#This Row],[Verbruik heet Water liter deze maand ]]/0.15</f>
        <v>1681.9999999999982</v>
      </c>
      <c r="AX48" s="77">
        <f>Tabel242567891011121314151716181921202223261415[[#This Row],[Aantal consumpties heet water deze maand]]+Tabel242567891011121314151716181921202223261415[[#This Row],[Aantal consumpties licht bruisend water deze maand]]+Tabel242567891011121314151716181921202223261415[[#This Row],[aantal consumpties Bruisend water deze maand]]+Tabel242567891011121314151716181921202223261415[[#This Row],[Aantal consumpties gekoeld water deze maand]]+Tabel242567891011121314151716181921202223261415[[#This Row],[Aantal consumpties Kamertemp deze maand]]</f>
        <v>3335.3333333333317</v>
      </c>
      <c r="AY48" s="95">
        <f>Tabel242567891011121314151716181921202223261415[[#This Row],[Subtotaal waterbar in consumpties]]+Tabel242567891011121314151716181921202223261415[[#This Row],[Subtotaal koffieautomaten]]</f>
        <v>4246.3333333333321</v>
      </c>
    </row>
    <row r="49" spans="1:130" ht="14.45" customHeight="1" x14ac:dyDescent="0.25">
      <c r="A49" s="65" t="s">
        <v>56</v>
      </c>
      <c r="B49" t="s">
        <v>96</v>
      </c>
      <c r="C49" t="s">
        <v>36</v>
      </c>
      <c r="E49" s="46"/>
      <c r="F49" s="46"/>
      <c r="G49" s="47"/>
      <c r="H49" s="54"/>
      <c r="I49" s="46"/>
      <c r="J49" s="47"/>
      <c r="K49" s="54"/>
      <c r="L49" s="46"/>
      <c r="M49" s="47"/>
      <c r="N49" s="54"/>
      <c r="O49" s="46"/>
      <c r="P49" s="47"/>
      <c r="Q49" s="54"/>
      <c r="R49" s="46"/>
      <c r="S49" s="47"/>
      <c r="T49" s="54"/>
      <c r="U49" s="46"/>
      <c r="V49" s="47"/>
      <c r="W49" s="54"/>
      <c r="X49" s="46"/>
      <c r="Y49" s="47"/>
      <c r="Z49" s="54"/>
      <c r="AA49" s="46"/>
      <c r="AB49" s="47"/>
      <c r="AC49" s="72"/>
      <c r="AD49" s="53">
        <v>117.2</v>
      </c>
      <c r="AE49">
        <f>maart2025!AD49</f>
        <v>97.4</v>
      </c>
      <c r="AF49">
        <f>Tabel242567891011121314151716181921202223261415[[#This Row],[Stand Kamertemp liter einde maand]]-Tabel242567891011121314151716181921202223261415[[#This Row],[Stand Kamertemp liter vorige maand]]</f>
        <v>19.799999999999997</v>
      </c>
      <c r="AG49" s="2">
        <f>Tabel242567891011121314151716181921202223261415[[#This Row],[Verbruik Kamertemp liter deze maand]]/0.15</f>
        <v>132</v>
      </c>
      <c r="AH49" s="53">
        <v>749.6</v>
      </c>
      <c r="AI49">
        <f>maart2025!AH49</f>
        <v>652.5</v>
      </c>
      <c r="AJ49">
        <f>Tabel242567891011121314151716181921202223261415[[#This Row],[Stand Gekoeld liter einde maand]]-Tabel242567891011121314151716181921202223261415[[#This Row],[Stand Gekoeld liter vorige maand]]</f>
        <v>97.100000000000023</v>
      </c>
      <c r="AK49" s="2">
        <f>Tabel242567891011121314151716181921202223261415[[#This Row],[Verbruik Gekoeld liter deze maand]]/0.15</f>
        <v>647.33333333333348</v>
      </c>
      <c r="AL49" s="53">
        <v>327.3</v>
      </c>
      <c r="AM49">
        <f>maart2025!AL49</f>
        <v>276.8</v>
      </c>
      <c r="AN49">
        <f>Tabel242567891011121314151716181921202223261415[[#This Row],[Stand Bruisend liter einde maand]]-Tabel242567891011121314151716181921202223261415[[#This Row],[Stand Bruisend liter vorige maand]]</f>
        <v>50.5</v>
      </c>
      <c r="AO49" s="2">
        <f>Tabel242567891011121314151716181921202223261415[[#This Row],[Verbruik Bruisend liter deze maand]]/0.15</f>
        <v>336.66666666666669</v>
      </c>
      <c r="AP49" s="53">
        <v>191.7</v>
      </c>
      <c r="AQ49">
        <f>maart2025!AP49</f>
        <v>163.4</v>
      </c>
      <c r="AR49">
        <f>Tabel242567891011121314151716181921202223261415[[#This Row],[Stand licht bruisend liter einde maand]]-Tabel242567891011121314151716181921202223261415[[#This Row],[Stand licht bruisend liter vorige maand]]</f>
        <v>28.299999999999983</v>
      </c>
      <c r="AS49" s="2">
        <f>Tabel242567891011121314151716181921202223261415[[#This Row],[Verbruik licht bruisend liter deze maand]]/0.15</f>
        <v>188.66666666666657</v>
      </c>
      <c r="AT49" s="53">
        <v>2034.1</v>
      </c>
      <c r="AU49">
        <f>maart2025!AT49</f>
        <v>1759.1</v>
      </c>
      <c r="AV49">
        <f>Tabel242567891011121314151716181921202223261415[[#This Row],[Stand heet water liter einde maand]]-Tabel242567891011121314151716181921202223261415[[#This Row],[Stand heet water liter vorige maand]]</f>
        <v>275</v>
      </c>
      <c r="AW49" s="2">
        <f>Tabel242567891011121314151716181921202223261415[[#This Row],[Verbruik heet Water liter deze maand ]]/0.15</f>
        <v>1833.3333333333335</v>
      </c>
      <c r="AX49" s="77">
        <f>Tabel242567891011121314151716181921202223261415[[#This Row],[Aantal consumpties heet water deze maand]]+Tabel242567891011121314151716181921202223261415[[#This Row],[Aantal consumpties licht bruisend water deze maand]]+Tabel242567891011121314151716181921202223261415[[#This Row],[aantal consumpties Bruisend water deze maand]]+Tabel242567891011121314151716181921202223261415[[#This Row],[Aantal consumpties gekoeld water deze maand]]+Tabel242567891011121314151716181921202223261415[[#This Row],[Aantal consumpties Kamertemp deze maand]]</f>
        <v>3138</v>
      </c>
      <c r="AY49" s="95">
        <f>Tabel242567891011121314151716181921202223261415[[#This Row],[Subtotaal waterbar in consumpties]]+Tabel242567891011121314151716181921202223261415[[#This Row],[Subtotaal koffieautomaten]]</f>
        <v>3138</v>
      </c>
    </row>
    <row r="50" spans="1:130" ht="14.45" customHeight="1" x14ac:dyDescent="0.25">
      <c r="A50" s="65" t="s">
        <v>58</v>
      </c>
      <c r="B50" t="s">
        <v>97</v>
      </c>
      <c r="C50" t="s">
        <v>31</v>
      </c>
      <c r="E50">
        <v>14034</v>
      </c>
      <c r="F50">
        <f>maart2025!E50</f>
        <v>13337</v>
      </c>
      <c r="G50">
        <f>Tabel242567891011121314151716181921202223261415[[#This Row],[Stand Coffee einde maand]]-Tabel242567891011121314151716181921202223261415[[#This Row],[Coffee vorige maand]]</f>
        <v>697</v>
      </c>
      <c r="H50" s="53">
        <v>3828</v>
      </c>
      <c r="I50">
        <f>maart2025!H50</f>
        <v>3656</v>
      </c>
      <c r="J50">
        <f>Tabel242567891011121314151716181921202223261415[[#This Row],[Stand Espresso Einde maand]]-Tabel242567891011121314151716181921202223261415[[#This Row],[Espresso vorige maand]]</f>
        <v>172</v>
      </c>
      <c r="K50" s="53">
        <v>1517</v>
      </c>
      <c r="L50">
        <f>maart2025!K50</f>
        <v>1441</v>
      </c>
      <c r="M50">
        <f>Tabel242567891011121314151716181921202223261415[[#This Row],[Stand Latte Macchiato einde maand]]-Tabel242567891011121314151716181921202223261415[[#This Row],[Latte Macchiato vorige maand]]</f>
        <v>76</v>
      </c>
      <c r="N50" s="53">
        <v>1373</v>
      </c>
      <c r="O50">
        <f>maart2025!N50</f>
        <v>1325</v>
      </c>
      <c r="P50">
        <f>Tabel242567891011121314151716181921202223261415[[#This Row],[Stand Coffee Latte einde maand]]-Tabel242567891011121314151716181921202223261415[[#This Row],[Coffee Latte vorige maand]]</f>
        <v>48</v>
      </c>
      <c r="Q50" s="53">
        <v>13228</v>
      </c>
      <c r="R50">
        <f>maart2025!Q50</f>
        <v>12660</v>
      </c>
      <c r="S50">
        <f>Tabel242567891011121314151716181921202223261415[[#This Row],[Stand Hot Water einde maand]]-Tabel242567891011121314151716181921202223261415[[#This Row],[Hot Water vorige maand]]</f>
        <v>568</v>
      </c>
      <c r="T50" s="53">
        <v>8379</v>
      </c>
      <c r="U50">
        <f>maart2025!T50</f>
        <v>8081</v>
      </c>
      <c r="V50">
        <f>Tabel242567891011121314151716181921202223261415[[#This Row],[Stand Cappucino einde maand]]-Tabel242567891011121314151716181921202223261415[[#This Row],[Stand Cappucino vorige maand]]</f>
        <v>298</v>
      </c>
      <c r="W50" s="53">
        <v>1569</v>
      </c>
      <c r="X50">
        <f>maart2025!W50</f>
        <v>1508</v>
      </c>
      <c r="Y50">
        <f>Tabel242567891011121314151716181921202223261415[[#This Row],[Stand Cappucino Plantaardig einde maand]]-Tabel242567891011121314151716181921202223261415[[#This Row],[Stand Cappucino Plantaardig vorige maand]]</f>
        <v>61</v>
      </c>
      <c r="Z50" s="53">
        <v>377</v>
      </c>
      <c r="AA50">
        <f>maart2025!Z50</f>
        <v>339</v>
      </c>
      <c r="AB50">
        <f>Tabel242567891011121314151716181921202223261415[[#This Row],[Stand Latte Macchiato Plantaardig einde maand]]-Tabel242567891011121314151716181921202223261415[[#This Row],[Stand Latte Macchiato Plantaardig vorige maand]]</f>
        <v>38</v>
      </c>
      <c r="AC50" s="71">
        <f>Tabel242567891011121314151716181921202223261415[[#This Row],[Verbruik Stand Latte Macchiato Plantaardig deze maand]]+Tabel242567891011121314151716181921202223261415[[#This Row],[Verbruik  Cappucino Plantaardig deze maand]]+Tabel242567891011121314151716181921202223261415[[#This Row],[Verbruik Cappucino deze maand]]+Tabel242567891011121314151716181921202223261415[[#This Row],[Verbruik Hot Water deze maand]]+Tabel242567891011121314151716181921202223261415[[#This Row],[Verbruik Coffee Latte deze maand]]+Tabel242567891011121314151716181921202223261415[[#This Row],[Verbruik Latte Macchiato deze maand]]+Tabel242567891011121314151716181921202223261415[[#This Row],[Verbruik Espresso deze maand]]+Tabel242567891011121314151716181921202223261415[[#This Row],[Verbruik Coffee deze maand]]</f>
        <v>1958</v>
      </c>
      <c r="AD50" s="69"/>
      <c r="AE50" s="41"/>
      <c r="AF50" s="5"/>
      <c r="AG50" s="5"/>
      <c r="AH50" s="75"/>
      <c r="AI50" s="41"/>
      <c r="AJ50" s="5"/>
      <c r="AK50" s="5"/>
      <c r="AL50" s="75"/>
      <c r="AM50" s="41"/>
      <c r="AN50" s="5"/>
      <c r="AO50" s="5"/>
      <c r="AP50" s="75"/>
      <c r="AQ50" s="41"/>
      <c r="AR50" s="5"/>
      <c r="AS50" s="5"/>
      <c r="AT50" s="75"/>
      <c r="AU50" s="41"/>
      <c r="AV50" s="5"/>
      <c r="AW50" s="5"/>
      <c r="AX50" s="79"/>
      <c r="AY50" s="95">
        <f>Tabel242567891011121314151716181921202223261415[[#This Row],[Subtotaal waterbar in consumpties]]+Tabel242567891011121314151716181921202223261415[[#This Row],[Subtotaal koffieautomaten]]</f>
        <v>1958</v>
      </c>
    </row>
    <row r="51" spans="1:130" ht="14.45" customHeight="1" x14ac:dyDescent="0.25">
      <c r="A51" s="65" t="s">
        <v>60</v>
      </c>
      <c r="B51" t="s">
        <v>98</v>
      </c>
      <c r="C51" t="s">
        <v>47</v>
      </c>
      <c r="E51">
        <v>8650</v>
      </c>
      <c r="F51">
        <f>maart2025!E51</f>
        <v>8210</v>
      </c>
      <c r="G51">
        <f>Tabel242567891011121314151716181921202223261415[[#This Row],[Stand Coffee einde maand]]-Tabel242567891011121314151716181921202223261415[[#This Row],[Coffee vorige maand]]</f>
        <v>440</v>
      </c>
      <c r="H51" s="53">
        <v>2804</v>
      </c>
      <c r="I51">
        <f>maart2025!H51</f>
        <v>2620</v>
      </c>
      <c r="J51">
        <f>Tabel242567891011121314151716181921202223261415[[#This Row],[Stand Espresso Einde maand]]-Tabel242567891011121314151716181921202223261415[[#This Row],[Espresso vorige maand]]</f>
        <v>184</v>
      </c>
      <c r="K51" s="53">
        <v>843</v>
      </c>
      <c r="L51">
        <f>maart2025!K51</f>
        <v>812</v>
      </c>
      <c r="M51">
        <f>Tabel242567891011121314151716181921202223261415[[#This Row],[Stand Latte Macchiato einde maand]]-Tabel242567891011121314151716181921202223261415[[#This Row],[Latte Macchiato vorige maand]]</f>
        <v>31</v>
      </c>
      <c r="N51" s="53">
        <v>1117</v>
      </c>
      <c r="O51">
        <f>maart2025!N51</f>
        <v>1086</v>
      </c>
      <c r="P51">
        <f>Tabel242567891011121314151716181921202223261415[[#This Row],[Stand Coffee Latte einde maand]]-Tabel242567891011121314151716181921202223261415[[#This Row],[Coffee Latte vorige maand]]</f>
        <v>31</v>
      </c>
      <c r="Q51" s="53">
        <v>1</v>
      </c>
      <c r="R51">
        <f>maart2025!Q51</f>
        <v>1</v>
      </c>
      <c r="S51">
        <f>Tabel242567891011121314151716181921202223261415[[#This Row],[Stand Hot Water einde maand]]-Tabel242567891011121314151716181921202223261415[[#This Row],[Hot Water vorige maand]]</f>
        <v>0</v>
      </c>
      <c r="T51" s="53">
        <v>5656</v>
      </c>
      <c r="U51">
        <f>maart2025!T51</f>
        <v>5331</v>
      </c>
      <c r="V51">
        <f>Tabel242567891011121314151716181921202223261415[[#This Row],[Stand Cappucino einde maand]]-Tabel242567891011121314151716181921202223261415[[#This Row],[Stand Cappucino vorige maand]]</f>
        <v>325</v>
      </c>
      <c r="W51" s="53">
        <v>781</v>
      </c>
      <c r="X51">
        <f>maart2025!W51</f>
        <v>739</v>
      </c>
      <c r="Y51">
        <f>Tabel242567891011121314151716181921202223261415[[#This Row],[Stand Cappucino Plantaardig einde maand]]-Tabel242567891011121314151716181921202223261415[[#This Row],[Stand Cappucino Plantaardig vorige maand]]</f>
        <v>42</v>
      </c>
      <c r="Z51" s="53">
        <v>178</v>
      </c>
      <c r="AA51">
        <f>maart2025!Z51</f>
        <v>168</v>
      </c>
      <c r="AB51">
        <f>Tabel242567891011121314151716181921202223261415[[#This Row],[Stand Latte Macchiato Plantaardig einde maand]]-Tabel242567891011121314151716181921202223261415[[#This Row],[Stand Latte Macchiato Plantaardig vorige maand]]</f>
        <v>10</v>
      </c>
      <c r="AC51" s="71">
        <f>Tabel242567891011121314151716181921202223261415[[#This Row],[Verbruik Stand Latte Macchiato Plantaardig deze maand]]+Tabel242567891011121314151716181921202223261415[[#This Row],[Verbruik  Cappucino Plantaardig deze maand]]+Tabel242567891011121314151716181921202223261415[[#This Row],[Verbruik Cappucino deze maand]]+Tabel242567891011121314151716181921202223261415[[#This Row],[Verbruik Hot Water deze maand]]+Tabel242567891011121314151716181921202223261415[[#This Row],[Verbruik Coffee Latte deze maand]]+Tabel242567891011121314151716181921202223261415[[#This Row],[Verbruik Latte Macchiato deze maand]]+Tabel242567891011121314151716181921202223261415[[#This Row],[Verbruik Espresso deze maand]]+Tabel242567891011121314151716181921202223261415[[#This Row],[Verbruik Coffee deze maand]]</f>
        <v>1063</v>
      </c>
      <c r="AD51" s="53">
        <v>35.700000000000003</v>
      </c>
      <c r="AE51">
        <f>maart2025!AD51</f>
        <v>32.4</v>
      </c>
      <c r="AF51">
        <f>Tabel242567891011121314151716181921202223261415[[#This Row],[Stand Kamertemp liter einde maand]]-Tabel242567891011121314151716181921202223261415[[#This Row],[Stand Kamertemp liter vorige maand]]</f>
        <v>3.3000000000000043</v>
      </c>
      <c r="AG51" s="2">
        <f>Tabel242567891011121314151716181921202223261415[[#This Row],[Verbruik Kamertemp liter deze maand]]/0.15</f>
        <v>22.000000000000028</v>
      </c>
      <c r="AH51" s="53">
        <v>466</v>
      </c>
      <c r="AI51">
        <f>maart2025!AH51</f>
        <v>367.2</v>
      </c>
      <c r="AJ51">
        <f>Tabel242567891011121314151716181921202223261415[[#This Row],[Stand Gekoeld liter einde maand]]-Tabel242567891011121314151716181921202223261415[[#This Row],[Stand Gekoeld liter vorige maand]]</f>
        <v>98.800000000000011</v>
      </c>
      <c r="AK51" s="2">
        <f>Tabel242567891011121314151716181921202223261415[[#This Row],[Verbruik Gekoeld liter deze maand]]/0.15</f>
        <v>658.66666666666674</v>
      </c>
      <c r="AL51" s="53">
        <v>357.8</v>
      </c>
      <c r="AM51">
        <f>maart2025!AL51</f>
        <v>270.39999999999998</v>
      </c>
      <c r="AN51">
        <f>Tabel242567891011121314151716181921202223261415[[#This Row],[Stand Bruisend liter einde maand]]-Tabel242567891011121314151716181921202223261415[[#This Row],[Stand Bruisend liter vorige maand]]</f>
        <v>87.400000000000034</v>
      </c>
      <c r="AO51" s="2">
        <f>Tabel242567891011121314151716181921202223261415[[#This Row],[Verbruik Bruisend liter deze maand]]/0.15</f>
        <v>582.66666666666697</v>
      </c>
      <c r="AP51" s="53">
        <v>63.8</v>
      </c>
      <c r="AQ51">
        <f>maart2025!AP51</f>
        <v>44.5</v>
      </c>
      <c r="AR51">
        <f>Tabel242567891011121314151716181921202223261415[[#This Row],[Stand licht bruisend liter einde maand]]-Tabel242567891011121314151716181921202223261415[[#This Row],[Stand licht bruisend liter vorige maand]]</f>
        <v>19.299999999999997</v>
      </c>
      <c r="AS51" s="2">
        <f>Tabel242567891011121314151716181921202223261415[[#This Row],[Verbruik licht bruisend liter deze maand]]/0.15</f>
        <v>128.66666666666666</v>
      </c>
      <c r="AT51" s="53">
        <v>991</v>
      </c>
      <c r="AU51">
        <f>maart2025!AT51</f>
        <v>847.6</v>
      </c>
      <c r="AV51">
        <f>Tabel242567891011121314151716181921202223261415[[#This Row],[Stand heet water liter einde maand]]-Tabel242567891011121314151716181921202223261415[[#This Row],[Stand heet water liter vorige maand]]</f>
        <v>143.39999999999998</v>
      </c>
      <c r="AW51" s="2">
        <f>Tabel242567891011121314151716181921202223261415[[#This Row],[Verbruik heet Water liter deze maand ]]/0.15</f>
        <v>955.99999999999989</v>
      </c>
      <c r="AX51" s="77">
        <f>Tabel242567891011121314151716181921202223261415[[#This Row],[Aantal consumpties heet water deze maand]]+Tabel242567891011121314151716181921202223261415[[#This Row],[Aantal consumpties licht bruisend water deze maand]]+Tabel242567891011121314151716181921202223261415[[#This Row],[aantal consumpties Bruisend water deze maand]]+Tabel242567891011121314151716181921202223261415[[#This Row],[Aantal consumpties gekoeld water deze maand]]+Tabel242567891011121314151716181921202223261415[[#This Row],[Aantal consumpties Kamertemp deze maand]]</f>
        <v>2348</v>
      </c>
      <c r="AY51" s="95">
        <f>Tabel242567891011121314151716181921202223261415[[#This Row],[Subtotaal waterbar in consumpties]]+Tabel242567891011121314151716181921202223261415[[#This Row],[Subtotaal koffieautomaten]]</f>
        <v>3411</v>
      </c>
    </row>
    <row r="52" spans="1:130" s="81" customFormat="1" ht="14.45" customHeight="1" x14ac:dyDescent="0.25">
      <c r="A52" s="80" t="s">
        <v>99</v>
      </c>
      <c r="D52" s="82"/>
      <c r="H52" s="86"/>
      <c r="K52" s="86"/>
      <c r="N52" s="86"/>
      <c r="Q52" s="86"/>
      <c r="T52" s="86"/>
      <c r="W52" s="86"/>
      <c r="Z52" s="86"/>
      <c r="AC52" s="85"/>
      <c r="AD52" s="86"/>
      <c r="AG52" s="87"/>
      <c r="AH52" s="86"/>
      <c r="AK52" s="87"/>
      <c r="AL52" s="86"/>
      <c r="AO52" s="87"/>
      <c r="AP52" s="86"/>
      <c r="AS52" s="87"/>
      <c r="AT52" s="86"/>
      <c r="AW52" s="87"/>
      <c r="AX52" s="88"/>
      <c r="AY52" s="94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</row>
    <row r="53" spans="1:130" ht="14.45" customHeight="1" x14ac:dyDescent="0.25">
      <c r="A53" s="65" t="s">
        <v>43</v>
      </c>
      <c r="B53" t="s">
        <v>100</v>
      </c>
      <c r="C53" t="s">
        <v>31</v>
      </c>
      <c r="E53">
        <v>12713</v>
      </c>
      <c r="F53">
        <f>maart2025!E53</f>
        <v>12125</v>
      </c>
      <c r="G53">
        <f>Tabel242567891011121314151716181921202223261415[[#This Row],[Stand Coffee einde maand]]-Tabel242567891011121314151716181921202223261415[[#This Row],[Coffee vorige maand]]</f>
        <v>588</v>
      </c>
      <c r="H53" s="97">
        <f>824+3732</f>
        <v>4556</v>
      </c>
      <c r="I53">
        <f>maart2025!H53</f>
        <v>4424</v>
      </c>
      <c r="J53">
        <f>Tabel242567891011121314151716181921202223261415[[#This Row],[Stand Espresso Einde maand]]-Tabel242567891011121314151716181921202223261415[[#This Row],[Espresso vorige maand]]</f>
        <v>132</v>
      </c>
      <c r="K53" s="53">
        <v>1294</v>
      </c>
      <c r="L53">
        <f>maart2025!K53</f>
        <v>1246</v>
      </c>
      <c r="M53">
        <f>Tabel242567891011121314151716181921202223261415[[#This Row],[Stand Latte Macchiato einde maand]]-Tabel242567891011121314151716181921202223261415[[#This Row],[Latte Macchiato vorige maand]]</f>
        <v>48</v>
      </c>
      <c r="N53" s="53">
        <v>565</v>
      </c>
      <c r="O53">
        <f>maart2025!N53</f>
        <v>519</v>
      </c>
      <c r="P53">
        <f>Tabel242567891011121314151716181921202223261415[[#This Row],[Stand Coffee Latte einde maand]]-Tabel242567891011121314151716181921202223261415[[#This Row],[Coffee Latte vorige maand]]</f>
        <v>46</v>
      </c>
      <c r="Q53" s="53">
        <v>31397</v>
      </c>
      <c r="R53">
        <f>maart2025!Q53</f>
        <v>30080</v>
      </c>
      <c r="S53">
        <f>Tabel242567891011121314151716181921202223261415[[#This Row],[Stand Hot Water einde maand]]-Tabel242567891011121314151716181921202223261415[[#This Row],[Hot Water vorige maand]]</f>
        <v>1317</v>
      </c>
      <c r="T53" s="53">
        <v>3756</v>
      </c>
      <c r="U53">
        <f>maart2025!T53</f>
        <v>3698</v>
      </c>
      <c r="V53">
        <f>Tabel242567891011121314151716181921202223261415[[#This Row],[Stand Cappucino einde maand]]-Tabel242567891011121314151716181921202223261415[[#This Row],[Stand Cappucino vorige maand]]</f>
        <v>58</v>
      </c>
      <c r="W53" s="53">
        <v>1107</v>
      </c>
      <c r="X53">
        <f>maart2025!W53</f>
        <v>1080</v>
      </c>
      <c r="Y53">
        <f>Tabel242567891011121314151716181921202223261415[[#This Row],[Stand Cappucino Plantaardig einde maand]]-Tabel242567891011121314151716181921202223261415[[#This Row],[Stand Cappucino Plantaardig vorige maand]]</f>
        <v>27</v>
      </c>
      <c r="Z53" s="53">
        <v>235</v>
      </c>
      <c r="AA53">
        <f>maart2025!Z53</f>
        <v>225</v>
      </c>
      <c r="AB53">
        <f>Tabel242567891011121314151716181921202223261415[[#This Row],[Stand Latte Macchiato Plantaardig einde maand]]-Tabel242567891011121314151716181921202223261415[[#This Row],[Stand Latte Macchiato Plantaardig vorige maand]]</f>
        <v>10</v>
      </c>
      <c r="AC53" s="71">
        <f>Tabel242567891011121314151716181921202223261415[[#This Row],[Verbruik Stand Latte Macchiato Plantaardig deze maand]]+Tabel242567891011121314151716181921202223261415[[#This Row],[Verbruik  Cappucino Plantaardig deze maand]]+Tabel242567891011121314151716181921202223261415[[#This Row],[Verbruik Cappucino deze maand]]+Tabel242567891011121314151716181921202223261415[[#This Row],[Verbruik Hot Water deze maand]]+Tabel242567891011121314151716181921202223261415[[#This Row],[Verbruik Coffee Latte deze maand]]+Tabel242567891011121314151716181921202223261415[[#This Row],[Verbruik Latte Macchiato deze maand]]+Tabel242567891011121314151716181921202223261415[[#This Row],[Verbruik Espresso deze maand]]+Tabel242567891011121314151716181921202223261415[[#This Row],[Verbruik Coffee deze maand]]</f>
        <v>2226</v>
      </c>
      <c r="AD53" s="69"/>
      <c r="AE53" s="41"/>
      <c r="AF53" s="5"/>
      <c r="AG53" s="5"/>
      <c r="AH53" s="75"/>
      <c r="AI53" s="41"/>
      <c r="AJ53" s="5"/>
      <c r="AK53" s="5"/>
      <c r="AL53" s="75"/>
      <c r="AM53" s="41"/>
      <c r="AN53" s="5"/>
      <c r="AO53" s="5"/>
      <c r="AP53" s="75"/>
      <c r="AQ53" s="41"/>
      <c r="AR53" s="5"/>
      <c r="AS53" s="5"/>
      <c r="AT53" s="75"/>
      <c r="AU53" s="41"/>
      <c r="AV53" s="5"/>
      <c r="AW53" s="5"/>
      <c r="AX53" s="79"/>
      <c r="AY53" s="95">
        <f>Tabel242567891011121314151716181921202223261415[[#This Row],[Subtotaal waterbar in consumpties]]+Tabel242567891011121314151716181921202223261415[[#This Row],[Subtotaal koffieautomaten]]</f>
        <v>2226</v>
      </c>
    </row>
    <row r="54" spans="1:130" ht="14.45" customHeight="1" x14ac:dyDescent="0.25">
      <c r="A54" s="65" t="s">
        <v>45</v>
      </c>
      <c r="B54" t="s">
        <v>101</v>
      </c>
      <c r="C54" t="s">
        <v>47</v>
      </c>
      <c r="E54">
        <v>9569</v>
      </c>
      <c r="F54">
        <f>maart2025!E54</f>
        <v>9207</v>
      </c>
      <c r="G54">
        <f>Tabel242567891011121314151716181921202223261415[[#This Row],[Stand Coffee einde maand]]-Tabel242567891011121314151716181921202223261415[[#This Row],[Coffee vorige maand]]</f>
        <v>362</v>
      </c>
      <c r="H54" s="53">
        <v>4711</v>
      </c>
      <c r="I54">
        <f>maart2025!H54</f>
        <v>4564</v>
      </c>
      <c r="J54">
        <f>Tabel242567891011121314151716181921202223261415[[#This Row],[Stand Espresso Einde maand]]-Tabel242567891011121314151716181921202223261415[[#This Row],[Espresso vorige maand]]</f>
        <v>147</v>
      </c>
      <c r="K54" s="53">
        <v>691</v>
      </c>
      <c r="L54">
        <f>maart2025!K54</f>
        <v>681</v>
      </c>
      <c r="M54">
        <f>Tabel242567891011121314151716181921202223261415[[#This Row],[Stand Latte Macchiato einde maand]]-Tabel242567891011121314151716181921202223261415[[#This Row],[Latte Macchiato vorige maand]]</f>
        <v>10</v>
      </c>
      <c r="N54" s="53">
        <v>546</v>
      </c>
      <c r="O54">
        <f>maart2025!N54</f>
        <v>532</v>
      </c>
      <c r="P54">
        <f>Tabel242567891011121314151716181921202223261415[[#This Row],[Stand Coffee Latte einde maand]]-Tabel242567891011121314151716181921202223261415[[#This Row],[Coffee Latte vorige maand]]</f>
        <v>14</v>
      </c>
      <c r="Q54" s="53">
        <v>1</v>
      </c>
      <c r="R54">
        <f>maart2025!Q54</f>
        <v>1</v>
      </c>
      <c r="S54">
        <f>Tabel242567891011121314151716181921202223261415[[#This Row],[Stand Hot Water einde maand]]-Tabel242567891011121314151716181921202223261415[[#This Row],[Hot Water vorige maand]]</f>
        <v>0</v>
      </c>
      <c r="T54" s="53">
        <v>4534</v>
      </c>
      <c r="U54">
        <f>maart2025!T54</f>
        <v>4414</v>
      </c>
      <c r="V54">
        <f>Tabel242567891011121314151716181921202223261415[[#This Row],[Stand Cappucino einde maand]]-Tabel242567891011121314151716181921202223261415[[#This Row],[Stand Cappucino vorige maand]]</f>
        <v>120</v>
      </c>
      <c r="W54" s="53">
        <v>918</v>
      </c>
      <c r="X54">
        <f>maart2025!W54</f>
        <v>892</v>
      </c>
      <c r="Y54">
        <f>Tabel242567891011121314151716181921202223261415[[#This Row],[Stand Cappucino Plantaardig einde maand]]-Tabel242567891011121314151716181921202223261415[[#This Row],[Stand Cappucino Plantaardig vorige maand]]</f>
        <v>26</v>
      </c>
      <c r="Z54" s="53">
        <v>252</v>
      </c>
      <c r="AA54">
        <f>maart2025!Z54</f>
        <v>251</v>
      </c>
      <c r="AB54">
        <f>Tabel242567891011121314151716181921202223261415[[#This Row],[Stand Latte Macchiato Plantaardig einde maand]]-Tabel242567891011121314151716181921202223261415[[#This Row],[Stand Latte Macchiato Plantaardig vorige maand]]</f>
        <v>1</v>
      </c>
      <c r="AC54" s="71">
        <f>Tabel242567891011121314151716181921202223261415[[#This Row],[Verbruik Stand Latte Macchiato Plantaardig deze maand]]+Tabel242567891011121314151716181921202223261415[[#This Row],[Verbruik  Cappucino Plantaardig deze maand]]+Tabel242567891011121314151716181921202223261415[[#This Row],[Verbruik Cappucino deze maand]]+Tabel242567891011121314151716181921202223261415[[#This Row],[Verbruik Hot Water deze maand]]+Tabel242567891011121314151716181921202223261415[[#This Row],[Verbruik Coffee Latte deze maand]]+Tabel242567891011121314151716181921202223261415[[#This Row],[Verbruik Latte Macchiato deze maand]]+Tabel242567891011121314151716181921202223261415[[#This Row],[Verbruik Espresso deze maand]]+Tabel242567891011121314151716181921202223261415[[#This Row],[Verbruik Coffee deze maand]]</f>
        <v>680</v>
      </c>
      <c r="AD54" s="53">
        <v>16.899999999999999</v>
      </c>
      <c r="AE54">
        <f>maart2025!AD54</f>
        <v>14.6</v>
      </c>
      <c r="AF54">
        <f>Tabel242567891011121314151716181921202223261415[[#This Row],[Stand Kamertemp liter einde maand]]-Tabel242567891011121314151716181921202223261415[[#This Row],[Stand Kamertemp liter vorige maand]]</f>
        <v>2.2999999999999989</v>
      </c>
      <c r="AG54" s="2">
        <f>Tabel242567891011121314151716181921202223261415[[#This Row],[Verbruik Kamertemp liter deze maand]]/0.15</f>
        <v>15.333333333333327</v>
      </c>
      <c r="AH54" s="53">
        <v>62.6</v>
      </c>
      <c r="AI54">
        <f>maart2025!AH54</f>
        <v>50.6</v>
      </c>
      <c r="AJ54">
        <f>Tabel242567891011121314151716181921202223261415[[#This Row],[Stand Gekoeld liter einde maand]]-Tabel242567891011121314151716181921202223261415[[#This Row],[Stand Gekoeld liter vorige maand]]</f>
        <v>12</v>
      </c>
      <c r="AK54" s="2">
        <f>Tabel242567891011121314151716181921202223261415[[#This Row],[Verbruik Gekoeld liter deze maand]]/0.15</f>
        <v>80</v>
      </c>
      <c r="AL54" s="53">
        <v>72.900000000000006</v>
      </c>
      <c r="AM54">
        <f>maart2025!AL54</f>
        <v>24.5</v>
      </c>
      <c r="AN54">
        <f>Tabel242567891011121314151716181921202223261415[[#This Row],[Stand Bruisend liter einde maand]]-Tabel242567891011121314151716181921202223261415[[#This Row],[Stand Bruisend liter vorige maand]]</f>
        <v>48.400000000000006</v>
      </c>
      <c r="AO54" s="2">
        <f>Tabel242567891011121314151716181921202223261415[[#This Row],[Verbruik Bruisend liter deze maand]]/0.15</f>
        <v>322.66666666666674</v>
      </c>
      <c r="AP54" s="53">
        <v>12.8</v>
      </c>
      <c r="AQ54">
        <f>maart2025!AP54</f>
        <v>6.7</v>
      </c>
      <c r="AR54">
        <f>Tabel242567891011121314151716181921202223261415[[#This Row],[Stand licht bruisend liter einde maand]]-Tabel242567891011121314151716181921202223261415[[#This Row],[Stand licht bruisend liter vorige maand]]</f>
        <v>6.1000000000000005</v>
      </c>
      <c r="AS54" s="2">
        <f>Tabel242567891011121314151716181921202223261415[[#This Row],[Verbruik licht bruisend liter deze maand]]/0.15</f>
        <v>40.666666666666671</v>
      </c>
      <c r="AT54" s="53">
        <v>172.9</v>
      </c>
      <c r="AU54">
        <f>maart2025!AT54</f>
        <v>137.5</v>
      </c>
      <c r="AV54">
        <f>Tabel242567891011121314151716181921202223261415[[#This Row],[Stand heet water liter einde maand]]-Tabel242567891011121314151716181921202223261415[[#This Row],[Stand heet water liter vorige maand]]</f>
        <v>35.400000000000006</v>
      </c>
      <c r="AW54" s="2">
        <f>Tabel242567891011121314151716181921202223261415[[#This Row],[Verbruik heet Water liter deze maand ]]/0.15</f>
        <v>236.00000000000006</v>
      </c>
      <c r="AX54" s="77">
        <f>Tabel242567891011121314151716181921202223261415[[#This Row],[Aantal consumpties heet water deze maand]]+Tabel242567891011121314151716181921202223261415[[#This Row],[Aantal consumpties licht bruisend water deze maand]]+Tabel242567891011121314151716181921202223261415[[#This Row],[aantal consumpties Bruisend water deze maand]]+Tabel242567891011121314151716181921202223261415[[#This Row],[Aantal consumpties gekoeld water deze maand]]+Tabel242567891011121314151716181921202223261415[[#This Row],[Aantal consumpties Kamertemp deze maand]]</f>
        <v>694.66666666666686</v>
      </c>
      <c r="AY54" s="95">
        <f>Tabel242567891011121314151716181921202223261415[[#This Row],[Subtotaal waterbar in consumpties]]+Tabel242567891011121314151716181921202223261415[[#This Row],[Subtotaal koffieautomaten]]</f>
        <v>1374.666666666667</v>
      </c>
    </row>
    <row r="55" spans="1:130" ht="14.45" customHeight="1" x14ac:dyDescent="0.25">
      <c r="A55" s="65" t="s">
        <v>48</v>
      </c>
      <c r="B55" t="s">
        <v>102</v>
      </c>
      <c r="C55" t="s">
        <v>31</v>
      </c>
      <c r="E55">
        <v>8258</v>
      </c>
      <c r="F55">
        <f>maart2025!E55</f>
        <v>7941</v>
      </c>
      <c r="G55">
        <f>Tabel242567891011121314151716181921202223261415[[#This Row],[Stand Coffee einde maand]]-Tabel242567891011121314151716181921202223261415[[#This Row],[Coffee vorige maand]]</f>
        <v>317</v>
      </c>
      <c r="H55" s="53">
        <v>2256</v>
      </c>
      <c r="I55">
        <f>maart2025!H55</f>
        <v>2241</v>
      </c>
      <c r="J55">
        <f>Tabel242567891011121314151716181921202223261415[[#This Row],[Stand Espresso Einde maand]]-Tabel242567891011121314151716181921202223261415[[#This Row],[Espresso vorige maand]]</f>
        <v>15</v>
      </c>
      <c r="K55" s="53">
        <v>711</v>
      </c>
      <c r="L55">
        <f>maart2025!K55</f>
        <v>633</v>
      </c>
      <c r="M55">
        <f>Tabel242567891011121314151716181921202223261415[[#This Row],[Stand Latte Macchiato einde maand]]-Tabel242567891011121314151716181921202223261415[[#This Row],[Latte Macchiato vorige maand]]</f>
        <v>78</v>
      </c>
      <c r="N55" s="53">
        <v>446</v>
      </c>
      <c r="O55">
        <f>maart2025!N55</f>
        <v>429</v>
      </c>
      <c r="P55">
        <f>Tabel242567891011121314151716181921202223261415[[#This Row],[Stand Coffee Latte einde maand]]-Tabel242567891011121314151716181921202223261415[[#This Row],[Coffee Latte vorige maand]]</f>
        <v>17</v>
      </c>
      <c r="Q55" s="53">
        <v>21160</v>
      </c>
      <c r="R55">
        <f>maart2025!Q55</f>
        <v>20322</v>
      </c>
      <c r="S55">
        <f>Tabel242567891011121314151716181921202223261415[[#This Row],[Stand Hot Water einde maand]]-Tabel242567891011121314151716181921202223261415[[#This Row],[Hot Water vorige maand]]</f>
        <v>838</v>
      </c>
      <c r="T55" s="53">
        <v>3681</v>
      </c>
      <c r="U55">
        <f>maart2025!T55</f>
        <v>3553</v>
      </c>
      <c r="V55">
        <f>Tabel242567891011121314151716181921202223261415[[#This Row],[Stand Cappucino einde maand]]-Tabel242567891011121314151716181921202223261415[[#This Row],[Stand Cappucino vorige maand]]</f>
        <v>128</v>
      </c>
      <c r="W55" s="53">
        <v>1814</v>
      </c>
      <c r="X55">
        <f>maart2025!W55</f>
        <v>1783</v>
      </c>
      <c r="Y55">
        <f>Tabel242567891011121314151716181921202223261415[[#This Row],[Stand Cappucino Plantaardig einde maand]]-Tabel242567891011121314151716181921202223261415[[#This Row],[Stand Cappucino Plantaardig vorige maand]]</f>
        <v>31</v>
      </c>
      <c r="Z55" s="53">
        <v>194</v>
      </c>
      <c r="AA55">
        <f>maart2025!Z55</f>
        <v>189</v>
      </c>
      <c r="AB55">
        <f>Tabel242567891011121314151716181921202223261415[[#This Row],[Stand Latte Macchiato Plantaardig einde maand]]-Tabel242567891011121314151716181921202223261415[[#This Row],[Stand Latte Macchiato Plantaardig vorige maand]]</f>
        <v>5</v>
      </c>
      <c r="AC55" s="71">
        <f>Tabel242567891011121314151716181921202223261415[[#This Row],[Verbruik Stand Latte Macchiato Plantaardig deze maand]]+Tabel242567891011121314151716181921202223261415[[#This Row],[Verbruik  Cappucino Plantaardig deze maand]]+Tabel242567891011121314151716181921202223261415[[#This Row],[Verbruik Cappucino deze maand]]+Tabel242567891011121314151716181921202223261415[[#This Row],[Verbruik Hot Water deze maand]]+Tabel242567891011121314151716181921202223261415[[#This Row],[Verbruik Coffee Latte deze maand]]+Tabel242567891011121314151716181921202223261415[[#This Row],[Verbruik Latte Macchiato deze maand]]+Tabel242567891011121314151716181921202223261415[[#This Row],[Verbruik Espresso deze maand]]+Tabel242567891011121314151716181921202223261415[[#This Row],[Verbruik Coffee deze maand]]</f>
        <v>1429</v>
      </c>
      <c r="AD55" s="69"/>
      <c r="AE55" s="41"/>
      <c r="AF55" s="5"/>
      <c r="AG55" s="5"/>
      <c r="AH55" s="75"/>
      <c r="AI55" s="41"/>
      <c r="AJ55" s="5"/>
      <c r="AK55" s="5"/>
      <c r="AL55" s="75"/>
      <c r="AM55" s="41"/>
      <c r="AN55" s="5"/>
      <c r="AO55" s="5"/>
      <c r="AP55" s="75"/>
      <c r="AQ55" s="41"/>
      <c r="AR55" s="5"/>
      <c r="AS55" s="5"/>
      <c r="AT55" s="75"/>
      <c r="AU55" s="41"/>
      <c r="AV55" s="5"/>
      <c r="AW55" s="5"/>
      <c r="AX55" s="79"/>
      <c r="AY55" s="95">
        <f>Tabel242567891011121314151716181921202223261415[[#This Row],[Subtotaal waterbar in consumpties]]+Tabel242567891011121314151716181921202223261415[[#This Row],[Subtotaal koffieautomaten]]</f>
        <v>1429</v>
      </c>
    </row>
    <row r="56" spans="1:130" ht="14.45" customHeight="1" x14ac:dyDescent="0.25">
      <c r="A56" s="65" t="s">
        <v>50</v>
      </c>
      <c r="B56" t="s">
        <v>103</v>
      </c>
      <c r="C56" t="s">
        <v>47</v>
      </c>
      <c r="E56">
        <v>8936</v>
      </c>
      <c r="F56">
        <f>maart2025!E56</f>
        <v>8781</v>
      </c>
      <c r="G56">
        <f>Tabel242567891011121314151716181921202223261415[[#This Row],[Stand Coffee einde maand]]-Tabel242567891011121314151716181921202223261415[[#This Row],[Coffee vorige maand]]</f>
        <v>155</v>
      </c>
      <c r="H56" s="53">
        <v>3792</v>
      </c>
      <c r="I56">
        <f>maart2025!H56</f>
        <v>3724</v>
      </c>
      <c r="J56">
        <f>Tabel242567891011121314151716181921202223261415[[#This Row],[Stand Espresso Einde maand]]-Tabel242567891011121314151716181921202223261415[[#This Row],[Espresso vorige maand]]</f>
        <v>68</v>
      </c>
      <c r="K56" s="53">
        <v>307</v>
      </c>
      <c r="L56">
        <f>maart2025!K56</f>
        <v>293</v>
      </c>
      <c r="M56">
        <f>Tabel242567891011121314151716181921202223261415[[#This Row],[Stand Latte Macchiato einde maand]]-Tabel242567891011121314151716181921202223261415[[#This Row],[Latte Macchiato vorige maand]]</f>
        <v>14</v>
      </c>
      <c r="N56" s="53">
        <v>128</v>
      </c>
      <c r="O56">
        <f>maart2025!N56</f>
        <v>126</v>
      </c>
      <c r="P56">
        <f>Tabel242567891011121314151716181921202223261415[[#This Row],[Stand Coffee Latte einde maand]]-Tabel242567891011121314151716181921202223261415[[#This Row],[Coffee Latte vorige maand]]</f>
        <v>2</v>
      </c>
      <c r="Q56" s="53">
        <v>1</v>
      </c>
      <c r="R56">
        <f>maart2025!Q56</f>
        <v>1</v>
      </c>
      <c r="S56">
        <f>Tabel242567891011121314151716181921202223261415[[#This Row],[Stand Hot Water einde maand]]-Tabel242567891011121314151716181921202223261415[[#This Row],[Hot Water vorige maand]]</f>
        <v>0</v>
      </c>
      <c r="T56" s="53">
        <v>6831</v>
      </c>
      <c r="U56">
        <f>maart2025!T56</f>
        <v>6704</v>
      </c>
      <c r="V56">
        <f>Tabel242567891011121314151716181921202223261415[[#This Row],[Stand Cappucino einde maand]]-Tabel242567891011121314151716181921202223261415[[#This Row],[Stand Cappucino vorige maand]]</f>
        <v>127</v>
      </c>
      <c r="W56" s="53">
        <v>607</v>
      </c>
      <c r="X56">
        <f>maart2025!W56</f>
        <v>597</v>
      </c>
      <c r="Y56">
        <f>Tabel242567891011121314151716181921202223261415[[#This Row],[Stand Cappucino Plantaardig einde maand]]-Tabel242567891011121314151716181921202223261415[[#This Row],[Stand Cappucino Plantaardig vorige maand]]</f>
        <v>10</v>
      </c>
      <c r="Z56" s="53">
        <v>125</v>
      </c>
      <c r="AA56">
        <f>maart2025!Z56</f>
        <v>125</v>
      </c>
      <c r="AB56">
        <f>Tabel242567891011121314151716181921202223261415[[#This Row],[Stand Latte Macchiato Plantaardig einde maand]]-Tabel242567891011121314151716181921202223261415[[#This Row],[Stand Latte Macchiato Plantaardig vorige maand]]</f>
        <v>0</v>
      </c>
      <c r="AC56" s="71">
        <f>Tabel242567891011121314151716181921202223261415[[#This Row],[Verbruik Stand Latte Macchiato Plantaardig deze maand]]+Tabel242567891011121314151716181921202223261415[[#This Row],[Verbruik  Cappucino Plantaardig deze maand]]+Tabel242567891011121314151716181921202223261415[[#This Row],[Verbruik Cappucino deze maand]]+Tabel242567891011121314151716181921202223261415[[#This Row],[Verbruik Hot Water deze maand]]+Tabel242567891011121314151716181921202223261415[[#This Row],[Verbruik Coffee Latte deze maand]]+Tabel242567891011121314151716181921202223261415[[#This Row],[Verbruik Latte Macchiato deze maand]]+Tabel242567891011121314151716181921202223261415[[#This Row],[Verbruik Espresso deze maand]]+Tabel242567891011121314151716181921202223261415[[#This Row],[Verbruik Coffee deze maand]]</f>
        <v>376</v>
      </c>
      <c r="AD56" s="53">
        <v>61.4</v>
      </c>
      <c r="AE56">
        <f>maart2025!AD56</f>
        <v>51.6</v>
      </c>
      <c r="AF56">
        <f>Tabel242567891011121314151716181921202223261415[[#This Row],[Stand Kamertemp liter einde maand]]-Tabel242567891011121314151716181921202223261415[[#This Row],[Stand Kamertemp liter vorige maand]]</f>
        <v>9.7999999999999972</v>
      </c>
      <c r="AG56" s="2">
        <f>Tabel242567891011121314151716181921202223261415[[#This Row],[Verbruik Kamertemp liter deze maand]]/0.15</f>
        <v>65.333333333333314</v>
      </c>
      <c r="AH56" s="53">
        <v>401.2</v>
      </c>
      <c r="AI56">
        <f>maart2025!AH56</f>
        <v>325.7</v>
      </c>
      <c r="AJ56">
        <f>Tabel242567891011121314151716181921202223261415[[#This Row],[Stand Gekoeld liter einde maand]]-Tabel242567891011121314151716181921202223261415[[#This Row],[Stand Gekoeld liter vorige maand]]</f>
        <v>75.5</v>
      </c>
      <c r="AK56" s="2">
        <f>Tabel242567891011121314151716181921202223261415[[#This Row],[Verbruik Gekoeld liter deze maand]]/0.15</f>
        <v>503.33333333333337</v>
      </c>
      <c r="AL56" s="53">
        <v>422.6</v>
      </c>
      <c r="AM56">
        <f>maart2025!AL56</f>
        <v>356.7</v>
      </c>
      <c r="AN56">
        <f>Tabel242567891011121314151716181921202223261415[[#This Row],[Stand Bruisend liter einde maand]]-Tabel242567891011121314151716181921202223261415[[#This Row],[Stand Bruisend liter vorige maand]]</f>
        <v>65.900000000000034</v>
      </c>
      <c r="AO56" s="2">
        <f>Tabel242567891011121314151716181921202223261415[[#This Row],[Verbruik Bruisend liter deze maand]]/0.15</f>
        <v>439.3333333333336</v>
      </c>
      <c r="AP56" s="53">
        <v>151.30000000000001</v>
      </c>
      <c r="AQ56">
        <f>maart2025!AP56</f>
        <v>117.4</v>
      </c>
      <c r="AR56">
        <f>Tabel242567891011121314151716181921202223261415[[#This Row],[Stand licht bruisend liter einde maand]]-Tabel242567891011121314151716181921202223261415[[#This Row],[Stand licht bruisend liter vorige maand]]</f>
        <v>33.900000000000006</v>
      </c>
      <c r="AS56" s="2">
        <f>Tabel242567891011121314151716181921202223261415[[#This Row],[Verbruik licht bruisend liter deze maand]]/0.15</f>
        <v>226.00000000000006</v>
      </c>
      <c r="AT56" s="53">
        <v>1546.7</v>
      </c>
      <c r="AU56">
        <f>maart2025!AT56</f>
        <v>1295.7</v>
      </c>
      <c r="AV56">
        <f>Tabel242567891011121314151716181921202223261415[[#This Row],[Stand heet water liter einde maand]]-Tabel242567891011121314151716181921202223261415[[#This Row],[Stand heet water liter vorige maand]]</f>
        <v>251</v>
      </c>
      <c r="AW56" s="2">
        <f>Tabel242567891011121314151716181921202223261415[[#This Row],[Verbruik heet Water liter deze maand ]]/0.15</f>
        <v>1673.3333333333335</v>
      </c>
      <c r="AX56" s="77">
        <f>Tabel242567891011121314151716181921202223261415[[#This Row],[Aantal consumpties heet water deze maand]]+Tabel242567891011121314151716181921202223261415[[#This Row],[Aantal consumpties licht bruisend water deze maand]]+Tabel242567891011121314151716181921202223261415[[#This Row],[aantal consumpties Bruisend water deze maand]]+Tabel242567891011121314151716181921202223261415[[#This Row],[Aantal consumpties gekoeld water deze maand]]+Tabel242567891011121314151716181921202223261415[[#This Row],[Aantal consumpties Kamertemp deze maand]]</f>
        <v>2907.3333333333339</v>
      </c>
      <c r="AY56" s="95">
        <f>Tabel242567891011121314151716181921202223261415[[#This Row],[Subtotaal waterbar in consumpties]]+Tabel242567891011121314151716181921202223261415[[#This Row],[Subtotaal koffieautomaten]]</f>
        <v>3283.3333333333339</v>
      </c>
    </row>
    <row r="57" spans="1:130" ht="14.45" customHeight="1" x14ac:dyDescent="0.25">
      <c r="A57" s="65" t="s">
        <v>52</v>
      </c>
      <c r="B57" t="s">
        <v>104</v>
      </c>
      <c r="C57" t="s">
        <v>47</v>
      </c>
      <c r="E57">
        <v>4107</v>
      </c>
      <c r="F57">
        <f>maart2025!E57</f>
        <v>3886</v>
      </c>
      <c r="G57">
        <f>Tabel242567891011121314151716181921202223261415[[#This Row],[Stand Coffee einde maand]]-Tabel242567891011121314151716181921202223261415[[#This Row],[Coffee vorige maand]]</f>
        <v>221</v>
      </c>
      <c r="H57" s="53">
        <v>714</v>
      </c>
      <c r="I57">
        <f>maart2025!H57</f>
        <v>701</v>
      </c>
      <c r="J57">
        <f>Tabel242567891011121314151716181921202223261415[[#This Row],[Stand Espresso Einde maand]]-Tabel242567891011121314151716181921202223261415[[#This Row],[Espresso vorige maand]]</f>
        <v>13</v>
      </c>
      <c r="K57" s="53">
        <v>386</v>
      </c>
      <c r="L57">
        <f>maart2025!K57</f>
        <v>366</v>
      </c>
      <c r="M57">
        <f>Tabel242567891011121314151716181921202223261415[[#This Row],[Stand Latte Macchiato einde maand]]-Tabel242567891011121314151716181921202223261415[[#This Row],[Latte Macchiato vorige maand]]</f>
        <v>20</v>
      </c>
      <c r="N57" s="53">
        <v>816</v>
      </c>
      <c r="O57">
        <f>maart2025!N57</f>
        <v>746</v>
      </c>
      <c r="P57">
        <f>Tabel242567891011121314151716181921202223261415[[#This Row],[Stand Coffee Latte einde maand]]-Tabel242567891011121314151716181921202223261415[[#This Row],[Coffee Latte vorige maand]]</f>
        <v>70</v>
      </c>
      <c r="Q57" s="53">
        <v>776</v>
      </c>
      <c r="R57">
        <f>maart2025!Q57</f>
        <v>759</v>
      </c>
      <c r="S57">
        <f>Tabel242567891011121314151716181921202223261415[[#This Row],[Stand Hot Water einde maand]]-Tabel242567891011121314151716181921202223261415[[#This Row],[Hot Water vorige maand]]</f>
        <v>17</v>
      </c>
      <c r="T57" s="53">
        <v>4012</v>
      </c>
      <c r="U57">
        <f>maart2025!T57</f>
        <v>3733</v>
      </c>
      <c r="V57">
        <f>Tabel242567891011121314151716181921202223261415[[#This Row],[Stand Cappucino einde maand]]-Tabel242567891011121314151716181921202223261415[[#This Row],[Stand Cappucino vorige maand]]</f>
        <v>279</v>
      </c>
      <c r="W57" s="53">
        <v>734</v>
      </c>
      <c r="X57">
        <f>maart2025!W57</f>
        <v>687</v>
      </c>
      <c r="Y57">
        <f>Tabel242567891011121314151716181921202223261415[[#This Row],[Stand Cappucino Plantaardig einde maand]]-Tabel242567891011121314151716181921202223261415[[#This Row],[Stand Cappucino Plantaardig vorige maand]]</f>
        <v>47</v>
      </c>
      <c r="Z57" s="53">
        <v>77</v>
      </c>
      <c r="AA57">
        <f>maart2025!Z57</f>
        <v>74</v>
      </c>
      <c r="AB57">
        <f>Tabel242567891011121314151716181921202223261415[[#This Row],[Stand Latte Macchiato Plantaardig einde maand]]-Tabel242567891011121314151716181921202223261415[[#This Row],[Stand Latte Macchiato Plantaardig vorige maand]]</f>
        <v>3</v>
      </c>
      <c r="AC57" s="71">
        <f>Tabel242567891011121314151716181921202223261415[[#This Row],[Verbruik Stand Latte Macchiato Plantaardig deze maand]]+Tabel242567891011121314151716181921202223261415[[#This Row],[Verbruik  Cappucino Plantaardig deze maand]]+Tabel242567891011121314151716181921202223261415[[#This Row],[Verbruik Cappucino deze maand]]+Tabel242567891011121314151716181921202223261415[[#This Row],[Verbruik Hot Water deze maand]]+Tabel242567891011121314151716181921202223261415[[#This Row],[Verbruik Coffee Latte deze maand]]+Tabel242567891011121314151716181921202223261415[[#This Row],[Verbruik Latte Macchiato deze maand]]+Tabel242567891011121314151716181921202223261415[[#This Row],[Verbruik Espresso deze maand]]+Tabel242567891011121314151716181921202223261415[[#This Row],[Verbruik Coffee deze maand]]</f>
        <v>670</v>
      </c>
      <c r="AD57" s="53">
        <v>15.1</v>
      </c>
      <c r="AE57">
        <f>maart2025!AD57</f>
        <v>13.1</v>
      </c>
      <c r="AF57">
        <f>Tabel242567891011121314151716181921202223261415[[#This Row],[Stand Kamertemp liter einde maand]]-Tabel242567891011121314151716181921202223261415[[#This Row],[Stand Kamertemp liter vorige maand]]</f>
        <v>2</v>
      </c>
      <c r="AG57" s="2">
        <f>Tabel242567891011121314151716181921202223261415[[#This Row],[Verbruik Kamertemp liter deze maand]]/0.15</f>
        <v>13.333333333333334</v>
      </c>
      <c r="AH57" s="53">
        <v>208.8</v>
      </c>
      <c r="AI57">
        <f>maart2025!AH57</f>
        <v>117.5</v>
      </c>
      <c r="AJ57">
        <f>Tabel242567891011121314151716181921202223261415[[#This Row],[Stand Gekoeld liter einde maand]]-Tabel242567891011121314151716181921202223261415[[#This Row],[Stand Gekoeld liter vorige maand]]</f>
        <v>91.300000000000011</v>
      </c>
      <c r="AK57" s="2">
        <f>Tabel242567891011121314151716181921202223261415[[#This Row],[Verbruik Gekoeld liter deze maand]]/0.15</f>
        <v>608.66666666666674</v>
      </c>
      <c r="AL57" s="53">
        <v>101.2</v>
      </c>
      <c r="AM57">
        <f>maart2025!AL57</f>
        <v>56.6</v>
      </c>
      <c r="AN57">
        <f>Tabel242567891011121314151716181921202223261415[[#This Row],[Stand Bruisend liter einde maand]]-Tabel242567891011121314151716181921202223261415[[#This Row],[Stand Bruisend liter vorige maand]]</f>
        <v>44.6</v>
      </c>
      <c r="AO57" s="2">
        <f>Tabel242567891011121314151716181921202223261415[[#This Row],[Verbruik Bruisend liter deze maand]]/0.15</f>
        <v>297.33333333333337</v>
      </c>
      <c r="AP57" s="53">
        <v>28.6</v>
      </c>
      <c r="AQ57">
        <f>maart2025!AP57</f>
        <v>18.399999999999999</v>
      </c>
      <c r="AR57">
        <f>Tabel242567891011121314151716181921202223261415[[#This Row],[Stand licht bruisend liter einde maand]]-Tabel242567891011121314151716181921202223261415[[#This Row],[Stand licht bruisend liter vorige maand]]</f>
        <v>10.200000000000003</v>
      </c>
      <c r="AS57" s="2">
        <f>Tabel242567891011121314151716181921202223261415[[#This Row],[Verbruik licht bruisend liter deze maand]]/0.15</f>
        <v>68.000000000000028</v>
      </c>
      <c r="AT57" s="53">
        <v>711</v>
      </c>
      <c r="AU57">
        <f>maart2025!AT57</f>
        <v>460.4</v>
      </c>
      <c r="AV57">
        <f>Tabel242567891011121314151716181921202223261415[[#This Row],[Stand heet water liter einde maand]]-Tabel242567891011121314151716181921202223261415[[#This Row],[Stand heet water liter vorige maand]]</f>
        <v>250.60000000000002</v>
      </c>
      <c r="AW57" s="2">
        <f>Tabel242567891011121314151716181921202223261415[[#This Row],[Verbruik heet Water liter deze maand ]]/0.15</f>
        <v>1670.666666666667</v>
      </c>
      <c r="AX57" s="77">
        <f>Tabel242567891011121314151716181921202223261415[[#This Row],[Aantal consumpties heet water deze maand]]+Tabel242567891011121314151716181921202223261415[[#This Row],[Aantal consumpties licht bruisend water deze maand]]+Tabel242567891011121314151716181921202223261415[[#This Row],[aantal consumpties Bruisend water deze maand]]+Tabel242567891011121314151716181921202223261415[[#This Row],[Aantal consumpties gekoeld water deze maand]]+Tabel242567891011121314151716181921202223261415[[#This Row],[Aantal consumpties Kamertemp deze maand]]</f>
        <v>2658.0000000000005</v>
      </c>
      <c r="AY57" s="95">
        <f>Tabel242567891011121314151716181921202223261415[[#This Row],[Subtotaal waterbar in consumpties]]+Tabel242567891011121314151716181921202223261415[[#This Row],[Subtotaal koffieautomaten]]</f>
        <v>3328.0000000000005</v>
      </c>
    </row>
    <row r="58" spans="1:130" ht="14.45" customHeight="1" x14ac:dyDescent="0.25">
      <c r="A58" s="65" t="s">
        <v>54</v>
      </c>
      <c r="B58" t="s">
        <v>105</v>
      </c>
      <c r="C58" t="s">
        <v>31</v>
      </c>
      <c r="E58">
        <v>7711</v>
      </c>
      <c r="F58">
        <f>maart2025!E58</f>
        <v>7527</v>
      </c>
      <c r="G58">
        <f>Tabel242567891011121314151716181921202223261415[[#This Row],[Stand Coffee einde maand]]-Tabel242567891011121314151716181921202223261415[[#This Row],[Coffee vorige maand]]</f>
        <v>184</v>
      </c>
      <c r="H58" s="53">
        <v>3362</v>
      </c>
      <c r="I58">
        <f>maart2025!H58</f>
        <v>3249</v>
      </c>
      <c r="J58">
        <f>Tabel242567891011121314151716181921202223261415[[#This Row],[Stand Espresso Einde maand]]-Tabel242567891011121314151716181921202223261415[[#This Row],[Espresso vorige maand]]</f>
        <v>113</v>
      </c>
      <c r="K58" s="53">
        <v>3265</v>
      </c>
      <c r="L58">
        <f>maart2025!K58</f>
        <v>3221</v>
      </c>
      <c r="M58">
        <f>Tabel242567891011121314151716181921202223261415[[#This Row],[Stand Latte Macchiato einde maand]]-Tabel242567891011121314151716181921202223261415[[#This Row],[Latte Macchiato vorige maand]]</f>
        <v>44</v>
      </c>
      <c r="N58" s="53">
        <v>945</v>
      </c>
      <c r="O58">
        <f>maart2025!N58</f>
        <v>891</v>
      </c>
      <c r="P58">
        <f>Tabel242567891011121314151716181921202223261415[[#This Row],[Stand Coffee Latte einde maand]]-Tabel242567891011121314151716181921202223261415[[#This Row],[Coffee Latte vorige maand]]</f>
        <v>54</v>
      </c>
      <c r="Q58" s="53">
        <v>33833</v>
      </c>
      <c r="R58">
        <f>maart2025!Q58</f>
        <v>32864</v>
      </c>
      <c r="S58">
        <f>Tabel242567891011121314151716181921202223261415[[#This Row],[Stand Hot Water einde maand]]-Tabel242567891011121314151716181921202223261415[[#This Row],[Hot Water vorige maand]]</f>
        <v>969</v>
      </c>
      <c r="T58" s="53">
        <v>6126</v>
      </c>
      <c r="U58">
        <f>maart2025!T58</f>
        <v>5929</v>
      </c>
      <c r="V58">
        <f>Tabel242567891011121314151716181921202223261415[[#This Row],[Stand Cappucino einde maand]]-Tabel242567891011121314151716181921202223261415[[#This Row],[Stand Cappucino vorige maand]]</f>
        <v>197</v>
      </c>
      <c r="W58" s="53">
        <v>1068</v>
      </c>
      <c r="X58">
        <f>maart2025!W58</f>
        <v>1057</v>
      </c>
      <c r="Y58">
        <f>Tabel242567891011121314151716181921202223261415[[#This Row],[Stand Cappucino Plantaardig einde maand]]-Tabel242567891011121314151716181921202223261415[[#This Row],[Stand Cappucino Plantaardig vorige maand]]</f>
        <v>11</v>
      </c>
      <c r="Z58" s="53">
        <v>248</v>
      </c>
      <c r="AA58">
        <f>maart2025!Z58</f>
        <v>245</v>
      </c>
      <c r="AB58">
        <f>Tabel242567891011121314151716181921202223261415[[#This Row],[Stand Latte Macchiato Plantaardig einde maand]]-Tabel242567891011121314151716181921202223261415[[#This Row],[Stand Latte Macchiato Plantaardig vorige maand]]</f>
        <v>3</v>
      </c>
      <c r="AC58" s="71">
        <f>Tabel242567891011121314151716181921202223261415[[#This Row],[Verbruik Stand Latte Macchiato Plantaardig deze maand]]+Tabel242567891011121314151716181921202223261415[[#This Row],[Verbruik  Cappucino Plantaardig deze maand]]+Tabel242567891011121314151716181921202223261415[[#This Row],[Verbruik Cappucino deze maand]]+Tabel242567891011121314151716181921202223261415[[#This Row],[Verbruik Hot Water deze maand]]+Tabel242567891011121314151716181921202223261415[[#This Row],[Verbruik Coffee Latte deze maand]]+Tabel242567891011121314151716181921202223261415[[#This Row],[Verbruik Latte Macchiato deze maand]]+Tabel242567891011121314151716181921202223261415[[#This Row],[Verbruik Espresso deze maand]]+Tabel242567891011121314151716181921202223261415[[#This Row],[Verbruik Coffee deze maand]]</f>
        <v>1575</v>
      </c>
      <c r="AD58" s="69"/>
      <c r="AE58" s="41"/>
      <c r="AF58" s="5"/>
      <c r="AG58" s="5"/>
      <c r="AH58" s="75"/>
      <c r="AI58" s="41"/>
      <c r="AJ58" s="5"/>
      <c r="AK58" s="5"/>
      <c r="AL58" s="75"/>
      <c r="AM58" s="41"/>
      <c r="AN58" s="5"/>
      <c r="AO58" s="5"/>
      <c r="AP58" s="75"/>
      <c r="AQ58" s="41"/>
      <c r="AR58" s="5"/>
      <c r="AS58" s="5"/>
      <c r="AT58" s="75"/>
      <c r="AU58" s="41"/>
      <c r="AV58" s="5"/>
      <c r="AW58" s="5"/>
      <c r="AX58" s="79"/>
      <c r="AY58" s="95">
        <f>Tabel242567891011121314151716181921202223261415[[#This Row],[Subtotaal waterbar in consumpties]]+Tabel242567891011121314151716181921202223261415[[#This Row],[Subtotaal koffieautomaten]]</f>
        <v>1575</v>
      </c>
    </row>
    <row r="59" spans="1:130" ht="14.45" customHeight="1" x14ac:dyDescent="0.25">
      <c r="A59" s="65" t="s">
        <v>56</v>
      </c>
      <c r="B59" t="s">
        <v>106</v>
      </c>
      <c r="C59" t="s">
        <v>47</v>
      </c>
      <c r="E59">
        <v>11701</v>
      </c>
      <c r="F59">
        <f>maart2025!E59</f>
        <v>11310</v>
      </c>
      <c r="G59">
        <f>Tabel242567891011121314151716181921202223261415[[#This Row],[Stand Coffee einde maand]]-Tabel242567891011121314151716181921202223261415[[#This Row],[Coffee vorige maand]]</f>
        <v>391</v>
      </c>
      <c r="H59" s="53">
        <v>3288</v>
      </c>
      <c r="I59">
        <f>maart2025!H59</f>
        <v>3160</v>
      </c>
      <c r="J59">
        <f>Tabel242567891011121314151716181921202223261415[[#This Row],[Stand Espresso Einde maand]]-Tabel242567891011121314151716181921202223261415[[#This Row],[Espresso vorige maand]]</f>
        <v>128</v>
      </c>
      <c r="K59" s="53">
        <v>3221</v>
      </c>
      <c r="L59">
        <f>maart2025!K59</f>
        <v>3129</v>
      </c>
      <c r="M59">
        <f>Tabel242567891011121314151716181921202223261415[[#This Row],[Stand Latte Macchiato einde maand]]-Tabel242567891011121314151716181921202223261415[[#This Row],[Latte Macchiato vorige maand]]</f>
        <v>92</v>
      </c>
      <c r="N59" s="53">
        <v>355</v>
      </c>
      <c r="O59">
        <f>maart2025!N59</f>
        <v>338</v>
      </c>
      <c r="P59">
        <f>Tabel242567891011121314151716181921202223261415[[#This Row],[Stand Coffee Latte einde maand]]-Tabel242567891011121314151716181921202223261415[[#This Row],[Coffee Latte vorige maand]]</f>
        <v>17</v>
      </c>
      <c r="Q59" s="53">
        <v>1</v>
      </c>
      <c r="R59">
        <f>maart2025!Q59</f>
        <v>1</v>
      </c>
      <c r="S59">
        <f>Tabel242567891011121314151716181921202223261415[[#This Row],[Stand Hot Water einde maand]]-Tabel242567891011121314151716181921202223261415[[#This Row],[Hot Water vorige maand]]</f>
        <v>0</v>
      </c>
      <c r="T59" s="53">
        <v>6380</v>
      </c>
      <c r="U59">
        <f>maart2025!T59</f>
        <v>6137</v>
      </c>
      <c r="V59">
        <f>Tabel242567891011121314151716181921202223261415[[#This Row],[Stand Cappucino einde maand]]-Tabel242567891011121314151716181921202223261415[[#This Row],[Stand Cappucino vorige maand]]</f>
        <v>243</v>
      </c>
      <c r="W59" s="53">
        <v>1268</v>
      </c>
      <c r="X59">
        <f>maart2025!W59</f>
        <v>1241</v>
      </c>
      <c r="Y59">
        <f>Tabel242567891011121314151716181921202223261415[[#This Row],[Stand Cappucino Plantaardig einde maand]]-Tabel242567891011121314151716181921202223261415[[#This Row],[Stand Cappucino Plantaardig vorige maand]]</f>
        <v>27</v>
      </c>
      <c r="Z59" s="53">
        <v>173</v>
      </c>
      <c r="AA59">
        <f>maart2025!Z59</f>
        <v>170</v>
      </c>
      <c r="AB59">
        <f>Tabel242567891011121314151716181921202223261415[[#This Row],[Stand Latte Macchiato Plantaardig einde maand]]-Tabel242567891011121314151716181921202223261415[[#This Row],[Stand Latte Macchiato Plantaardig vorige maand]]</f>
        <v>3</v>
      </c>
      <c r="AC59" s="71">
        <f>Tabel242567891011121314151716181921202223261415[[#This Row],[Verbruik Stand Latte Macchiato Plantaardig deze maand]]+Tabel242567891011121314151716181921202223261415[[#This Row],[Verbruik  Cappucino Plantaardig deze maand]]+Tabel242567891011121314151716181921202223261415[[#This Row],[Verbruik Cappucino deze maand]]+Tabel242567891011121314151716181921202223261415[[#This Row],[Verbruik Hot Water deze maand]]+Tabel242567891011121314151716181921202223261415[[#This Row],[Verbruik Coffee Latte deze maand]]+Tabel242567891011121314151716181921202223261415[[#This Row],[Verbruik Latte Macchiato deze maand]]+Tabel242567891011121314151716181921202223261415[[#This Row],[Verbruik Espresso deze maand]]+Tabel242567891011121314151716181921202223261415[[#This Row],[Verbruik Coffee deze maand]]</f>
        <v>901</v>
      </c>
      <c r="AD59" s="53">
        <v>353.9</v>
      </c>
      <c r="AE59">
        <f>maart2025!AD59</f>
        <v>341</v>
      </c>
      <c r="AF59">
        <f>Tabel242567891011121314151716181921202223261415[[#This Row],[Stand Kamertemp liter einde maand]]-Tabel242567891011121314151716181921202223261415[[#This Row],[Stand Kamertemp liter vorige maand]]</f>
        <v>12.899999999999977</v>
      </c>
      <c r="AG59" s="2">
        <f>Tabel242567891011121314151716181921202223261415[[#This Row],[Verbruik Kamertemp liter deze maand]]/0.15</f>
        <v>85.999999999999858</v>
      </c>
      <c r="AH59" s="53">
        <v>3078.2</v>
      </c>
      <c r="AI59">
        <f>maart2025!AH59</f>
        <v>2916.7</v>
      </c>
      <c r="AJ59">
        <f>Tabel242567891011121314151716181921202223261415[[#This Row],[Stand Gekoeld liter einde maand]]-Tabel242567891011121314151716181921202223261415[[#This Row],[Stand Gekoeld liter vorige maand]]</f>
        <v>161.5</v>
      </c>
      <c r="AK59" s="2">
        <f>Tabel242567891011121314151716181921202223261415[[#This Row],[Verbruik Gekoeld liter deze maand]]/0.15</f>
        <v>1076.6666666666667</v>
      </c>
      <c r="AL59" s="53">
        <v>2159.3000000000002</v>
      </c>
      <c r="AM59">
        <f>maart2025!AL59</f>
        <v>2053.4</v>
      </c>
      <c r="AN59">
        <f>Tabel242567891011121314151716181921202223261415[[#This Row],[Stand Bruisend liter einde maand]]-Tabel242567891011121314151716181921202223261415[[#This Row],[Stand Bruisend liter vorige maand]]</f>
        <v>105.90000000000009</v>
      </c>
      <c r="AO59" s="2">
        <f>Tabel242567891011121314151716181921202223261415[[#This Row],[Verbruik Bruisend liter deze maand]]/0.15</f>
        <v>706.00000000000068</v>
      </c>
      <c r="AP59" s="53">
        <v>1226.9000000000001</v>
      </c>
      <c r="AQ59">
        <f>maart2025!AP59</f>
        <v>1177</v>
      </c>
      <c r="AR59">
        <f>Tabel242567891011121314151716181921202223261415[[#This Row],[Stand licht bruisend liter einde maand]]-Tabel242567891011121314151716181921202223261415[[#This Row],[Stand licht bruisend liter vorige maand]]</f>
        <v>49.900000000000091</v>
      </c>
      <c r="AS59" s="2">
        <f>Tabel242567891011121314151716181921202223261415[[#This Row],[Verbruik licht bruisend liter deze maand]]/0.15</f>
        <v>332.66666666666731</v>
      </c>
      <c r="AT59" s="53">
        <v>8221.7000000000007</v>
      </c>
      <c r="AU59">
        <f>maart2025!AT59</f>
        <v>8011.4</v>
      </c>
      <c r="AV59">
        <f>Tabel242567891011121314151716181921202223261415[[#This Row],[Stand heet water liter einde maand]]-Tabel242567891011121314151716181921202223261415[[#This Row],[Stand heet water liter vorige maand]]</f>
        <v>210.30000000000109</v>
      </c>
      <c r="AW59" s="2">
        <f>Tabel242567891011121314151716181921202223261415[[#This Row],[Verbruik heet Water liter deze maand ]]/0.15</f>
        <v>1402.0000000000073</v>
      </c>
      <c r="AX59" s="77">
        <f>Tabel242567891011121314151716181921202223261415[[#This Row],[Aantal consumpties heet water deze maand]]+Tabel242567891011121314151716181921202223261415[[#This Row],[Aantal consumpties licht bruisend water deze maand]]+Tabel242567891011121314151716181921202223261415[[#This Row],[aantal consumpties Bruisend water deze maand]]+Tabel242567891011121314151716181921202223261415[[#This Row],[Aantal consumpties gekoeld water deze maand]]+Tabel242567891011121314151716181921202223261415[[#This Row],[Aantal consumpties Kamertemp deze maand]]</f>
        <v>3603.3333333333421</v>
      </c>
      <c r="AY59" s="95">
        <f>Tabel242567891011121314151716181921202223261415[[#This Row],[Subtotaal waterbar in consumpties]]+Tabel242567891011121314151716181921202223261415[[#This Row],[Subtotaal koffieautomaten]]</f>
        <v>4504.3333333333421</v>
      </c>
    </row>
    <row r="60" spans="1:130" ht="14.45" customHeight="1" x14ac:dyDescent="0.25">
      <c r="A60" s="65" t="s">
        <v>58</v>
      </c>
      <c r="B60" t="s">
        <v>107</v>
      </c>
      <c r="C60" t="s">
        <v>31</v>
      </c>
      <c r="E60">
        <v>12406</v>
      </c>
      <c r="F60">
        <f>maart2025!E60</f>
        <v>11889</v>
      </c>
      <c r="G60">
        <f>Tabel242567891011121314151716181921202223261415[[#This Row],[Stand Coffee einde maand]]-Tabel242567891011121314151716181921202223261415[[#This Row],[Coffee vorige maand]]</f>
        <v>517</v>
      </c>
      <c r="H60" s="53">
        <v>2365</v>
      </c>
      <c r="I60">
        <f>maart2025!H60</f>
        <v>2266</v>
      </c>
      <c r="J60">
        <f>Tabel242567891011121314151716181921202223261415[[#This Row],[Stand Espresso Einde maand]]-Tabel242567891011121314151716181921202223261415[[#This Row],[Espresso vorige maand]]</f>
        <v>99</v>
      </c>
      <c r="K60" s="53">
        <v>1972</v>
      </c>
      <c r="L60">
        <f>maart2025!K60</f>
        <v>1895</v>
      </c>
      <c r="M60">
        <f>Tabel242567891011121314151716181921202223261415[[#This Row],[Stand Latte Macchiato einde maand]]-Tabel242567891011121314151716181921202223261415[[#This Row],[Latte Macchiato vorige maand]]</f>
        <v>77</v>
      </c>
      <c r="N60" s="53">
        <v>337</v>
      </c>
      <c r="O60">
        <f>maart2025!N60</f>
        <v>322</v>
      </c>
      <c r="P60">
        <f>Tabel242567891011121314151716181921202223261415[[#This Row],[Stand Coffee Latte einde maand]]-Tabel242567891011121314151716181921202223261415[[#This Row],[Coffee Latte vorige maand]]</f>
        <v>15</v>
      </c>
      <c r="Q60" s="53">
        <v>24194</v>
      </c>
      <c r="R60">
        <f>maart2025!Q60</f>
        <v>23329</v>
      </c>
      <c r="S60">
        <f>Tabel242567891011121314151716181921202223261415[[#This Row],[Stand Hot Water einde maand]]-Tabel242567891011121314151716181921202223261415[[#This Row],[Hot Water vorige maand]]</f>
        <v>865</v>
      </c>
      <c r="T60" s="53">
        <v>3450</v>
      </c>
      <c r="U60">
        <f>maart2025!T60</f>
        <v>3326</v>
      </c>
      <c r="V60">
        <f>Tabel242567891011121314151716181921202223261415[[#This Row],[Stand Cappucino einde maand]]-Tabel242567891011121314151716181921202223261415[[#This Row],[Stand Cappucino vorige maand]]</f>
        <v>124</v>
      </c>
      <c r="W60" s="53">
        <v>2203</v>
      </c>
      <c r="X60">
        <f>maart2025!W60</f>
        <v>2113</v>
      </c>
      <c r="Y60">
        <f>Tabel242567891011121314151716181921202223261415[[#This Row],[Stand Cappucino Plantaardig einde maand]]-Tabel242567891011121314151716181921202223261415[[#This Row],[Stand Cappucino Plantaardig vorige maand]]</f>
        <v>90</v>
      </c>
      <c r="Z60" s="53">
        <v>463</v>
      </c>
      <c r="AA60">
        <f>maart2025!Z60</f>
        <v>447</v>
      </c>
      <c r="AB60">
        <f>Tabel242567891011121314151716181921202223261415[[#This Row],[Stand Latte Macchiato Plantaardig einde maand]]-Tabel242567891011121314151716181921202223261415[[#This Row],[Stand Latte Macchiato Plantaardig vorige maand]]</f>
        <v>16</v>
      </c>
      <c r="AC60" s="71">
        <f>Tabel242567891011121314151716181921202223261415[[#This Row],[Verbruik Stand Latte Macchiato Plantaardig deze maand]]+Tabel242567891011121314151716181921202223261415[[#This Row],[Verbruik  Cappucino Plantaardig deze maand]]+Tabel242567891011121314151716181921202223261415[[#This Row],[Verbruik Cappucino deze maand]]+Tabel242567891011121314151716181921202223261415[[#This Row],[Verbruik Hot Water deze maand]]+Tabel242567891011121314151716181921202223261415[[#This Row],[Verbruik Coffee Latte deze maand]]+Tabel242567891011121314151716181921202223261415[[#This Row],[Verbruik Latte Macchiato deze maand]]+Tabel242567891011121314151716181921202223261415[[#This Row],[Verbruik Espresso deze maand]]+Tabel242567891011121314151716181921202223261415[[#This Row],[Verbruik Coffee deze maand]]</f>
        <v>1803</v>
      </c>
      <c r="AD60" s="69"/>
      <c r="AE60" s="41"/>
      <c r="AF60" s="5"/>
      <c r="AG60" s="5"/>
      <c r="AH60" s="75"/>
      <c r="AI60" s="41"/>
      <c r="AJ60" s="5"/>
      <c r="AK60" s="5"/>
      <c r="AL60" s="75"/>
      <c r="AM60" s="41"/>
      <c r="AN60" s="5"/>
      <c r="AO60" s="5"/>
      <c r="AP60" s="75"/>
      <c r="AQ60" s="41"/>
      <c r="AR60" s="5"/>
      <c r="AS60" s="5"/>
      <c r="AT60" s="75"/>
      <c r="AU60" s="41"/>
      <c r="AV60" s="5"/>
      <c r="AW60" s="5"/>
      <c r="AX60" s="79"/>
      <c r="AY60" s="95">
        <f>Tabel242567891011121314151716181921202223261415[[#This Row],[Subtotaal waterbar in consumpties]]+Tabel242567891011121314151716181921202223261415[[#This Row],[Subtotaal koffieautomaten]]</f>
        <v>1803</v>
      </c>
    </row>
    <row r="61" spans="1:130" ht="14.45" customHeight="1" x14ac:dyDescent="0.25">
      <c r="A61" s="65" t="s">
        <v>60</v>
      </c>
      <c r="B61" t="s">
        <v>108</v>
      </c>
      <c r="C61" t="s">
        <v>36</v>
      </c>
      <c r="E61" s="46"/>
      <c r="F61" s="46"/>
      <c r="G61" s="47"/>
      <c r="H61" s="54"/>
      <c r="I61" s="46"/>
      <c r="J61" s="47"/>
      <c r="K61" s="54"/>
      <c r="L61" s="46"/>
      <c r="M61" s="47"/>
      <c r="N61" s="54"/>
      <c r="O61" s="46"/>
      <c r="P61" s="47"/>
      <c r="Q61" s="54"/>
      <c r="R61" s="46"/>
      <c r="S61" s="47"/>
      <c r="T61" s="54"/>
      <c r="U61" s="46"/>
      <c r="V61" s="47"/>
      <c r="W61" s="54"/>
      <c r="X61" s="46"/>
      <c r="Y61" s="47"/>
      <c r="Z61" s="54"/>
      <c r="AA61" s="46"/>
      <c r="AB61" s="47"/>
      <c r="AC61" s="72"/>
      <c r="AD61" s="53">
        <v>312</v>
      </c>
      <c r="AE61">
        <f>maart2025!AD61</f>
        <v>291.8</v>
      </c>
      <c r="AF61">
        <f>Tabel242567891011121314151716181921202223261415[[#This Row],[Stand Kamertemp liter einde maand]]-Tabel242567891011121314151716181921202223261415[[#This Row],[Stand Kamertemp liter vorige maand]]</f>
        <v>20.199999999999989</v>
      </c>
      <c r="AG61" s="2">
        <f>Tabel242567891011121314151716181921202223261415[[#This Row],[Verbruik Kamertemp liter deze maand]]/0.15</f>
        <v>134.6666666666666</v>
      </c>
      <c r="AH61" s="53">
        <v>1582.4</v>
      </c>
      <c r="AI61">
        <f>maart2025!AH61</f>
        <v>1514.4</v>
      </c>
      <c r="AJ61">
        <f>Tabel242567891011121314151716181921202223261415[[#This Row],[Stand Gekoeld liter einde maand]]-Tabel242567891011121314151716181921202223261415[[#This Row],[Stand Gekoeld liter vorige maand]]</f>
        <v>68</v>
      </c>
      <c r="AK61" s="2">
        <f>Tabel242567891011121314151716181921202223261415[[#This Row],[Verbruik Gekoeld liter deze maand]]/0.15</f>
        <v>453.33333333333337</v>
      </c>
      <c r="AL61" s="53">
        <v>861.1</v>
      </c>
      <c r="AM61">
        <f>maart2025!AL61</f>
        <v>841.8</v>
      </c>
      <c r="AN61">
        <f>Tabel242567891011121314151716181921202223261415[[#This Row],[Stand Bruisend liter einde maand]]-Tabel242567891011121314151716181921202223261415[[#This Row],[Stand Bruisend liter vorige maand]]</f>
        <v>19.300000000000068</v>
      </c>
      <c r="AO61" s="2">
        <f>Tabel242567891011121314151716181921202223261415[[#This Row],[Verbruik Bruisend liter deze maand]]/0.15</f>
        <v>128.66666666666714</v>
      </c>
      <c r="AP61" s="53">
        <v>1195.9000000000001</v>
      </c>
      <c r="AQ61">
        <f>maart2025!AP61</f>
        <v>1142.0999999999999</v>
      </c>
      <c r="AR61">
        <f>Tabel242567891011121314151716181921202223261415[[#This Row],[Stand licht bruisend liter einde maand]]-Tabel242567891011121314151716181921202223261415[[#This Row],[Stand licht bruisend liter vorige maand]]</f>
        <v>53.800000000000182</v>
      </c>
      <c r="AS61" s="2">
        <f>Tabel242567891011121314151716181921202223261415[[#This Row],[Verbruik licht bruisend liter deze maand]]/0.15</f>
        <v>358.66666666666788</v>
      </c>
      <c r="AT61" s="53">
        <v>4230.3999999999996</v>
      </c>
      <c r="AU61">
        <f>maart2025!AT61</f>
        <v>4076.9</v>
      </c>
      <c r="AV61">
        <f>Tabel242567891011121314151716181921202223261415[[#This Row],[Stand heet water liter einde maand]]-Tabel242567891011121314151716181921202223261415[[#This Row],[Stand heet water liter vorige maand]]</f>
        <v>153.49999999999955</v>
      </c>
      <c r="AW61" s="2">
        <f>Tabel242567891011121314151716181921202223261415[[#This Row],[Verbruik heet Water liter deze maand ]]/0.15</f>
        <v>1023.3333333333303</v>
      </c>
      <c r="AX61" s="77">
        <f>Tabel242567891011121314151716181921202223261415[[#This Row],[Aantal consumpties heet water deze maand]]+Tabel242567891011121314151716181921202223261415[[#This Row],[Aantal consumpties licht bruisend water deze maand]]+Tabel242567891011121314151716181921202223261415[[#This Row],[aantal consumpties Bruisend water deze maand]]+Tabel242567891011121314151716181921202223261415[[#This Row],[Aantal consumpties gekoeld water deze maand]]+Tabel242567891011121314151716181921202223261415[[#This Row],[Aantal consumpties Kamertemp deze maand]]</f>
        <v>2098.6666666666652</v>
      </c>
      <c r="AY61" s="95">
        <f>Tabel242567891011121314151716181921202223261415[[#This Row],[Subtotaal waterbar in consumpties]]+Tabel242567891011121314151716181921202223261415[[#This Row],[Subtotaal koffieautomaten]]</f>
        <v>2098.6666666666652</v>
      </c>
    </row>
    <row r="62" spans="1:130" s="81" customFormat="1" x14ac:dyDescent="0.25">
      <c r="A62" s="165" t="s">
        <v>109</v>
      </c>
      <c r="B62" s="151"/>
      <c r="C62" s="151"/>
      <c r="D62" s="166"/>
      <c r="E62" s="151"/>
      <c r="F62" s="151">
        <f>maart2025!E62</f>
        <v>0</v>
      </c>
      <c r="G62" s="151"/>
      <c r="H62" s="167"/>
      <c r="I62" s="151">
        <f>maart2025!H62</f>
        <v>0</v>
      </c>
      <c r="J62" s="151"/>
      <c r="K62" s="167"/>
      <c r="L62" s="151">
        <f>maart2025!K62</f>
        <v>0</v>
      </c>
      <c r="M62" s="151"/>
      <c r="N62" s="167"/>
      <c r="O62" s="151">
        <f>maart2025!N62</f>
        <v>0</v>
      </c>
      <c r="P62" s="151"/>
      <c r="Q62" s="167"/>
      <c r="R62" s="151">
        <f>maart2025!Q62</f>
        <v>0</v>
      </c>
      <c r="S62" s="151"/>
      <c r="T62" s="167"/>
      <c r="U62" s="151">
        <f>maart2025!T62</f>
        <v>0</v>
      </c>
      <c r="V62" s="151"/>
      <c r="W62" s="167"/>
      <c r="X62" s="151">
        <f>maart2025!W62</f>
        <v>0</v>
      </c>
      <c r="Y62" s="151"/>
      <c r="Z62" s="167"/>
      <c r="AA62" s="151">
        <f>maart2025!Z62</f>
        <v>0</v>
      </c>
      <c r="AB62" s="151"/>
      <c r="AC62" s="168"/>
      <c r="AD62" s="169"/>
      <c r="AE62" s="154"/>
      <c r="AF62" s="151"/>
      <c r="AG62" s="155"/>
      <c r="AH62" s="169"/>
      <c r="AI62" s="154"/>
      <c r="AJ62" s="151"/>
      <c r="AK62" s="155"/>
      <c r="AL62" s="169"/>
      <c r="AM62" s="154"/>
      <c r="AN62" s="151"/>
      <c r="AO62" s="155"/>
      <c r="AP62" s="169"/>
      <c r="AQ62" s="154"/>
      <c r="AR62" s="151"/>
      <c r="AS62" s="155"/>
      <c r="AT62" s="169"/>
      <c r="AU62" s="154"/>
      <c r="AV62" s="151"/>
      <c r="AW62" s="155"/>
      <c r="AX62" s="170"/>
      <c r="AY62" s="171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</row>
    <row r="63" spans="1:130" x14ac:dyDescent="0.25">
      <c r="A63" s="67">
        <v>1</v>
      </c>
      <c r="B63" t="s">
        <v>110</v>
      </c>
      <c r="C63" t="s">
        <v>31</v>
      </c>
      <c r="E63">
        <v>11071</v>
      </c>
      <c r="F63">
        <f>maart2025!E63</f>
        <v>10681</v>
      </c>
      <c r="G63">
        <f>Tabel242567891011121314151716181921202223261415[[#This Row],[Stand Coffee einde maand]]-Tabel242567891011121314151716181921202223261415[[#This Row],[Coffee vorige maand]]</f>
        <v>390</v>
      </c>
      <c r="H63" s="53">
        <v>1572</v>
      </c>
      <c r="I63">
        <f>maart2025!H63</f>
        <v>1535</v>
      </c>
      <c r="J63">
        <f>Tabel242567891011121314151716181921202223261415[[#This Row],[Stand Espresso Einde maand]]-Tabel242567891011121314151716181921202223261415[[#This Row],[Espresso vorige maand]]</f>
        <v>37</v>
      </c>
      <c r="K63" s="53">
        <v>1061</v>
      </c>
      <c r="L63">
        <f>maart2025!K63</f>
        <v>1035</v>
      </c>
      <c r="M63">
        <f>Tabel242567891011121314151716181921202223261415[[#This Row],[Stand Latte Macchiato einde maand]]-Tabel242567891011121314151716181921202223261415[[#This Row],[Latte Macchiato vorige maand]]</f>
        <v>26</v>
      </c>
      <c r="N63" s="53">
        <v>516</v>
      </c>
      <c r="O63">
        <f>maart2025!N63</f>
        <v>510</v>
      </c>
      <c r="P63">
        <f>Tabel242567891011121314151716181921202223261415[[#This Row],[Stand Coffee Latte einde maand]]-Tabel242567891011121314151716181921202223261415[[#This Row],[Coffee Latte vorige maand]]</f>
        <v>6</v>
      </c>
      <c r="Q63" s="53">
        <v>9417</v>
      </c>
      <c r="R63">
        <f>maart2025!Q63</f>
        <v>8949</v>
      </c>
      <c r="S63">
        <f>Tabel242567891011121314151716181921202223261415[[#This Row],[Stand Hot Water einde maand]]-Tabel242567891011121314151716181921202223261415[[#This Row],[Hot Water vorige maand]]</f>
        <v>468</v>
      </c>
      <c r="T63" s="53">
        <v>3797</v>
      </c>
      <c r="U63">
        <f>maart2025!T63</f>
        <v>3662</v>
      </c>
      <c r="V63">
        <f>Tabel242567891011121314151716181921202223261415[[#This Row],[Stand Cappucino einde maand]]-Tabel242567891011121314151716181921202223261415[[#This Row],[Stand Cappucino vorige maand]]</f>
        <v>135</v>
      </c>
      <c r="W63" s="53">
        <v>55</v>
      </c>
      <c r="X63">
        <f>maart2025!W63</f>
        <v>55</v>
      </c>
      <c r="Y63">
        <f>Tabel242567891011121314151716181921202223261415[[#This Row],[Stand Cappucino Plantaardig einde maand]]-Tabel242567891011121314151716181921202223261415[[#This Row],[Stand Cappucino Plantaardig vorige maand]]</f>
        <v>0</v>
      </c>
      <c r="Z63" s="53">
        <v>245</v>
      </c>
      <c r="AA63">
        <f>maart2025!Z63</f>
        <v>243</v>
      </c>
      <c r="AB63">
        <f>Tabel242567891011121314151716181921202223261415[[#This Row],[Stand Latte Macchiato Plantaardig einde maand]]-Tabel242567891011121314151716181921202223261415[[#This Row],[Stand Latte Macchiato Plantaardig vorige maand]]</f>
        <v>2</v>
      </c>
      <c r="AC63" s="71">
        <f>Tabel242567891011121314151716181921202223261415[[#This Row],[Verbruik Stand Latte Macchiato Plantaardig deze maand]]+Tabel242567891011121314151716181921202223261415[[#This Row],[Verbruik  Cappucino Plantaardig deze maand]]+Tabel242567891011121314151716181921202223261415[[#This Row],[Verbruik Cappucino deze maand]]+Tabel242567891011121314151716181921202223261415[[#This Row],[Verbruik Hot Water deze maand]]+Tabel242567891011121314151716181921202223261415[[#This Row],[Verbruik Coffee Latte deze maand]]+Tabel242567891011121314151716181921202223261415[[#This Row],[Verbruik Latte Macchiato deze maand]]+Tabel242567891011121314151716181921202223261415[[#This Row],[Verbruik Espresso deze maand]]+Tabel242567891011121314151716181921202223261415[[#This Row],[Verbruik Coffee deze maand]]</f>
        <v>1064</v>
      </c>
      <c r="AD63" s="69"/>
      <c r="AE63" s="41"/>
      <c r="AF63" s="5"/>
      <c r="AG63" s="5"/>
      <c r="AH63" s="69"/>
      <c r="AI63" s="41"/>
      <c r="AJ63" s="5"/>
      <c r="AK63" s="5"/>
      <c r="AL63" s="69"/>
      <c r="AM63" s="41"/>
      <c r="AN63" s="5"/>
      <c r="AO63" s="5"/>
      <c r="AP63" s="69"/>
      <c r="AQ63" s="41"/>
      <c r="AR63" s="5"/>
      <c r="AS63" s="5"/>
      <c r="AT63" s="69"/>
      <c r="AU63" s="41"/>
      <c r="AV63" s="5"/>
      <c r="AW63" s="7"/>
      <c r="AX63" s="78"/>
      <c r="AY63" s="95">
        <f>Tabel242567891011121314151716181921202223261415[[#This Row],[Subtotaal waterbar in consumpties]]+Tabel242567891011121314151716181921202223261415[[#This Row],[Subtotaal koffieautomaten]]</f>
        <v>1064</v>
      </c>
    </row>
    <row r="64" spans="1:130" x14ac:dyDescent="0.25">
      <c r="A64" s="67">
        <v>1</v>
      </c>
      <c r="B64" t="s">
        <v>111</v>
      </c>
      <c r="C64" t="s">
        <v>31</v>
      </c>
      <c r="E64">
        <v>12051</v>
      </c>
      <c r="F64">
        <f>maart2025!E64</f>
        <v>11867</v>
      </c>
      <c r="G64">
        <f>Tabel242567891011121314151716181921202223261415[[#This Row],[Stand Coffee einde maand]]-Tabel242567891011121314151716181921202223261415[[#This Row],[Coffee vorige maand]]</f>
        <v>184</v>
      </c>
      <c r="H64" s="53">
        <v>586</v>
      </c>
      <c r="I64">
        <f>maart2025!H64</f>
        <v>559</v>
      </c>
      <c r="J64">
        <f>Tabel242567891011121314151716181921202223261415[[#This Row],[Stand Espresso Einde maand]]-Tabel242567891011121314151716181921202223261415[[#This Row],[Espresso vorige maand]]</f>
        <v>27</v>
      </c>
      <c r="K64" s="53">
        <v>2176</v>
      </c>
      <c r="L64">
        <f>maart2025!K64</f>
        <v>2153</v>
      </c>
      <c r="M64">
        <f>Tabel242567891011121314151716181921202223261415[[#This Row],[Stand Latte Macchiato einde maand]]-Tabel242567891011121314151716181921202223261415[[#This Row],[Latte Macchiato vorige maand]]</f>
        <v>23</v>
      </c>
      <c r="N64" s="53">
        <v>1319</v>
      </c>
      <c r="O64">
        <f>maart2025!N64</f>
        <v>1316</v>
      </c>
      <c r="P64">
        <f>Tabel242567891011121314151716181921202223261415[[#This Row],[Stand Coffee Latte einde maand]]-Tabel242567891011121314151716181921202223261415[[#This Row],[Coffee Latte vorige maand]]</f>
        <v>3</v>
      </c>
      <c r="Q64" s="53">
        <v>9839</v>
      </c>
      <c r="R64">
        <f>maart2025!Q64</f>
        <v>9553</v>
      </c>
      <c r="S64">
        <f>Tabel242567891011121314151716181921202223261415[[#This Row],[Stand Hot Water einde maand]]-Tabel242567891011121314151716181921202223261415[[#This Row],[Hot Water vorige maand]]</f>
        <v>286</v>
      </c>
      <c r="T64" s="53">
        <v>3163</v>
      </c>
      <c r="U64">
        <f>maart2025!T64</f>
        <v>3057</v>
      </c>
      <c r="V64">
        <f>Tabel242567891011121314151716181921202223261415[[#This Row],[Stand Cappucino einde maand]]-Tabel242567891011121314151716181921202223261415[[#This Row],[Stand Cappucino vorige maand]]</f>
        <v>106</v>
      </c>
      <c r="W64" s="53">
        <v>288</v>
      </c>
      <c r="X64">
        <f>maart2025!W64</f>
        <v>285</v>
      </c>
      <c r="Y64">
        <f>Tabel242567891011121314151716181921202223261415[[#This Row],[Stand Cappucino Plantaardig einde maand]]-Tabel242567891011121314151716181921202223261415[[#This Row],[Stand Cappucino Plantaardig vorige maand]]</f>
        <v>3</v>
      </c>
      <c r="Z64" s="53">
        <v>337</v>
      </c>
      <c r="AA64">
        <f>maart2025!Z64</f>
        <v>337</v>
      </c>
      <c r="AB64">
        <f>Tabel242567891011121314151716181921202223261415[[#This Row],[Stand Latte Macchiato Plantaardig einde maand]]-Tabel242567891011121314151716181921202223261415[[#This Row],[Stand Latte Macchiato Plantaardig vorige maand]]</f>
        <v>0</v>
      </c>
      <c r="AC64" s="71">
        <f>Tabel242567891011121314151716181921202223261415[[#This Row],[Verbruik Stand Latte Macchiato Plantaardig deze maand]]+Tabel242567891011121314151716181921202223261415[[#This Row],[Verbruik  Cappucino Plantaardig deze maand]]+Tabel242567891011121314151716181921202223261415[[#This Row],[Verbruik Cappucino deze maand]]+Tabel242567891011121314151716181921202223261415[[#This Row],[Verbruik Hot Water deze maand]]+Tabel242567891011121314151716181921202223261415[[#This Row],[Verbruik Coffee Latte deze maand]]+Tabel242567891011121314151716181921202223261415[[#This Row],[Verbruik Latte Macchiato deze maand]]+Tabel242567891011121314151716181921202223261415[[#This Row],[Verbruik Espresso deze maand]]+Tabel242567891011121314151716181921202223261415[[#This Row],[Verbruik Coffee deze maand]]</f>
        <v>632</v>
      </c>
      <c r="AD64" s="69"/>
      <c r="AE64" s="41"/>
      <c r="AF64" s="5"/>
      <c r="AG64" s="5"/>
      <c r="AH64" s="69"/>
      <c r="AI64" s="41"/>
      <c r="AJ64" s="5"/>
      <c r="AK64" s="5"/>
      <c r="AL64" s="69"/>
      <c r="AM64" s="41"/>
      <c r="AN64" s="5"/>
      <c r="AO64" s="5"/>
      <c r="AP64" s="69"/>
      <c r="AQ64" s="41"/>
      <c r="AR64" s="5"/>
      <c r="AS64" s="5"/>
      <c r="AT64" s="69"/>
      <c r="AU64" s="41"/>
      <c r="AV64" s="5"/>
      <c r="AW64" s="7"/>
      <c r="AX64" s="78"/>
      <c r="AY64" s="95">
        <f>Tabel242567891011121314151716181921202223261415[[#This Row],[Subtotaal waterbar in consumpties]]+Tabel242567891011121314151716181921202223261415[[#This Row],[Subtotaal koffieautomaten]]</f>
        <v>632</v>
      </c>
    </row>
    <row r="65" spans="1:53" x14ac:dyDescent="0.25">
      <c r="A65" s="66" t="s">
        <v>112</v>
      </c>
      <c r="E65" s="3">
        <f>SUM(E5:E64)</f>
        <v>696274</v>
      </c>
      <c r="F65" s="3">
        <f>SUM(F5:F64)</f>
        <v>668628</v>
      </c>
      <c r="G65" s="3">
        <f>SUM(G4:G64)</f>
        <v>27646</v>
      </c>
      <c r="H65" s="55">
        <f>SUM(H5:H64)</f>
        <v>179575</v>
      </c>
      <c r="I65" s="3">
        <f>SUM(I5:I64)</f>
        <v>172271</v>
      </c>
      <c r="J65" s="3">
        <f>SUM(J4:J64)</f>
        <v>7304</v>
      </c>
      <c r="K65" s="55">
        <f>SUM(K5:K64)</f>
        <v>82471</v>
      </c>
      <c r="L65" s="3">
        <f>SUM(L5:L64)</f>
        <v>79587</v>
      </c>
      <c r="M65" s="3">
        <f>SUM(M4:M64)</f>
        <v>2884</v>
      </c>
      <c r="N65" s="55">
        <f>SUM(N5:N64)</f>
        <v>53434</v>
      </c>
      <c r="O65" s="3">
        <f>SUM(O5:O64)</f>
        <v>46408</v>
      </c>
      <c r="P65" s="3">
        <f>SUM(P4:P64)</f>
        <v>7026</v>
      </c>
      <c r="Q65" s="55">
        <f>SUM(Q5:Q64)</f>
        <v>845534</v>
      </c>
      <c r="R65" s="3">
        <f>SUM(R5:R64)</f>
        <v>809439</v>
      </c>
      <c r="S65" s="3">
        <f>SUM(S4:S64)</f>
        <v>36095</v>
      </c>
      <c r="T65" s="55">
        <f>SUM(T5:T64)</f>
        <v>379919</v>
      </c>
      <c r="U65" s="3">
        <f>SUM(U5:U64)</f>
        <v>366380</v>
      </c>
      <c r="V65" s="3">
        <f>SUM(V4:V64)</f>
        <v>13539</v>
      </c>
      <c r="W65" s="55">
        <f>SUM(W5:W64)</f>
        <v>69250</v>
      </c>
      <c r="X65" s="3">
        <f>SUM(X5:X64)</f>
        <v>66921</v>
      </c>
      <c r="Y65" s="3">
        <f>SUM(Y4:Y64)</f>
        <v>2329</v>
      </c>
      <c r="Z65" s="55">
        <f>SUM(Z5:Z64)</f>
        <v>25183</v>
      </c>
      <c r="AA65" s="3">
        <f>SUM(AA5:AA64)</f>
        <v>24449</v>
      </c>
      <c r="AB65" s="3">
        <f t="shared" ref="AB65:AQ65" si="0">SUM(AB4:AB64)</f>
        <v>734</v>
      </c>
      <c r="AC65" s="71">
        <f t="shared" si="0"/>
        <v>97557</v>
      </c>
      <c r="AD65" s="55">
        <f t="shared" si="0"/>
        <v>4725.4999999999991</v>
      </c>
      <c r="AE65" s="3">
        <f t="shared" si="0"/>
        <v>4235.8</v>
      </c>
      <c r="AF65" s="4">
        <f t="shared" si="0"/>
        <v>489.7</v>
      </c>
      <c r="AG65" s="4">
        <f t="shared" si="0"/>
        <v>3264.6666666666674</v>
      </c>
      <c r="AH65" s="76"/>
      <c r="AI65" s="4">
        <f t="shared" si="0"/>
        <v>24426.300000000003</v>
      </c>
      <c r="AJ65" s="4">
        <f t="shared" si="0"/>
        <v>3058.3000000000006</v>
      </c>
      <c r="AK65" s="4">
        <f t="shared" si="0"/>
        <v>20388.666666666668</v>
      </c>
      <c r="AL65" s="76">
        <f t="shared" si="0"/>
        <v>19519.699999999997</v>
      </c>
      <c r="AM65" s="4">
        <f t="shared" si="0"/>
        <v>17322.199999999997</v>
      </c>
      <c r="AN65" s="4">
        <f t="shared" si="0"/>
        <v>2197.5000000000005</v>
      </c>
      <c r="AO65" s="4">
        <f t="shared" si="0"/>
        <v>14650.000000000002</v>
      </c>
      <c r="AP65" s="76">
        <f t="shared" si="0"/>
        <v>8935.5</v>
      </c>
      <c r="AQ65" s="4">
        <f t="shared" si="0"/>
        <v>8015.5999999999985</v>
      </c>
      <c r="AR65" s="3">
        <f>SUM(AR5:AR64)</f>
        <v>919.90000000000009</v>
      </c>
      <c r="AS65" s="4">
        <f>SUM(AS4:AS64)</f>
        <v>6132.6666666666679</v>
      </c>
      <c r="AT65" s="76">
        <f>SUM(AT4:AT64)</f>
        <v>69093.799999999988</v>
      </c>
      <c r="AU65" s="4">
        <f>SUM(AU4:AU64)</f>
        <v>62669.799999999996</v>
      </c>
      <c r="AV65" s="3">
        <f>SUM(AV5:AV64)</f>
        <v>6424</v>
      </c>
      <c r="AW65" s="4">
        <f>SUM(AW4:AW64)</f>
        <v>42826.666666666679</v>
      </c>
      <c r="AX65" s="77">
        <f>SUM(AX4:AX64)</f>
        <v>87262.666666666672</v>
      </c>
      <c r="AY65" s="95">
        <f>Tabel242567891011121314151716181921202223261415[[#This Row],[Subtotaal waterbar in consumpties]]+Tabel242567891011121314151716181921202223261415[[#This Row],[Subtotaal koffieautomaten]]</f>
        <v>184819.66666666669</v>
      </c>
    </row>
    <row r="66" spans="1:53" x14ac:dyDescent="0.25">
      <c r="A66" s="91"/>
      <c r="B66" s="57"/>
      <c r="C66" s="57"/>
      <c r="D66" s="58"/>
      <c r="E66" s="57"/>
      <c r="F66" s="57"/>
      <c r="G66" s="57"/>
      <c r="H66" s="56"/>
      <c r="I66" s="57"/>
      <c r="J66" s="57"/>
      <c r="K66" s="56"/>
      <c r="L66" s="57"/>
      <c r="M66" s="57"/>
      <c r="N66" s="56"/>
      <c r="O66" s="57"/>
      <c r="P66" s="57"/>
      <c r="Q66" s="56"/>
      <c r="R66" s="57"/>
      <c r="S66" s="57"/>
      <c r="T66" s="56"/>
      <c r="U66" s="57"/>
      <c r="V66" s="57"/>
      <c r="W66" s="56"/>
      <c r="X66" s="57"/>
      <c r="Y66" s="57"/>
      <c r="Z66" s="56"/>
      <c r="AA66" s="57"/>
      <c r="AB66" s="57"/>
      <c r="AC66" s="90"/>
      <c r="AD66" s="56"/>
      <c r="AE66" s="57"/>
      <c r="AF66" s="57"/>
      <c r="AG66" s="57"/>
      <c r="AH66" s="56"/>
      <c r="AI66" s="57"/>
      <c r="AJ66" s="57"/>
      <c r="AK66" s="57"/>
      <c r="AL66" s="56"/>
      <c r="AM66" s="57"/>
      <c r="AN66" s="57"/>
      <c r="AO66" s="57"/>
      <c r="AP66" s="56"/>
      <c r="AQ66" s="57"/>
      <c r="AR66" s="57"/>
      <c r="AS66" s="57"/>
      <c r="AT66" s="56"/>
      <c r="AU66" s="57"/>
      <c r="AV66" s="57"/>
      <c r="AW66" s="57"/>
      <c r="AX66" s="92"/>
      <c r="AY66" s="96"/>
    </row>
    <row r="67" spans="1:53" x14ac:dyDescent="0.25">
      <c r="A67"/>
      <c r="D67"/>
      <c r="K67"/>
      <c r="N67"/>
      <c r="Q67"/>
      <c r="T67"/>
      <c r="W67"/>
      <c r="Z67"/>
      <c r="AC67"/>
      <c r="AD67"/>
      <c r="AH67"/>
      <c r="AL67"/>
      <c r="AP67"/>
      <c r="AT67"/>
      <c r="AX67"/>
      <c r="AY67"/>
    </row>
    <row r="68" spans="1:53" x14ac:dyDescent="0.25">
      <c r="A68"/>
      <c r="D68"/>
      <c r="K68"/>
      <c r="N68"/>
      <c r="Q68"/>
      <c r="T68"/>
      <c r="W68"/>
      <c r="Z68"/>
      <c r="AC68"/>
      <c r="AD68"/>
      <c r="AH68"/>
      <c r="AL68"/>
      <c r="AP68"/>
      <c r="AT68"/>
      <c r="AX68"/>
      <c r="AY68" s="2"/>
      <c r="AZ68" s="2"/>
    </row>
    <row r="69" spans="1:53" x14ac:dyDescent="0.25">
      <c r="A69" s="49"/>
      <c r="B69" t="s">
        <v>166</v>
      </c>
      <c r="D69"/>
      <c r="K69"/>
      <c r="N69"/>
      <c r="Q69"/>
      <c r="T69"/>
      <c r="W69"/>
      <c r="Z69"/>
      <c r="AC69"/>
      <c r="AD69"/>
      <c r="AH69"/>
      <c r="AL69"/>
      <c r="AP69"/>
      <c r="AT69"/>
      <c r="AX69"/>
      <c r="AY69" s="4"/>
      <c r="AZ69" s="4"/>
      <c r="BA69" s="48"/>
    </row>
    <row r="70" spans="1:53" x14ac:dyDescent="0.25">
      <c r="A70" s="50"/>
      <c r="B70" t="s">
        <v>167</v>
      </c>
      <c r="D70"/>
      <c r="K70"/>
      <c r="N70"/>
      <c r="Q70"/>
      <c r="T70"/>
      <c r="W70"/>
      <c r="Z70"/>
      <c r="AC70"/>
      <c r="AD70"/>
      <c r="AH70"/>
      <c r="AL70"/>
      <c r="AP70"/>
      <c r="AT70"/>
      <c r="AX70"/>
      <c r="AY70" s="3"/>
      <c r="AZ70" s="4"/>
      <c r="BA70" s="48"/>
    </row>
    <row r="71" spans="1:53" x14ac:dyDescent="0.25">
      <c r="A71"/>
      <c r="D71"/>
      <c r="K71"/>
      <c r="N71"/>
      <c r="Q71"/>
      <c r="T71"/>
      <c r="W71"/>
      <c r="Z71"/>
      <c r="AC71"/>
      <c r="AD71"/>
      <c r="AH71"/>
      <c r="AL71"/>
      <c r="AP71"/>
      <c r="AT71"/>
      <c r="AX71"/>
      <c r="AY71"/>
      <c r="AZ71" s="2"/>
    </row>
    <row r="72" spans="1:53" x14ac:dyDescent="0.25">
      <c r="A72"/>
      <c r="D72"/>
      <c r="K72"/>
      <c r="N72"/>
      <c r="Q72"/>
      <c r="T72"/>
      <c r="W72"/>
      <c r="Z72"/>
      <c r="AC72"/>
      <c r="AD72"/>
      <c r="AH72"/>
      <c r="AL72"/>
      <c r="AP72"/>
      <c r="AT72"/>
      <c r="AX72"/>
      <c r="AY72"/>
    </row>
    <row r="73" spans="1:53" x14ac:dyDescent="0.25">
      <c r="A73"/>
      <c r="D73"/>
      <c r="K73"/>
      <c r="N73"/>
      <c r="Q73"/>
      <c r="T73"/>
      <c r="W73"/>
      <c r="Z73"/>
      <c r="AC73"/>
      <c r="AD73"/>
      <c r="AH73"/>
      <c r="AL73"/>
      <c r="AP73"/>
      <c r="AT73"/>
      <c r="AX73"/>
      <c r="AY73"/>
    </row>
    <row r="74" spans="1:53" x14ac:dyDescent="0.25">
      <c r="A74"/>
      <c r="D74"/>
      <c r="K74"/>
      <c r="N74"/>
      <c r="Q74"/>
      <c r="T74"/>
      <c r="W74"/>
      <c r="Z74"/>
      <c r="AC74"/>
      <c r="AD74"/>
      <c r="AH74"/>
      <c r="AL74"/>
      <c r="AP74"/>
      <c r="AT74"/>
      <c r="AX74"/>
      <c r="AY74"/>
    </row>
    <row r="75" spans="1:53" x14ac:dyDescent="0.25">
      <c r="A75"/>
      <c r="D75"/>
      <c r="K75"/>
      <c r="N75"/>
      <c r="Q75"/>
      <c r="T75"/>
      <c r="W75"/>
      <c r="Z75"/>
      <c r="AC75"/>
      <c r="AD75"/>
      <c r="AH75"/>
      <c r="AL75"/>
      <c r="AP75"/>
      <c r="AT75"/>
      <c r="AX75"/>
      <c r="AY75"/>
    </row>
    <row r="76" spans="1:53" x14ac:dyDescent="0.25">
      <c r="A76"/>
      <c r="D76"/>
      <c r="K76"/>
      <c r="N76"/>
      <c r="Q76"/>
      <c r="T76"/>
      <c r="W76"/>
      <c r="Z76"/>
      <c r="AC76"/>
      <c r="AD76"/>
      <c r="AH76"/>
      <c r="AL76"/>
      <c r="AP76"/>
      <c r="AT76"/>
      <c r="AX76"/>
      <c r="AY76"/>
    </row>
    <row r="77" spans="1:53" x14ac:dyDescent="0.25">
      <c r="A77"/>
      <c r="D77"/>
      <c r="K77"/>
      <c r="N77"/>
      <c r="Q77"/>
      <c r="T77"/>
      <c r="W77"/>
      <c r="Z77"/>
      <c r="AC77"/>
      <c r="AD77"/>
      <c r="AH77"/>
      <c r="AL77"/>
      <c r="AP77"/>
      <c r="AT77"/>
      <c r="AX77"/>
      <c r="AY77"/>
    </row>
    <row r="78" spans="1:53" x14ac:dyDescent="0.25">
      <c r="A78"/>
      <c r="D78"/>
      <c r="K78"/>
      <c r="N78"/>
      <c r="Q78"/>
      <c r="T78"/>
      <c r="W78"/>
      <c r="Z78"/>
      <c r="AC78"/>
      <c r="AD78"/>
      <c r="AH78"/>
      <c r="AL78"/>
      <c r="AP78"/>
      <c r="AT78"/>
      <c r="AX78"/>
      <c r="AY78"/>
    </row>
    <row r="79" spans="1:53" x14ac:dyDescent="0.25">
      <c r="A79"/>
      <c r="D79"/>
      <c r="K79"/>
      <c r="N79"/>
      <c r="Q79"/>
      <c r="T79"/>
      <c r="W79"/>
      <c r="Z79"/>
      <c r="AC79"/>
      <c r="AD79"/>
      <c r="AH79"/>
      <c r="AL79"/>
      <c r="AP79"/>
      <c r="AT79"/>
      <c r="AX79"/>
      <c r="AY79"/>
    </row>
    <row r="80" spans="1:53" x14ac:dyDescent="0.25">
      <c r="A80"/>
      <c r="D80"/>
      <c r="K80"/>
      <c r="N80"/>
      <c r="Q80"/>
      <c r="T80"/>
      <c r="W80"/>
      <c r="Z80"/>
      <c r="AC80"/>
      <c r="AD80"/>
      <c r="AH80"/>
      <c r="AL80"/>
      <c r="AP80"/>
      <c r="AT80"/>
      <c r="AX80"/>
      <c r="AY80"/>
    </row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</sheetData>
  <mergeCells count="2">
    <mergeCell ref="E1:AC1"/>
    <mergeCell ref="AD1:AY1"/>
  </mergeCells>
  <pageMargins left="0.7" right="0.7" top="0.75" bottom="0.75" header="0.3" footer="0.3"/>
  <legacyDrawing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81792-1E85-4B00-AC37-A159102E194D}">
  <dimension ref="A1:DZ147"/>
  <sheetViews>
    <sheetView topLeftCell="AQ1" zoomScale="130" zoomScaleNormal="130" workbookViewId="0">
      <pane ySplit="2" topLeftCell="A52" activePane="bottomLeft" state="frozen"/>
      <selection pane="bottomLeft" activeCell="A3" sqref="A3:XFD3"/>
    </sheetView>
  </sheetViews>
  <sheetFormatPr defaultRowHeight="15" x14ac:dyDescent="0.25"/>
  <cols>
    <col min="1" max="1" width="32.140625" style="65" bestFit="1" customWidth="1"/>
    <col min="2" max="2" width="21.42578125" bestFit="1" customWidth="1"/>
    <col min="3" max="3" width="25.42578125" bestFit="1" customWidth="1"/>
    <col min="4" max="4" width="18.5703125" style="52" customWidth="1"/>
    <col min="5" max="5" width="10.140625" customWidth="1"/>
    <col min="6" max="6" width="10.42578125" customWidth="1"/>
    <col min="7" max="7" width="10.5703125" customWidth="1"/>
    <col min="8" max="8" width="11.85546875" customWidth="1"/>
    <col min="9" max="9" width="11.7109375" customWidth="1"/>
    <col min="10" max="10" width="12.42578125" customWidth="1"/>
    <col min="11" max="11" width="17.140625" style="53" customWidth="1"/>
    <col min="12" max="12" width="13.5703125" customWidth="1"/>
    <col min="13" max="13" width="13.42578125" bestFit="1" customWidth="1"/>
    <col min="14" max="14" width="14" style="53" customWidth="1"/>
    <col min="15" max="16" width="14" customWidth="1"/>
    <col min="17" max="17" width="14.140625" style="53" customWidth="1"/>
    <col min="18" max="19" width="12.28515625" customWidth="1"/>
    <col min="20" max="20" width="12.42578125" style="53" customWidth="1"/>
    <col min="21" max="22" width="12.42578125" customWidth="1"/>
    <col min="23" max="23" width="17" style="53" customWidth="1"/>
    <col min="24" max="25" width="17" customWidth="1"/>
    <col min="26" max="26" width="20.7109375" style="53" customWidth="1"/>
    <col min="27" max="28" width="20.7109375" customWidth="1"/>
    <col min="29" max="29" width="14.7109375" style="74" customWidth="1"/>
    <col min="30" max="30" width="17.5703125" style="53" customWidth="1"/>
    <col min="31" max="32" width="17.5703125" customWidth="1"/>
    <col min="33" max="33" width="20.28515625" customWidth="1"/>
    <col min="34" max="34" width="14.42578125" style="53" customWidth="1"/>
    <col min="35" max="36" width="14.42578125" customWidth="1"/>
    <col min="37" max="37" width="21.28515625" customWidth="1"/>
    <col min="38" max="38" width="15.140625" style="53" customWidth="1"/>
    <col min="39" max="40" width="15.140625" customWidth="1"/>
    <col min="41" max="41" width="21.28515625" customWidth="1"/>
    <col min="42" max="42" width="19.42578125" style="53" customWidth="1"/>
    <col min="43" max="44" width="19.42578125" customWidth="1"/>
    <col min="45" max="45" width="21.28515625" customWidth="1"/>
    <col min="46" max="46" width="17" style="53" customWidth="1"/>
    <col min="47" max="48" width="17" customWidth="1"/>
    <col min="49" max="49" width="21.28515625" customWidth="1"/>
    <col min="50" max="50" width="20" style="74" customWidth="1"/>
    <col min="51" max="51" width="23.5703125" style="68" bestFit="1" customWidth="1"/>
    <col min="52" max="52" width="10" bestFit="1" customWidth="1"/>
    <col min="53" max="53" width="14.28515625" bestFit="1" customWidth="1"/>
  </cols>
  <sheetData>
    <row r="1" spans="1:130" ht="14.45" customHeight="1" x14ac:dyDescent="0.25">
      <c r="A1" s="61" t="s">
        <v>0</v>
      </c>
      <c r="B1" s="62"/>
      <c r="C1" s="62"/>
      <c r="D1" s="63"/>
      <c r="E1" s="174" t="s">
        <v>1</v>
      </c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3" t="s">
        <v>2</v>
      </c>
      <c r="AE1" s="174"/>
      <c r="AF1" s="174"/>
      <c r="AG1" s="174"/>
      <c r="AH1" s="174"/>
      <c r="AI1" s="174"/>
      <c r="AJ1" s="174"/>
      <c r="AK1" s="174"/>
      <c r="AL1" s="174"/>
      <c r="AM1" s="174"/>
      <c r="AN1" s="174"/>
      <c r="AO1" s="174"/>
      <c r="AP1" s="174"/>
      <c r="AQ1" s="174"/>
      <c r="AR1" s="174"/>
      <c r="AS1" s="174"/>
      <c r="AT1" s="174"/>
      <c r="AU1" s="174"/>
      <c r="AV1" s="174"/>
      <c r="AW1" s="174"/>
      <c r="AX1" s="174"/>
      <c r="AY1" s="174"/>
    </row>
    <row r="2" spans="1:130" ht="120" customHeight="1" x14ac:dyDescent="0.25">
      <c r="A2" s="65" t="s">
        <v>3</v>
      </c>
      <c r="B2" t="s">
        <v>4</v>
      </c>
      <c r="C2" t="s">
        <v>5</v>
      </c>
      <c r="D2" s="52" t="s">
        <v>6</v>
      </c>
      <c r="E2" s="1" t="s">
        <v>113</v>
      </c>
      <c r="F2" s="1" t="s">
        <v>114</v>
      </c>
      <c r="G2" s="60" t="s">
        <v>115</v>
      </c>
      <c r="H2" s="1" t="s">
        <v>116</v>
      </c>
      <c r="I2" s="1" t="s">
        <v>117</v>
      </c>
      <c r="J2" s="1" t="s">
        <v>118</v>
      </c>
      <c r="K2" s="59" t="s">
        <v>119</v>
      </c>
      <c r="L2" s="1" t="s">
        <v>120</v>
      </c>
      <c r="M2" s="1" t="s">
        <v>121</v>
      </c>
      <c r="N2" s="59" t="s">
        <v>122</v>
      </c>
      <c r="O2" s="1" t="s">
        <v>123</v>
      </c>
      <c r="P2" s="1" t="s">
        <v>124</v>
      </c>
      <c r="Q2" s="59" t="s">
        <v>125</v>
      </c>
      <c r="R2" s="1" t="s">
        <v>126</v>
      </c>
      <c r="S2" s="1" t="s">
        <v>127</v>
      </c>
      <c r="T2" s="59" t="s">
        <v>128</v>
      </c>
      <c r="U2" s="1" t="s">
        <v>129</v>
      </c>
      <c r="V2" s="1" t="s">
        <v>130</v>
      </c>
      <c r="W2" s="59" t="s">
        <v>131</v>
      </c>
      <c r="X2" s="1" t="s">
        <v>132</v>
      </c>
      <c r="Y2" s="1" t="s">
        <v>133</v>
      </c>
      <c r="Z2" s="59" t="s">
        <v>134</v>
      </c>
      <c r="AA2" s="1" t="s">
        <v>135</v>
      </c>
      <c r="AB2" s="1" t="s">
        <v>136</v>
      </c>
      <c r="AC2" s="70" t="s">
        <v>15</v>
      </c>
      <c r="AD2" s="59" t="s">
        <v>137</v>
      </c>
      <c r="AE2" s="1" t="s">
        <v>138</v>
      </c>
      <c r="AF2" s="1" t="s">
        <v>139</v>
      </c>
      <c r="AG2" s="1" t="s">
        <v>140</v>
      </c>
      <c r="AH2" s="59" t="s">
        <v>141</v>
      </c>
      <c r="AI2" s="1" t="s">
        <v>142</v>
      </c>
      <c r="AJ2" s="1" t="s">
        <v>143</v>
      </c>
      <c r="AK2" s="1" t="s">
        <v>144</v>
      </c>
      <c r="AL2" s="59" t="s">
        <v>145</v>
      </c>
      <c r="AM2" s="1" t="s">
        <v>146</v>
      </c>
      <c r="AN2" s="1" t="s">
        <v>147</v>
      </c>
      <c r="AO2" s="1" t="s">
        <v>148</v>
      </c>
      <c r="AP2" s="59" t="s">
        <v>149</v>
      </c>
      <c r="AQ2" s="1" t="s">
        <v>150</v>
      </c>
      <c r="AR2" s="1" t="s">
        <v>151</v>
      </c>
      <c r="AS2" s="1" t="s">
        <v>152</v>
      </c>
      <c r="AT2" s="59" t="s">
        <v>153</v>
      </c>
      <c r="AU2" s="1" t="s">
        <v>154</v>
      </c>
      <c r="AV2" s="1" t="s">
        <v>155</v>
      </c>
      <c r="AW2" s="1" t="s">
        <v>156</v>
      </c>
      <c r="AX2" s="70" t="s">
        <v>157</v>
      </c>
      <c r="AY2" s="93" t="s">
        <v>27</v>
      </c>
    </row>
    <row r="3" spans="1:130" s="146" customFormat="1" x14ac:dyDescent="0.25">
      <c r="A3" s="158" t="s">
        <v>168</v>
      </c>
      <c r="B3" s="147"/>
      <c r="C3" s="147"/>
      <c r="D3" s="159"/>
      <c r="E3" s="149"/>
      <c r="F3" s="147"/>
      <c r="G3" s="147"/>
      <c r="H3" s="149"/>
      <c r="I3" s="147"/>
      <c r="J3" s="147"/>
      <c r="K3" s="160"/>
      <c r="L3" s="147"/>
      <c r="M3" s="147"/>
      <c r="N3" s="160"/>
      <c r="O3" s="147"/>
      <c r="P3" s="147"/>
      <c r="Q3" s="160"/>
      <c r="R3" s="147"/>
      <c r="S3" s="147"/>
      <c r="T3" s="160"/>
      <c r="U3" s="147"/>
      <c r="V3" s="147"/>
      <c r="W3" s="160"/>
      <c r="X3" s="147"/>
      <c r="Y3" s="147"/>
      <c r="Z3" s="160"/>
      <c r="AA3" s="147"/>
      <c r="AB3" s="147"/>
      <c r="AC3" s="161"/>
      <c r="AD3" s="162"/>
      <c r="AE3" s="147"/>
      <c r="AF3" s="147"/>
      <c r="AG3" s="148"/>
      <c r="AH3" s="160"/>
      <c r="AI3" s="147"/>
      <c r="AJ3" s="147"/>
      <c r="AK3" s="148"/>
      <c r="AL3" s="160"/>
      <c r="AM3" s="147"/>
      <c r="AN3" s="147"/>
      <c r="AO3" s="148"/>
      <c r="AP3" s="160"/>
      <c r="AQ3" s="147"/>
      <c r="AR3" s="147"/>
      <c r="AS3" s="148"/>
      <c r="AT3" s="160"/>
      <c r="AU3" s="147"/>
      <c r="AV3" s="147"/>
      <c r="AW3" s="148"/>
      <c r="AX3" s="163"/>
      <c r="AY3" s="164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</row>
    <row r="4" spans="1:130" s="81" customFormat="1" ht="14.45" customHeight="1" x14ac:dyDescent="0.25">
      <c r="A4" s="80" t="s">
        <v>28</v>
      </c>
      <c r="D4" s="82"/>
      <c r="E4" s="83"/>
      <c r="H4" s="84"/>
      <c r="K4" s="84"/>
      <c r="N4" s="84"/>
      <c r="Q4" s="84"/>
      <c r="T4" s="84"/>
      <c r="W4" s="84"/>
      <c r="Z4" s="84"/>
      <c r="AC4" s="85"/>
      <c r="AD4" s="86"/>
      <c r="AG4" s="87"/>
      <c r="AH4" s="84"/>
      <c r="AK4" s="87"/>
      <c r="AL4" s="84"/>
      <c r="AO4" s="87"/>
      <c r="AP4" s="84"/>
      <c r="AS4" s="87"/>
      <c r="AT4" s="84"/>
      <c r="AW4" s="87"/>
      <c r="AX4" s="88"/>
      <c r="AY4" s="9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</row>
    <row r="5" spans="1:130" ht="14.45" customHeight="1" x14ac:dyDescent="0.25">
      <c r="A5" s="65" t="s">
        <v>29</v>
      </c>
      <c r="B5" t="s">
        <v>30</v>
      </c>
      <c r="C5" t="s">
        <v>31</v>
      </c>
      <c r="E5">
        <v>8318</v>
      </c>
      <c r="F5">
        <f>april2025!E5</f>
        <v>7908</v>
      </c>
      <c r="G5">
        <f>Tabel24256789101112131415171618192120222326141516[[#This Row],[Stand Coffee einde maand]]-Tabel24256789101112131415171618192120222326141516[[#This Row],[Coffee vorige maand]]</f>
        <v>410</v>
      </c>
      <c r="H5" s="53">
        <v>3852</v>
      </c>
      <c r="I5">
        <f>april2025!H5</f>
        <v>3716</v>
      </c>
      <c r="J5">
        <f>Tabel24256789101112131415171618192120222326141516[[#This Row],[Stand Espresso Einde maand]]-Tabel24256789101112131415171618192120222326141516[[#This Row],[Espresso vorige maand]]</f>
        <v>136</v>
      </c>
      <c r="K5" s="53">
        <v>2393</v>
      </c>
      <c r="L5">
        <f>april2025!K5</f>
        <v>2287</v>
      </c>
      <c r="M5">
        <f>Tabel24256789101112131415171618192120222326141516[[#This Row],[Stand Latte Macchiato einde maand]]-Tabel24256789101112131415171618192120222326141516[[#This Row],[Latte Macchiato vorige maand]]</f>
        <v>106</v>
      </c>
      <c r="N5" s="53">
        <v>1190</v>
      </c>
      <c r="O5">
        <f>april2025!N5</f>
        <v>1148</v>
      </c>
      <c r="P5">
        <f>Tabel24256789101112131415171618192120222326141516[[#This Row],[Stand Coffee Latte einde maand]]-Tabel24256789101112131415171618192120222326141516[[#This Row],[Coffee Latte vorige maand]]</f>
        <v>42</v>
      </c>
      <c r="Q5" s="53">
        <v>7173</v>
      </c>
      <c r="R5">
        <f>april2025!Q5</f>
        <v>7036</v>
      </c>
      <c r="S5">
        <f>Tabel24256789101112131415171618192120222326141516[[#This Row],[Stand Hot Water einde maand]]-Tabel24256789101112131415171618192120222326141516[[#This Row],[Hot Water vorige maand]]</f>
        <v>137</v>
      </c>
      <c r="T5" s="53">
        <v>9085</v>
      </c>
      <c r="U5">
        <f>april2025!T5</f>
        <v>8834</v>
      </c>
      <c r="V5">
        <f>Tabel24256789101112131415171618192120222326141516[[#This Row],[Stand Cappucino einde maand]]-Tabel24256789101112131415171618192120222326141516[[#This Row],[Stand Cappucino vorige maand]]</f>
        <v>251</v>
      </c>
      <c r="W5" s="53">
        <v>198</v>
      </c>
      <c r="X5">
        <f>april2025!W5</f>
        <v>190</v>
      </c>
      <c r="Y5">
        <f>Tabel24256789101112131415171618192120222326141516[[#This Row],[Stand Cappucino Plantaardig einde maand]]-Tabel24256789101112131415171618192120222326141516[[#This Row],[Stand Cappucino Plantaardig vorige maand]]</f>
        <v>8</v>
      </c>
      <c r="Z5" s="53">
        <v>368</v>
      </c>
      <c r="AA5">
        <f>april2025!Z5</f>
        <v>366</v>
      </c>
      <c r="AB5">
        <f>Tabel24256789101112131415171618192120222326141516[[#This Row],[Stand Latte Macchiato Plantaardig einde maand]]-Tabel24256789101112131415171618192120222326141516[[#This Row],[Stand Latte Macchiato Plantaardig vorige maand]]</f>
        <v>2</v>
      </c>
      <c r="AC5" s="71">
        <f>Tabel24256789101112131415171618192120222326141516[[#This Row],[Verbruik Stand Latte Macchiato Plantaardig deze maand]]+Tabel24256789101112131415171618192120222326141516[[#This Row],[Verbruik  Cappucino Plantaardig deze maand]]+Tabel24256789101112131415171618192120222326141516[[#This Row],[Verbruik Cappucino deze maand]]+Tabel24256789101112131415171618192120222326141516[[#This Row],[Verbruik Hot Water deze maand]]+Tabel24256789101112131415171618192120222326141516[[#This Row],[Verbruik Coffee Latte deze maand]]+Tabel24256789101112131415171618192120222326141516[[#This Row],[Verbruik Latte Macchiato deze maand]]+Tabel24256789101112131415171618192120222326141516[[#This Row],[Verbruik Espresso deze maand]]+Tabel24256789101112131415171618192120222326141516[[#This Row],[Verbruik Coffee deze maand]]</f>
        <v>1092</v>
      </c>
      <c r="AD5" s="69"/>
      <c r="AE5" s="41"/>
      <c r="AF5" s="5"/>
      <c r="AG5" s="5"/>
      <c r="AH5" s="69"/>
      <c r="AI5" s="41"/>
      <c r="AJ5" s="5"/>
      <c r="AK5" s="5"/>
      <c r="AL5" s="69"/>
      <c r="AM5" s="41"/>
      <c r="AN5" s="5"/>
      <c r="AO5" s="5"/>
      <c r="AP5" s="69"/>
      <c r="AQ5" s="41"/>
      <c r="AR5" s="5"/>
      <c r="AS5" s="5"/>
      <c r="AT5" s="69"/>
      <c r="AU5" s="41"/>
      <c r="AV5" s="5"/>
      <c r="AW5" s="7"/>
      <c r="AX5" s="78"/>
      <c r="AY5" s="95">
        <f>Tabel24256789101112131415171618192120222326141516[[#This Row],[Subtotaal waterbar in consumpties]]+Tabel24256789101112131415171618192120222326141516[[#This Row],[Subtotaal koffieautomaten]]</f>
        <v>1092</v>
      </c>
    </row>
    <row r="6" spans="1:130" ht="14.45" customHeight="1" x14ac:dyDescent="0.25">
      <c r="A6" s="65" t="s">
        <v>32</v>
      </c>
      <c r="B6" t="s">
        <v>33</v>
      </c>
      <c r="C6" t="s">
        <v>31</v>
      </c>
      <c r="E6">
        <v>12930</v>
      </c>
      <c r="F6">
        <f>april2025!E6</f>
        <v>12565</v>
      </c>
      <c r="G6">
        <f>Tabel24256789101112131415171618192120222326141516[[#This Row],[Stand Coffee einde maand]]-Tabel24256789101112131415171618192120222326141516[[#This Row],[Coffee vorige maand]]</f>
        <v>365</v>
      </c>
      <c r="H6" s="53">
        <v>3634</v>
      </c>
      <c r="I6">
        <f>april2025!H6</f>
        <v>3504</v>
      </c>
      <c r="J6">
        <f>Tabel24256789101112131415171618192120222326141516[[#This Row],[Stand Espresso Einde maand]]-Tabel24256789101112131415171618192120222326141516[[#This Row],[Espresso vorige maand]]</f>
        <v>130</v>
      </c>
      <c r="K6" s="53">
        <v>2487</v>
      </c>
      <c r="L6">
        <f>april2025!K6</f>
        <v>2431</v>
      </c>
      <c r="M6">
        <f>Tabel24256789101112131415171618192120222326141516[[#This Row],[Stand Latte Macchiato einde maand]]-Tabel24256789101112131415171618192120222326141516[[#This Row],[Latte Macchiato vorige maand]]</f>
        <v>56</v>
      </c>
      <c r="N6" s="53">
        <v>2046</v>
      </c>
      <c r="O6">
        <f>april2025!N6</f>
        <v>2021</v>
      </c>
      <c r="P6">
        <f>Tabel24256789101112131415171618192120222326141516[[#This Row],[Stand Coffee Latte einde maand]]-Tabel24256789101112131415171618192120222326141516[[#This Row],[Coffee Latte vorige maand]]</f>
        <v>25</v>
      </c>
      <c r="Q6" s="53">
        <v>28484</v>
      </c>
      <c r="R6">
        <f>april2025!Q6</f>
        <v>27526</v>
      </c>
      <c r="S6">
        <f>Tabel24256789101112131415171618192120222326141516[[#This Row],[Stand Hot Water einde maand]]-Tabel24256789101112131415171618192120222326141516[[#This Row],[Hot Water vorige maand]]</f>
        <v>958</v>
      </c>
      <c r="T6" s="53">
        <v>12184</v>
      </c>
      <c r="U6">
        <f>april2025!T6</f>
        <v>11902</v>
      </c>
      <c r="V6">
        <f>Tabel24256789101112131415171618192120222326141516[[#This Row],[Stand Cappucino einde maand]]-Tabel24256789101112131415171618192120222326141516[[#This Row],[Stand Cappucino vorige maand]]</f>
        <v>282</v>
      </c>
      <c r="W6" s="53">
        <v>1679</v>
      </c>
      <c r="X6">
        <f>april2025!W6</f>
        <v>1625</v>
      </c>
      <c r="Y6">
        <f>Tabel24256789101112131415171618192120222326141516[[#This Row],[Stand Cappucino Plantaardig einde maand]]-Tabel24256789101112131415171618192120222326141516[[#This Row],[Stand Cappucino Plantaardig vorige maand]]</f>
        <v>54</v>
      </c>
      <c r="Z6" s="53">
        <v>752</v>
      </c>
      <c r="AA6">
        <f>april2025!Z6</f>
        <v>723</v>
      </c>
      <c r="AB6">
        <f>Tabel24256789101112131415171618192120222326141516[[#This Row],[Stand Latte Macchiato Plantaardig einde maand]]-Tabel24256789101112131415171618192120222326141516[[#This Row],[Stand Latte Macchiato Plantaardig vorige maand]]</f>
        <v>29</v>
      </c>
      <c r="AC6" s="71">
        <f>Tabel24256789101112131415171618192120222326141516[[#This Row],[Verbruik Stand Latte Macchiato Plantaardig deze maand]]+Tabel24256789101112131415171618192120222326141516[[#This Row],[Verbruik  Cappucino Plantaardig deze maand]]+Tabel24256789101112131415171618192120222326141516[[#This Row],[Verbruik Cappucino deze maand]]+Tabel24256789101112131415171618192120222326141516[[#This Row],[Verbruik Hot Water deze maand]]+Tabel24256789101112131415171618192120222326141516[[#This Row],[Verbruik Coffee Latte deze maand]]+Tabel24256789101112131415171618192120222326141516[[#This Row],[Verbruik Latte Macchiato deze maand]]+Tabel24256789101112131415171618192120222326141516[[#This Row],[Verbruik Espresso deze maand]]+Tabel24256789101112131415171618192120222326141516[[#This Row],[Verbruik Coffee deze maand]]</f>
        <v>1899</v>
      </c>
      <c r="AD6" s="69"/>
      <c r="AE6" s="41"/>
      <c r="AF6" s="5"/>
      <c r="AG6" s="5"/>
      <c r="AH6" s="69"/>
      <c r="AI6" s="41"/>
      <c r="AJ6" s="5"/>
      <c r="AK6" s="5"/>
      <c r="AL6" s="69"/>
      <c r="AM6" s="41"/>
      <c r="AN6" s="5"/>
      <c r="AO6" s="5"/>
      <c r="AP6" s="69"/>
      <c r="AQ6" s="41"/>
      <c r="AR6" s="5"/>
      <c r="AS6" s="5"/>
      <c r="AT6" s="69"/>
      <c r="AU6" s="41"/>
      <c r="AV6" s="5"/>
      <c r="AW6" s="7"/>
      <c r="AX6" s="78"/>
      <c r="AY6" s="95">
        <f>Tabel24256789101112131415171618192120222326141516[[#This Row],[Subtotaal waterbar in consumpties]]+Tabel24256789101112131415171618192120222326141516[[#This Row],[Subtotaal koffieautomaten]]</f>
        <v>1899</v>
      </c>
    </row>
    <row r="7" spans="1:130" ht="14.45" customHeight="1" x14ac:dyDescent="0.25">
      <c r="A7" s="65" t="s">
        <v>34</v>
      </c>
      <c r="B7" t="s">
        <v>35</v>
      </c>
      <c r="C7" t="s">
        <v>47</v>
      </c>
      <c r="E7">
        <v>12360</v>
      </c>
      <c r="F7">
        <f>april2025!E7</f>
        <v>11823</v>
      </c>
      <c r="G7">
        <f>Tabel24256789101112131415171618192120222326141516[[#This Row],[Stand Coffee einde maand]]-Tabel24256789101112131415171618192120222326141516[[#This Row],[Coffee vorige maand]]</f>
        <v>537</v>
      </c>
      <c r="H7" s="53">
        <v>3325</v>
      </c>
      <c r="I7">
        <f>april2025!H7</f>
        <v>3136</v>
      </c>
      <c r="J7">
        <f>Tabel24256789101112131415171618192120222326141516[[#This Row],[Stand Espresso Einde maand]]-Tabel24256789101112131415171618192120222326141516[[#This Row],[Espresso vorige maand]]</f>
        <v>189</v>
      </c>
      <c r="K7" s="53">
        <v>3106</v>
      </c>
      <c r="L7">
        <f>april2025!K7</f>
        <v>3026</v>
      </c>
      <c r="M7">
        <f>Tabel24256789101112131415171618192120222326141516[[#This Row],[Stand Latte Macchiato einde maand]]-Tabel24256789101112131415171618192120222326141516[[#This Row],[Latte Macchiato vorige maand]]</f>
        <v>80</v>
      </c>
      <c r="N7" s="53">
        <v>1423</v>
      </c>
      <c r="O7">
        <f>april2025!N7</f>
        <v>1375</v>
      </c>
      <c r="P7">
        <f>Tabel24256789101112131415171618192120222326141516[[#This Row],[Stand Coffee Latte einde maand]]-Tabel24256789101112131415171618192120222326141516[[#This Row],[Coffee Latte vorige maand]]</f>
        <v>48</v>
      </c>
      <c r="Q7" s="53">
        <v>11530</v>
      </c>
      <c r="R7">
        <f>april2025!Q7</f>
        <v>11195</v>
      </c>
      <c r="S7">
        <f>Tabel24256789101112131415171618192120222326141516[[#This Row],[Stand Hot Water einde maand]]-Tabel24256789101112131415171618192120222326141516[[#This Row],[Hot Water vorige maand]]</f>
        <v>335</v>
      </c>
      <c r="T7" s="53">
        <v>11708</v>
      </c>
      <c r="U7">
        <f>april2025!T7</f>
        <v>11262</v>
      </c>
      <c r="V7">
        <f>Tabel24256789101112131415171618192120222326141516[[#This Row],[Stand Cappucino einde maand]]-Tabel24256789101112131415171618192120222326141516[[#This Row],[Stand Cappucino vorige maand]]</f>
        <v>446</v>
      </c>
      <c r="W7" s="53">
        <v>1077</v>
      </c>
      <c r="X7">
        <f>april2025!W7</f>
        <v>1040</v>
      </c>
      <c r="Y7">
        <f>Tabel24256789101112131415171618192120222326141516[[#This Row],[Stand Cappucino Plantaardig einde maand]]-Tabel24256789101112131415171618192120222326141516[[#This Row],[Stand Cappucino Plantaardig vorige maand]]</f>
        <v>37</v>
      </c>
      <c r="Z7" s="53">
        <v>465</v>
      </c>
      <c r="AA7">
        <f>april2025!Z7</f>
        <v>434</v>
      </c>
      <c r="AB7">
        <f>Tabel24256789101112131415171618192120222326141516[[#This Row],[Stand Latte Macchiato Plantaardig einde maand]]-Tabel24256789101112131415171618192120222326141516[[#This Row],[Stand Latte Macchiato Plantaardig vorige maand]]</f>
        <v>31</v>
      </c>
      <c r="AC7" s="71">
        <f>Tabel24256789101112131415171618192120222326141516[[#This Row],[Verbruik Stand Latte Macchiato Plantaardig deze maand]]+Tabel24256789101112131415171618192120222326141516[[#This Row],[Verbruik  Cappucino Plantaardig deze maand]]+Tabel24256789101112131415171618192120222326141516[[#This Row],[Verbruik Cappucino deze maand]]+Tabel24256789101112131415171618192120222326141516[[#This Row],[Verbruik Hot Water deze maand]]+Tabel24256789101112131415171618192120222326141516[[#This Row],[Verbruik Coffee Latte deze maand]]+Tabel24256789101112131415171618192120222326141516[[#This Row],[Verbruik Latte Macchiato deze maand]]+Tabel24256789101112131415171618192120222326141516[[#This Row],[Verbruik Espresso deze maand]]+Tabel24256789101112131415171618192120222326141516[[#This Row],[Verbruik Coffee deze maand]]</f>
        <v>1703</v>
      </c>
      <c r="AD7" s="53">
        <v>273.5</v>
      </c>
      <c r="AE7">
        <f>april2025!AD7</f>
        <v>225.1</v>
      </c>
      <c r="AF7">
        <f>Tabel24256789101112131415171618192120222326141516[[#This Row],[Stand Kamertemp liter einde maand]]-Tabel24256789101112131415171618192120222326141516[[#This Row],[Stand Kamertemp liter vorige maand]]</f>
        <v>48.400000000000006</v>
      </c>
      <c r="AG7" s="2">
        <f>Tabel24256789101112131415171618192120222326141516[[#This Row],[Verbruik Kamertemp liter deze maand]]/0.15</f>
        <v>322.66666666666674</v>
      </c>
      <c r="AH7" s="53">
        <v>768.7</v>
      </c>
      <c r="AI7">
        <f>april2025!AH7</f>
        <v>594.6</v>
      </c>
      <c r="AJ7">
        <f>Tabel24256789101112131415171618192120222326141516[[#This Row],[Stand Gekoeld liter einde maand]]-Tabel24256789101112131415171618192120222326141516[[#This Row],[Stand Gekoeld liter vorige maand]]</f>
        <v>174.10000000000002</v>
      </c>
      <c r="AK7" s="2">
        <f>Tabel24256789101112131415171618192120222326141516[[#This Row],[Verbruik Gekoeld liter deze maand]]/0.15</f>
        <v>1160.666666666667</v>
      </c>
      <c r="AL7" s="53">
        <v>438.9</v>
      </c>
      <c r="AM7">
        <f>april2025!AL7</f>
        <v>368.6</v>
      </c>
      <c r="AN7">
        <f>Tabel24256789101112131415171618192120222326141516[[#This Row],[Stand Bruisend liter einde maand]]-Tabel24256789101112131415171618192120222326141516[[#This Row],[Stand Bruisend liter vorige maand]]</f>
        <v>70.299999999999955</v>
      </c>
      <c r="AO7" s="2">
        <f>Tabel24256789101112131415171618192120222326141516[[#This Row],[Verbruik Bruisend liter deze maand]]/0.15</f>
        <v>468.6666666666664</v>
      </c>
      <c r="AP7" s="53">
        <v>316.2</v>
      </c>
      <c r="AQ7">
        <f>april2025!AP7</f>
        <v>244.4</v>
      </c>
      <c r="AR7">
        <f>Tabel24256789101112131415171618192120222326141516[[#This Row],[Stand licht bruisend liter einde maand]]-Tabel24256789101112131415171618192120222326141516[[#This Row],[Stand licht bruisend liter vorige maand]]</f>
        <v>71.799999999999983</v>
      </c>
      <c r="AS7" s="2">
        <f>Tabel24256789101112131415171618192120222326141516[[#This Row],[Verbruik licht bruisend liter deze maand]]/0.15</f>
        <v>478.66666666666657</v>
      </c>
      <c r="AT7" s="53">
        <v>1330.4</v>
      </c>
      <c r="AU7">
        <f>april2025!AT7</f>
        <v>1138.8</v>
      </c>
      <c r="AV7">
        <f>Tabel24256789101112131415171618192120222326141516[[#This Row],[Stand heet water liter einde maand]]-Tabel24256789101112131415171618192120222326141516[[#This Row],[Stand heet water liter vorige maand]]</f>
        <v>191.60000000000014</v>
      </c>
      <c r="AW7" s="2">
        <f>Tabel24256789101112131415171618192120222326141516[[#This Row],[Verbruik heet Water liter deze maand ]]/0.15</f>
        <v>1277.3333333333344</v>
      </c>
      <c r="AX7" s="77">
        <f>Tabel24256789101112131415171618192120222326141516[[#This Row],[Aantal consumpties heet water deze maand]]+Tabel24256789101112131415171618192120222326141516[[#This Row],[Aantal consumpties licht bruisend water deze maand]]+Tabel24256789101112131415171618192120222326141516[[#This Row],[aantal consumpties Bruisend water deze maand]]+Tabel24256789101112131415171618192120222326141516[[#This Row],[Aantal consumpties gekoeld water deze maand]]+Tabel24256789101112131415171618192120222326141516[[#This Row],[Aantal consumpties Kamertemp deze maand]]</f>
        <v>3708.0000000000009</v>
      </c>
      <c r="AY7" s="95">
        <f>Tabel24256789101112131415171618192120222326141516[[#This Row],[Subtotaal waterbar in consumpties]]+Tabel24256789101112131415171618192120222326141516[[#This Row],[Subtotaal koffieautomaten]]</f>
        <v>5411.0000000000009</v>
      </c>
    </row>
    <row r="8" spans="1:130" ht="14.45" customHeight="1" x14ac:dyDescent="0.25">
      <c r="A8" s="65" t="s">
        <v>37</v>
      </c>
      <c r="B8" t="s">
        <v>38</v>
      </c>
      <c r="C8" t="s">
        <v>31</v>
      </c>
      <c r="E8">
        <v>19543</v>
      </c>
      <c r="F8">
        <f>april2025!E8</f>
        <v>18994</v>
      </c>
      <c r="G8">
        <f>Tabel24256789101112131415171618192120222326141516[[#This Row],[Stand Coffee einde maand]]-Tabel24256789101112131415171618192120222326141516[[#This Row],[Coffee vorige maand]]</f>
        <v>549</v>
      </c>
      <c r="H8" s="53">
        <v>4317</v>
      </c>
      <c r="I8">
        <f>april2025!H8</f>
        <v>4241</v>
      </c>
      <c r="J8">
        <f>Tabel24256789101112131415171618192120222326141516[[#This Row],[Stand Espresso Einde maand]]-Tabel24256789101112131415171618192120222326141516[[#This Row],[Espresso vorige maand]]</f>
        <v>76</v>
      </c>
      <c r="K8" s="53">
        <v>2276</v>
      </c>
      <c r="L8">
        <f>april2025!K8</f>
        <v>2244</v>
      </c>
      <c r="M8">
        <f>Tabel24256789101112131415171618192120222326141516[[#This Row],[Stand Latte Macchiato einde maand]]-Tabel24256789101112131415171618192120222326141516[[#This Row],[Latte Macchiato vorige maand]]</f>
        <v>32</v>
      </c>
      <c r="N8" s="53">
        <v>2950</v>
      </c>
      <c r="O8">
        <f>april2025!N8</f>
        <v>2800</v>
      </c>
      <c r="P8">
        <f>Tabel24256789101112131415171618192120222326141516[[#This Row],[Stand Coffee Latte einde maand]]-Tabel24256789101112131415171618192120222326141516[[#This Row],[Coffee Latte vorige maand]]</f>
        <v>150</v>
      </c>
      <c r="Q8" s="53">
        <v>43264</v>
      </c>
      <c r="R8">
        <f>april2025!Q8</f>
        <v>41804</v>
      </c>
      <c r="S8">
        <f>Tabel24256789101112131415171618192120222326141516[[#This Row],[Stand Hot Water einde maand]]-Tabel24256789101112131415171618192120222326141516[[#This Row],[Hot Water vorige maand]]</f>
        <v>1460</v>
      </c>
      <c r="T8" s="53">
        <v>11553</v>
      </c>
      <c r="U8">
        <f>april2025!T8</f>
        <v>11195</v>
      </c>
      <c r="V8">
        <f>Tabel24256789101112131415171618192120222326141516[[#This Row],[Stand Cappucino einde maand]]-Tabel24256789101112131415171618192120222326141516[[#This Row],[Stand Cappucino vorige maand]]</f>
        <v>358</v>
      </c>
      <c r="W8" s="53">
        <v>1011</v>
      </c>
      <c r="X8">
        <f>april2025!W8</f>
        <v>948</v>
      </c>
      <c r="Y8">
        <f>Tabel24256789101112131415171618192120222326141516[[#This Row],[Stand Cappucino Plantaardig einde maand]]-Tabel24256789101112131415171618192120222326141516[[#This Row],[Stand Cappucino Plantaardig vorige maand]]</f>
        <v>63</v>
      </c>
      <c r="Z8" s="53">
        <v>564</v>
      </c>
      <c r="AA8">
        <f>april2025!Z8</f>
        <v>530</v>
      </c>
      <c r="AB8">
        <f>Tabel24256789101112131415171618192120222326141516[[#This Row],[Stand Latte Macchiato Plantaardig einde maand]]-Tabel24256789101112131415171618192120222326141516[[#This Row],[Stand Latte Macchiato Plantaardig vorige maand]]</f>
        <v>34</v>
      </c>
      <c r="AC8" s="71">
        <f>Tabel24256789101112131415171618192120222326141516[[#This Row],[Verbruik Stand Latte Macchiato Plantaardig deze maand]]+Tabel24256789101112131415171618192120222326141516[[#This Row],[Verbruik  Cappucino Plantaardig deze maand]]+Tabel24256789101112131415171618192120222326141516[[#This Row],[Verbruik Cappucino deze maand]]+Tabel24256789101112131415171618192120222326141516[[#This Row],[Verbruik Hot Water deze maand]]+Tabel24256789101112131415171618192120222326141516[[#This Row],[Verbruik Coffee Latte deze maand]]+Tabel24256789101112131415171618192120222326141516[[#This Row],[Verbruik Latte Macchiato deze maand]]+Tabel24256789101112131415171618192120222326141516[[#This Row],[Verbruik Espresso deze maand]]+Tabel24256789101112131415171618192120222326141516[[#This Row],[Verbruik Coffee deze maand]]</f>
        <v>2722</v>
      </c>
      <c r="AD8" s="69"/>
      <c r="AE8" s="41"/>
      <c r="AF8" s="5"/>
      <c r="AG8" s="41"/>
      <c r="AH8" s="69"/>
      <c r="AI8" s="41"/>
      <c r="AJ8" s="41"/>
      <c r="AK8" s="41"/>
      <c r="AL8" s="75"/>
      <c r="AM8" s="41"/>
      <c r="AN8" s="41"/>
      <c r="AO8" s="5"/>
      <c r="AP8" s="69"/>
      <c r="AQ8" s="41"/>
      <c r="AR8" s="5"/>
      <c r="AS8" s="41"/>
      <c r="AT8" s="69"/>
      <c r="AU8" s="41"/>
      <c r="AV8" s="41"/>
      <c r="AW8" s="41"/>
      <c r="AX8" s="79"/>
      <c r="AY8" s="95">
        <f>Tabel24256789101112131415171618192120222326141516[[#This Row],[Subtotaal waterbar in consumpties]]+Tabel24256789101112131415171618192120222326141516[[#This Row],[Subtotaal koffieautomaten]]</f>
        <v>2722</v>
      </c>
    </row>
    <row r="9" spans="1:130" ht="14.45" customHeight="1" x14ac:dyDescent="0.25">
      <c r="A9" s="65" t="s">
        <v>39</v>
      </c>
      <c r="B9" t="s">
        <v>40</v>
      </c>
      <c r="C9" t="s">
        <v>31</v>
      </c>
      <c r="E9">
        <v>24488</v>
      </c>
      <c r="F9">
        <f>april2025!E9</f>
        <v>23779</v>
      </c>
      <c r="G9">
        <f>Tabel24256789101112131415171618192120222326141516[[#This Row],[Stand Coffee einde maand]]-Tabel24256789101112131415171618192120222326141516[[#This Row],[Coffee vorige maand]]</f>
        <v>709</v>
      </c>
      <c r="H9" s="53">
        <v>4086</v>
      </c>
      <c r="I9">
        <f>april2025!H9</f>
        <v>3896</v>
      </c>
      <c r="J9">
        <f>Tabel24256789101112131415171618192120222326141516[[#This Row],[Stand Espresso Einde maand]]-Tabel24256789101112131415171618192120222326141516[[#This Row],[Espresso vorige maand]]</f>
        <v>190</v>
      </c>
      <c r="K9" s="53">
        <v>2924</v>
      </c>
      <c r="L9">
        <f>april2025!K9</f>
        <v>2886</v>
      </c>
      <c r="M9">
        <f>Tabel24256789101112131415171618192120222326141516[[#This Row],[Stand Latte Macchiato einde maand]]-Tabel24256789101112131415171618192120222326141516[[#This Row],[Latte Macchiato vorige maand]]</f>
        <v>38</v>
      </c>
      <c r="N9" s="53">
        <v>2055</v>
      </c>
      <c r="O9">
        <f>april2025!N9</f>
        <v>1980</v>
      </c>
      <c r="P9">
        <f>Tabel24256789101112131415171618192120222326141516[[#This Row],[Stand Coffee Latte einde maand]]-Tabel24256789101112131415171618192120222326141516[[#This Row],[Coffee Latte vorige maand]]</f>
        <v>75</v>
      </c>
      <c r="Q9" s="53">
        <v>34163</v>
      </c>
      <c r="R9">
        <f>april2025!Q9</f>
        <v>33198</v>
      </c>
      <c r="S9">
        <f>Tabel24256789101112131415171618192120222326141516[[#This Row],[Stand Hot Water einde maand]]-Tabel24256789101112131415171618192120222326141516[[#This Row],[Hot Water vorige maand]]</f>
        <v>965</v>
      </c>
      <c r="T9" s="53">
        <v>19015</v>
      </c>
      <c r="U9">
        <f>april2025!T9</f>
        <v>18594</v>
      </c>
      <c r="V9">
        <f>Tabel24256789101112131415171618192120222326141516[[#This Row],[Stand Cappucino einde maand]]-Tabel24256789101112131415171618192120222326141516[[#This Row],[Stand Cappucino vorige maand]]</f>
        <v>421</v>
      </c>
      <c r="W9" s="53">
        <v>801</v>
      </c>
      <c r="X9">
        <f>april2025!W9</f>
        <v>791</v>
      </c>
      <c r="Y9">
        <f>Tabel24256789101112131415171618192120222326141516[[#This Row],[Stand Cappucino Plantaardig einde maand]]-Tabel24256789101112131415171618192120222326141516[[#This Row],[Stand Cappucino Plantaardig vorige maand]]</f>
        <v>10</v>
      </c>
      <c r="Z9" s="53">
        <v>219</v>
      </c>
      <c r="AA9">
        <f>april2025!Z9</f>
        <v>217</v>
      </c>
      <c r="AB9">
        <f>Tabel24256789101112131415171618192120222326141516[[#This Row],[Stand Latte Macchiato Plantaardig einde maand]]-Tabel24256789101112131415171618192120222326141516[[#This Row],[Stand Latte Macchiato Plantaardig vorige maand]]</f>
        <v>2</v>
      </c>
      <c r="AC9" s="71">
        <f>Tabel24256789101112131415171618192120222326141516[[#This Row],[Verbruik Stand Latte Macchiato Plantaardig deze maand]]+Tabel24256789101112131415171618192120222326141516[[#This Row],[Verbruik  Cappucino Plantaardig deze maand]]+Tabel24256789101112131415171618192120222326141516[[#This Row],[Verbruik Cappucino deze maand]]+Tabel24256789101112131415171618192120222326141516[[#This Row],[Verbruik Hot Water deze maand]]+Tabel24256789101112131415171618192120222326141516[[#This Row],[Verbruik Coffee Latte deze maand]]+Tabel24256789101112131415171618192120222326141516[[#This Row],[Verbruik Latte Macchiato deze maand]]+Tabel24256789101112131415171618192120222326141516[[#This Row],[Verbruik Espresso deze maand]]+Tabel24256789101112131415171618192120222326141516[[#This Row],[Verbruik Coffee deze maand]]</f>
        <v>2410</v>
      </c>
      <c r="AD9" s="69"/>
      <c r="AE9" s="41"/>
      <c r="AF9" s="5"/>
      <c r="AG9" s="41"/>
      <c r="AH9" s="69"/>
      <c r="AI9" s="41"/>
      <c r="AJ9" s="41"/>
      <c r="AK9" s="41"/>
      <c r="AL9" s="75"/>
      <c r="AM9" s="41"/>
      <c r="AN9" s="41"/>
      <c r="AO9" s="5"/>
      <c r="AP9" s="69"/>
      <c r="AQ9" s="41"/>
      <c r="AR9" s="5"/>
      <c r="AS9" s="41"/>
      <c r="AT9" s="69"/>
      <c r="AU9" s="41"/>
      <c r="AV9" s="41"/>
      <c r="AW9" s="41"/>
      <c r="AX9" s="79"/>
      <c r="AY9" s="95">
        <f>Tabel24256789101112131415171618192120222326141516[[#This Row],[Subtotaal waterbar in consumpties]]+Tabel24256789101112131415171618192120222326141516[[#This Row],[Subtotaal koffieautomaten]]</f>
        <v>2410</v>
      </c>
    </row>
    <row r="10" spans="1:130" ht="14.45" customHeight="1" x14ac:dyDescent="0.25">
      <c r="A10" s="65" t="s">
        <v>41</v>
      </c>
      <c r="B10" t="s">
        <v>42</v>
      </c>
      <c r="C10" t="s">
        <v>31</v>
      </c>
      <c r="E10">
        <v>13419</v>
      </c>
      <c r="F10">
        <f>april2025!E10</f>
        <v>12928</v>
      </c>
      <c r="G10">
        <f>Tabel24256789101112131415171618192120222326141516[[#This Row],[Stand Coffee einde maand]]-Tabel24256789101112131415171618192120222326141516[[#This Row],[Coffee vorige maand]]</f>
        <v>491</v>
      </c>
      <c r="H10" s="53">
        <v>3029</v>
      </c>
      <c r="I10">
        <f>april2025!H10</f>
        <v>2919</v>
      </c>
      <c r="J10">
        <f>Tabel24256789101112131415171618192120222326141516[[#This Row],[Stand Espresso Einde maand]]-Tabel24256789101112131415171618192120222326141516[[#This Row],[Espresso vorige maand]]</f>
        <v>110</v>
      </c>
      <c r="K10" s="53">
        <v>2330</v>
      </c>
      <c r="L10">
        <f>april2025!K10</f>
        <v>2267</v>
      </c>
      <c r="M10">
        <f>Tabel24256789101112131415171618192120222326141516[[#This Row],[Stand Latte Macchiato einde maand]]-Tabel24256789101112131415171618192120222326141516[[#This Row],[Latte Macchiato vorige maand]]</f>
        <v>63</v>
      </c>
      <c r="N10" s="53">
        <v>1288</v>
      </c>
      <c r="O10">
        <f>april2025!N10</f>
        <v>1252</v>
      </c>
      <c r="P10">
        <f>Tabel24256789101112131415171618192120222326141516[[#This Row],[Stand Coffee Latte einde maand]]-Tabel24256789101112131415171618192120222326141516[[#This Row],[Coffee Latte vorige maand]]</f>
        <v>36</v>
      </c>
      <c r="Q10" s="53">
        <v>38466</v>
      </c>
      <c r="R10">
        <f>april2025!Q10</f>
        <v>37255</v>
      </c>
      <c r="S10">
        <f>Tabel24256789101112131415171618192120222326141516[[#This Row],[Stand Hot Water einde maand]]-Tabel24256789101112131415171618192120222326141516[[#This Row],[Hot Water vorige maand]]</f>
        <v>1211</v>
      </c>
      <c r="T10" s="53">
        <v>8811</v>
      </c>
      <c r="U10">
        <f>april2025!T10</f>
        <v>8465</v>
      </c>
      <c r="V10">
        <f>Tabel24256789101112131415171618192120222326141516[[#This Row],[Stand Cappucino einde maand]]-Tabel24256789101112131415171618192120222326141516[[#This Row],[Stand Cappucino vorige maand]]</f>
        <v>346</v>
      </c>
      <c r="W10" s="53">
        <v>1962</v>
      </c>
      <c r="X10">
        <f>april2025!W10</f>
        <v>1879</v>
      </c>
      <c r="Y10">
        <f>Tabel24256789101112131415171618192120222326141516[[#This Row],[Stand Cappucino Plantaardig einde maand]]-Tabel24256789101112131415171618192120222326141516[[#This Row],[Stand Cappucino Plantaardig vorige maand]]</f>
        <v>83</v>
      </c>
      <c r="Z10" s="53">
        <v>726</v>
      </c>
      <c r="AA10">
        <f>april2025!Z10</f>
        <v>711</v>
      </c>
      <c r="AB10">
        <f>Tabel24256789101112131415171618192120222326141516[[#This Row],[Stand Latte Macchiato Plantaardig einde maand]]-Tabel24256789101112131415171618192120222326141516[[#This Row],[Stand Latte Macchiato Plantaardig vorige maand]]</f>
        <v>15</v>
      </c>
      <c r="AC10" s="71">
        <f>Tabel24256789101112131415171618192120222326141516[[#This Row],[Verbruik Stand Latte Macchiato Plantaardig deze maand]]+Tabel24256789101112131415171618192120222326141516[[#This Row],[Verbruik  Cappucino Plantaardig deze maand]]+Tabel24256789101112131415171618192120222326141516[[#This Row],[Verbruik Cappucino deze maand]]+Tabel24256789101112131415171618192120222326141516[[#This Row],[Verbruik Hot Water deze maand]]+Tabel24256789101112131415171618192120222326141516[[#This Row],[Verbruik Coffee Latte deze maand]]+Tabel24256789101112131415171618192120222326141516[[#This Row],[Verbruik Latte Macchiato deze maand]]+Tabel24256789101112131415171618192120222326141516[[#This Row],[Verbruik Espresso deze maand]]+Tabel24256789101112131415171618192120222326141516[[#This Row],[Verbruik Coffee deze maand]]</f>
        <v>2355</v>
      </c>
      <c r="AD10" s="69"/>
      <c r="AE10" s="41"/>
      <c r="AF10" s="5"/>
      <c r="AG10" s="41"/>
      <c r="AH10" s="69"/>
      <c r="AI10" s="41"/>
      <c r="AJ10" s="41"/>
      <c r="AK10" s="41"/>
      <c r="AL10" s="75"/>
      <c r="AM10" s="41"/>
      <c r="AN10" s="41"/>
      <c r="AO10" s="5"/>
      <c r="AP10" s="69"/>
      <c r="AQ10" s="41"/>
      <c r="AR10" s="5"/>
      <c r="AS10" s="41"/>
      <c r="AT10" s="69"/>
      <c r="AU10" s="41"/>
      <c r="AV10" s="41"/>
      <c r="AW10" s="41"/>
      <c r="AX10" s="79"/>
      <c r="AY10" s="95">
        <f>Tabel24256789101112131415171618192120222326141516[[#This Row],[Subtotaal waterbar in consumpties]]+Tabel24256789101112131415171618192120222326141516[[#This Row],[Subtotaal koffieautomaten]]</f>
        <v>2355</v>
      </c>
    </row>
    <row r="11" spans="1:130" ht="14.45" customHeight="1" x14ac:dyDescent="0.25">
      <c r="A11" s="65" t="s">
        <v>43</v>
      </c>
      <c r="B11" t="s">
        <v>44</v>
      </c>
      <c r="C11" t="s">
        <v>31</v>
      </c>
      <c r="E11">
        <v>16252</v>
      </c>
      <c r="F11">
        <f>april2025!E11</f>
        <v>15674</v>
      </c>
      <c r="G11">
        <f>Tabel24256789101112131415171618192120222326141516[[#This Row],[Stand Coffee einde maand]]-Tabel24256789101112131415171618192120222326141516[[#This Row],[Coffee vorige maand]]</f>
        <v>578</v>
      </c>
      <c r="H11" s="53">
        <v>3627</v>
      </c>
      <c r="I11">
        <f>april2025!H11</f>
        <v>3455</v>
      </c>
      <c r="J11">
        <f>Tabel24256789101112131415171618192120222326141516[[#This Row],[Stand Espresso Einde maand]]-Tabel24256789101112131415171618192120222326141516[[#This Row],[Espresso vorige maand]]</f>
        <v>172</v>
      </c>
      <c r="K11" s="53">
        <v>988</v>
      </c>
      <c r="L11">
        <f>april2025!K11</f>
        <v>970</v>
      </c>
      <c r="M11">
        <f>Tabel24256789101112131415171618192120222326141516[[#This Row],[Stand Latte Macchiato einde maand]]-Tabel24256789101112131415171618192120222326141516[[#This Row],[Latte Macchiato vorige maand]]</f>
        <v>18</v>
      </c>
      <c r="N11" s="53">
        <v>1325</v>
      </c>
      <c r="O11">
        <f>april2025!N11</f>
        <v>1308</v>
      </c>
      <c r="P11">
        <f>Tabel24256789101112131415171618192120222326141516[[#This Row],[Stand Coffee Latte einde maand]]-Tabel24256789101112131415171618192120222326141516[[#This Row],[Coffee Latte vorige maand]]</f>
        <v>17</v>
      </c>
      <c r="Q11" s="53">
        <v>27864</v>
      </c>
      <c r="R11">
        <f>april2025!Q11</f>
        <v>26967</v>
      </c>
      <c r="S11">
        <f>Tabel24256789101112131415171618192120222326141516[[#This Row],[Stand Hot Water einde maand]]-Tabel24256789101112131415171618192120222326141516[[#This Row],[Hot Water vorige maand]]</f>
        <v>897</v>
      </c>
      <c r="T11" s="53">
        <v>8880</v>
      </c>
      <c r="U11">
        <f>april2025!T11</f>
        <v>8668</v>
      </c>
      <c r="V11">
        <f>Tabel24256789101112131415171618192120222326141516[[#This Row],[Stand Cappucino einde maand]]-Tabel24256789101112131415171618192120222326141516[[#This Row],[Stand Cappucino vorige maand]]</f>
        <v>212</v>
      </c>
      <c r="W11" s="53">
        <v>1598</v>
      </c>
      <c r="X11">
        <f>april2025!W11</f>
        <v>1590</v>
      </c>
      <c r="Y11">
        <f>Tabel24256789101112131415171618192120222326141516[[#This Row],[Stand Cappucino Plantaardig einde maand]]-Tabel24256789101112131415171618192120222326141516[[#This Row],[Stand Cappucino Plantaardig vorige maand]]</f>
        <v>8</v>
      </c>
      <c r="Z11" s="53">
        <v>1337</v>
      </c>
      <c r="AA11">
        <f>april2025!Z11</f>
        <v>1321</v>
      </c>
      <c r="AB11">
        <f>Tabel24256789101112131415171618192120222326141516[[#This Row],[Stand Latte Macchiato Plantaardig einde maand]]-Tabel24256789101112131415171618192120222326141516[[#This Row],[Stand Latte Macchiato Plantaardig vorige maand]]</f>
        <v>16</v>
      </c>
      <c r="AC11" s="71">
        <f>Tabel24256789101112131415171618192120222326141516[[#This Row],[Verbruik Stand Latte Macchiato Plantaardig deze maand]]+Tabel24256789101112131415171618192120222326141516[[#This Row],[Verbruik  Cappucino Plantaardig deze maand]]+Tabel24256789101112131415171618192120222326141516[[#This Row],[Verbruik Cappucino deze maand]]+Tabel24256789101112131415171618192120222326141516[[#This Row],[Verbruik Hot Water deze maand]]+Tabel24256789101112131415171618192120222326141516[[#This Row],[Verbruik Coffee Latte deze maand]]+Tabel24256789101112131415171618192120222326141516[[#This Row],[Verbruik Latte Macchiato deze maand]]+Tabel24256789101112131415171618192120222326141516[[#This Row],[Verbruik Espresso deze maand]]+Tabel24256789101112131415171618192120222326141516[[#This Row],[Verbruik Coffee deze maand]]</f>
        <v>1918</v>
      </c>
      <c r="AD11" s="69"/>
      <c r="AE11" s="41"/>
      <c r="AF11" s="5"/>
      <c r="AG11" s="41"/>
      <c r="AH11" s="69"/>
      <c r="AI11" s="41"/>
      <c r="AJ11" s="41"/>
      <c r="AK11" s="41"/>
      <c r="AL11" s="75"/>
      <c r="AM11" s="41"/>
      <c r="AN11" s="41"/>
      <c r="AO11" s="5"/>
      <c r="AP11" s="69"/>
      <c r="AQ11" s="41"/>
      <c r="AR11" s="5"/>
      <c r="AS11" s="41"/>
      <c r="AT11" s="69"/>
      <c r="AU11" s="41"/>
      <c r="AV11" s="41"/>
      <c r="AW11" s="41"/>
      <c r="AX11" s="79"/>
      <c r="AY11" s="95">
        <f>Tabel24256789101112131415171618192120222326141516[[#This Row],[Subtotaal waterbar in consumpties]]+Tabel24256789101112131415171618192120222326141516[[#This Row],[Subtotaal koffieautomaten]]</f>
        <v>1918</v>
      </c>
    </row>
    <row r="12" spans="1:130" ht="14.45" customHeight="1" x14ac:dyDescent="0.25">
      <c r="A12" s="65" t="s">
        <v>45</v>
      </c>
      <c r="B12" t="s">
        <v>46</v>
      </c>
      <c r="C12" t="s">
        <v>47</v>
      </c>
      <c r="E12">
        <v>27600</v>
      </c>
      <c r="F12">
        <f>april2025!E12</f>
        <v>26566</v>
      </c>
      <c r="G12">
        <f>Tabel24256789101112131415171618192120222326141516[[#This Row],[Stand Coffee einde maand]]-Tabel24256789101112131415171618192120222326141516[[#This Row],[Coffee vorige maand]]</f>
        <v>1034</v>
      </c>
      <c r="H12" s="53">
        <v>2763</v>
      </c>
      <c r="I12">
        <f>april2025!H12</f>
        <v>2631</v>
      </c>
      <c r="J12">
        <f>Tabel24256789101112131415171618192120222326141516[[#This Row],[Stand Espresso Einde maand]]-Tabel24256789101112131415171618192120222326141516[[#This Row],[Espresso vorige maand]]</f>
        <v>132</v>
      </c>
      <c r="K12" s="53">
        <v>1774</v>
      </c>
      <c r="L12">
        <f>april2025!K12</f>
        <v>1734</v>
      </c>
      <c r="M12">
        <f>Tabel24256789101112131415171618192120222326141516[[#This Row],[Stand Latte Macchiato einde maand]]-Tabel24256789101112131415171618192120222326141516[[#This Row],[Latte Macchiato vorige maand]]</f>
        <v>40</v>
      </c>
      <c r="N12" s="53">
        <v>977</v>
      </c>
      <c r="O12">
        <f>april2025!N12</f>
        <v>955</v>
      </c>
      <c r="P12">
        <f>Tabel24256789101112131415171618192120222326141516[[#This Row],[Stand Coffee Latte einde maand]]-Tabel24256789101112131415171618192120222326141516[[#This Row],[Coffee Latte vorige maand]]</f>
        <v>22</v>
      </c>
      <c r="Q12" s="53">
        <v>1</v>
      </c>
      <c r="R12">
        <f>april2025!Q12</f>
        <v>1</v>
      </c>
      <c r="S12">
        <f>Tabel24256789101112131415171618192120222326141516[[#This Row],[Stand Hot Water einde maand]]-Tabel24256789101112131415171618192120222326141516[[#This Row],[Hot Water vorige maand]]</f>
        <v>0</v>
      </c>
      <c r="T12" s="53">
        <v>8655</v>
      </c>
      <c r="U12">
        <f>april2025!T12</f>
        <v>8383</v>
      </c>
      <c r="V12">
        <f>Tabel24256789101112131415171618192120222326141516[[#This Row],[Stand Cappucino einde maand]]-Tabel24256789101112131415171618192120222326141516[[#This Row],[Stand Cappucino vorige maand]]</f>
        <v>272</v>
      </c>
      <c r="W12" s="53">
        <v>3636</v>
      </c>
      <c r="X12">
        <f>april2025!W12</f>
        <v>3525</v>
      </c>
      <c r="Y12">
        <f>Tabel24256789101112131415171618192120222326141516[[#This Row],[Stand Cappucino Plantaardig einde maand]]-Tabel24256789101112131415171618192120222326141516[[#This Row],[Stand Cappucino Plantaardig vorige maand]]</f>
        <v>111</v>
      </c>
      <c r="Z12" s="53">
        <v>820</v>
      </c>
      <c r="AA12">
        <f>april2025!Z12</f>
        <v>808</v>
      </c>
      <c r="AB12">
        <f>Tabel24256789101112131415171618192120222326141516[[#This Row],[Stand Latte Macchiato Plantaardig einde maand]]-Tabel24256789101112131415171618192120222326141516[[#This Row],[Stand Latte Macchiato Plantaardig vorige maand]]</f>
        <v>12</v>
      </c>
      <c r="AC12" s="71">
        <f>Tabel24256789101112131415171618192120222326141516[[#This Row],[Verbruik Stand Latte Macchiato Plantaardig deze maand]]+Tabel24256789101112131415171618192120222326141516[[#This Row],[Verbruik  Cappucino Plantaardig deze maand]]+Tabel24256789101112131415171618192120222326141516[[#This Row],[Verbruik Cappucino deze maand]]+Tabel24256789101112131415171618192120222326141516[[#This Row],[Verbruik Hot Water deze maand]]+Tabel24256789101112131415171618192120222326141516[[#This Row],[Verbruik Coffee Latte deze maand]]+Tabel24256789101112131415171618192120222326141516[[#This Row],[Verbruik Latte Macchiato deze maand]]+Tabel24256789101112131415171618192120222326141516[[#This Row],[Verbruik Espresso deze maand]]+Tabel24256789101112131415171618192120222326141516[[#This Row],[Verbruik Coffee deze maand]]</f>
        <v>1623</v>
      </c>
      <c r="AD12" s="53">
        <v>628.9</v>
      </c>
      <c r="AE12">
        <f>april2025!AD12</f>
        <v>590</v>
      </c>
      <c r="AF12">
        <f>Tabel24256789101112131415171618192120222326141516[[#This Row],[Stand Kamertemp liter einde maand]]-Tabel24256789101112131415171618192120222326141516[[#This Row],[Stand Kamertemp liter vorige maand]]</f>
        <v>38.899999999999977</v>
      </c>
      <c r="AG12" s="2">
        <f>Tabel24256789101112131415171618192120222326141516[[#This Row],[Verbruik Kamertemp liter deze maand]]/0.15</f>
        <v>259.3333333333332</v>
      </c>
      <c r="AH12" s="53">
        <v>2462.5</v>
      </c>
      <c r="AI12">
        <f>april2025!AH12</f>
        <v>2239</v>
      </c>
      <c r="AJ12">
        <f>Tabel24256789101112131415171618192120222326141516[[#This Row],[Stand Gekoeld liter einde maand]]-Tabel24256789101112131415171618192120222326141516[[#This Row],[Stand Gekoeld liter vorige maand]]</f>
        <v>223.5</v>
      </c>
      <c r="AK12" s="2">
        <f>Tabel24256789101112131415171618192120222326141516[[#This Row],[Verbruik Gekoeld liter deze maand]]/0.15</f>
        <v>1490</v>
      </c>
      <c r="AL12" s="53">
        <v>1851.6</v>
      </c>
      <c r="AM12">
        <f>april2025!AL12</f>
        <v>1676.2</v>
      </c>
      <c r="AN12">
        <f>Tabel24256789101112131415171618192120222326141516[[#This Row],[Stand Bruisend liter einde maand]]-Tabel24256789101112131415171618192120222326141516[[#This Row],[Stand Bruisend liter vorige maand]]</f>
        <v>175.39999999999986</v>
      </c>
      <c r="AO12" s="2">
        <f>Tabel24256789101112131415171618192120222326141516[[#This Row],[Verbruik Bruisend liter deze maand]]/0.15</f>
        <v>1169.3333333333326</v>
      </c>
      <c r="AP12" s="53">
        <v>637.29999999999995</v>
      </c>
      <c r="AQ12">
        <f>april2025!AP12</f>
        <v>591.9</v>
      </c>
      <c r="AR12">
        <f>Tabel24256789101112131415171618192120222326141516[[#This Row],[Stand licht bruisend liter einde maand]]-Tabel24256789101112131415171618192120222326141516[[#This Row],[Stand licht bruisend liter vorige maand]]</f>
        <v>45.399999999999977</v>
      </c>
      <c r="AS12" s="2">
        <f>Tabel24256789101112131415171618192120222326141516[[#This Row],[Verbruik licht bruisend liter deze maand]]/0.15</f>
        <v>302.66666666666652</v>
      </c>
      <c r="AT12" s="53">
        <v>4644</v>
      </c>
      <c r="AU12">
        <f>april2025!AT12</f>
        <v>4295.1000000000004</v>
      </c>
      <c r="AV12">
        <f>Tabel24256789101112131415171618192120222326141516[[#This Row],[Stand heet water liter einde maand]]-Tabel24256789101112131415171618192120222326141516[[#This Row],[Stand heet water liter vorige maand]]</f>
        <v>348.89999999999964</v>
      </c>
      <c r="AW12" s="2">
        <f>Tabel24256789101112131415171618192120222326141516[[#This Row],[Verbruik heet Water liter deze maand ]]/0.15</f>
        <v>2325.9999999999977</v>
      </c>
      <c r="AX12" s="77">
        <f>Tabel24256789101112131415171618192120222326141516[[#This Row],[Aantal consumpties heet water deze maand]]+Tabel24256789101112131415171618192120222326141516[[#This Row],[Aantal consumpties licht bruisend water deze maand]]+Tabel24256789101112131415171618192120222326141516[[#This Row],[aantal consumpties Bruisend water deze maand]]+Tabel24256789101112131415171618192120222326141516[[#This Row],[Aantal consumpties gekoeld water deze maand]]+Tabel24256789101112131415171618192120222326141516[[#This Row],[Aantal consumpties Kamertemp deze maand]]</f>
        <v>5547.3333333333294</v>
      </c>
      <c r="AY12" s="95">
        <f>Tabel24256789101112131415171618192120222326141516[[#This Row],[Subtotaal waterbar in consumpties]]+Tabel24256789101112131415171618192120222326141516[[#This Row],[Subtotaal koffieautomaten]]</f>
        <v>7170.3333333333294</v>
      </c>
    </row>
    <row r="13" spans="1:130" ht="14.45" customHeight="1" x14ac:dyDescent="0.25">
      <c r="A13" s="65" t="s">
        <v>48</v>
      </c>
      <c r="B13" t="s">
        <v>49</v>
      </c>
      <c r="C13" t="s">
        <v>31</v>
      </c>
      <c r="E13">
        <v>26737</v>
      </c>
      <c r="F13">
        <f>april2025!E13</f>
        <v>25930</v>
      </c>
      <c r="G13">
        <f>Tabel24256789101112131415171618192120222326141516[[#This Row],[Stand Coffee einde maand]]-Tabel24256789101112131415171618192120222326141516[[#This Row],[Coffee vorige maand]]</f>
        <v>807</v>
      </c>
      <c r="H13" s="53">
        <v>7290</v>
      </c>
      <c r="I13">
        <f>april2025!H13</f>
        <v>7073</v>
      </c>
      <c r="J13">
        <f>Tabel24256789101112131415171618192120222326141516[[#This Row],[Stand Espresso Einde maand]]-Tabel24256789101112131415171618192120222326141516[[#This Row],[Espresso vorige maand]]</f>
        <v>217</v>
      </c>
      <c r="K13" s="53">
        <v>1523</v>
      </c>
      <c r="L13">
        <f>april2025!K13</f>
        <v>1511</v>
      </c>
      <c r="M13">
        <f>Tabel24256789101112131415171618192120222326141516[[#This Row],[Stand Latte Macchiato einde maand]]-Tabel24256789101112131415171618192120222326141516[[#This Row],[Latte Macchiato vorige maand]]</f>
        <v>12</v>
      </c>
      <c r="N13" s="53">
        <v>611</v>
      </c>
      <c r="O13">
        <f>april2025!N13</f>
        <v>594</v>
      </c>
      <c r="P13">
        <f>Tabel24256789101112131415171618192120222326141516[[#This Row],[Stand Coffee Latte einde maand]]-Tabel24256789101112131415171618192120222326141516[[#This Row],[Coffee Latte vorige maand]]</f>
        <v>17</v>
      </c>
      <c r="Q13" s="53">
        <v>69272</v>
      </c>
      <c r="R13">
        <f>april2025!Q13</f>
        <v>67017</v>
      </c>
      <c r="S13">
        <f>Tabel24256789101112131415171618192120222326141516[[#This Row],[Stand Hot Water einde maand]]-Tabel24256789101112131415171618192120222326141516[[#This Row],[Hot Water vorige maand]]</f>
        <v>2255</v>
      </c>
      <c r="T13" s="53">
        <v>14333</v>
      </c>
      <c r="U13">
        <f>april2025!T13</f>
        <v>13868</v>
      </c>
      <c r="V13">
        <f>Tabel24256789101112131415171618192120222326141516[[#This Row],[Stand Cappucino einde maand]]-Tabel24256789101112131415171618192120222326141516[[#This Row],[Stand Cappucino vorige maand]]</f>
        <v>465</v>
      </c>
      <c r="W13" s="53">
        <v>2465</v>
      </c>
      <c r="X13">
        <f>april2025!W13</f>
        <v>2418</v>
      </c>
      <c r="Y13">
        <f>Tabel24256789101112131415171618192120222326141516[[#This Row],[Stand Cappucino Plantaardig einde maand]]-Tabel24256789101112131415171618192120222326141516[[#This Row],[Stand Cappucino Plantaardig vorige maand]]</f>
        <v>47</v>
      </c>
      <c r="Z13" s="53">
        <v>876</v>
      </c>
      <c r="AA13">
        <f>april2025!Z13</f>
        <v>841</v>
      </c>
      <c r="AB13">
        <f>Tabel24256789101112131415171618192120222326141516[[#This Row],[Stand Latte Macchiato Plantaardig einde maand]]-Tabel24256789101112131415171618192120222326141516[[#This Row],[Stand Latte Macchiato Plantaardig vorige maand]]</f>
        <v>35</v>
      </c>
      <c r="AC13" s="71">
        <f>Tabel24256789101112131415171618192120222326141516[[#This Row],[Verbruik Stand Latte Macchiato Plantaardig deze maand]]+Tabel24256789101112131415171618192120222326141516[[#This Row],[Verbruik  Cappucino Plantaardig deze maand]]+Tabel24256789101112131415171618192120222326141516[[#This Row],[Verbruik Cappucino deze maand]]+Tabel24256789101112131415171618192120222326141516[[#This Row],[Verbruik Hot Water deze maand]]+Tabel24256789101112131415171618192120222326141516[[#This Row],[Verbruik Coffee Latte deze maand]]+Tabel24256789101112131415171618192120222326141516[[#This Row],[Verbruik Latte Macchiato deze maand]]+Tabel24256789101112131415171618192120222326141516[[#This Row],[Verbruik Espresso deze maand]]+Tabel24256789101112131415171618192120222326141516[[#This Row],[Verbruik Coffee deze maand]]</f>
        <v>3855</v>
      </c>
      <c r="AD13" s="69"/>
      <c r="AE13" s="41"/>
      <c r="AF13" s="5"/>
      <c r="AG13" s="5"/>
      <c r="AH13" s="75"/>
      <c r="AI13" s="41"/>
      <c r="AJ13" s="5"/>
      <c r="AK13" s="5"/>
      <c r="AL13" s="75"/>
      <c r="AM13" s="41"/>
      <c r="AN13" s="5"/>
      <c r="AO13" s="5"/>
      <c r="AP13" s="75"/>
      <c r="AQ13" s="41"/>
      <c r="AR13" s="5"/>
      <c r="AS13" s="5"/>
      <c r="AT13" s="75"/>
      <c r="AU13" s="41"/>
      <c r="AV13" s="5"/>
      <c r="AW13" s="5"/>
      <c r="AX13" s="79"/>
      <c r="AY13" s="95">
        <f>Tabel24256789101112131415171618192120222326141516[[#This Row],[Subtotaal waterbar in consumpties]]+Tabel24256789101112131415171618192120222326141516[[#This Row],[Subtotaal koffieautomaten]]</f>
        <v>3855</v>
      </c>
    </row>
    <row r="14" spans="1:130" ht="14.45" customHeight="1" x14ac:dyDescent="0.25">
      <c r="A14" s="65" t="s">
        <v>50</v>
      </c>
      <c r="B14" t="s">
        <v>51</v>
      </c>
      <c r="C14" t="s">
        <v>47</v>
      </c>
      <c r="E14">
        <v>21857</v>
      </c>
      <c r="F14">
        <f>april2025!E14</f>
        <v>21083</v>
      </c>
      <c r="G14">
        <f>Tabel24256789101112131415171618192120222326141516[[#This Row],[Stand Coffee einde maand]]-Tabel24256789101112131415171618192120222326141516[[#This Row],[Coffee vorige maand]]</f>
        <v>774</v>
      </c>
      <c r="H14" s="53">
        <v>5621</v>
      </c>
      <c r="I14">
        <f>april2025!H14</f>
        <v>5371</v>
      </c>
      <c r="J14">
        <f>Tabel24256789101112131415171618192120222326141516[[#This Row],[Stand Espresso Einde maand]]-Tabel24256789101112131415171618192120222326141516[[#This Row],[Espresso vorige maand]]</f>
        <v>250</v>
      </c>
      <c r="K14" s="53">
        <v>2294</v>
      </c>
      <c r="L14">
        <f>april2025!K14</f>
        <v>2210</v>
      </c>
      <c r="M14">
        <f>Tabel24256789101112131415171618192120222326141516[[#This Row],[Stand Latte Macchiato einde maand]]-Tabel24256789101112131415171618192120222326141516[[#This Row],[Latte Macchiato vorige maand]]</f>
        <v>84</v>
      </c>
      <c r="N14" s="53">
        <v>1244</v>
      </c>
      <c r="O14">
        <v>1228</v>
      </c>
      <c r="P14">
        <f>Tabel24256789101112131415171618192120222326141516[[#This Row],[Stand Coffee Latte einde maand]]-Tabel24256789101112131415171618192120222326141516[[#This Row],[Coffee Latte vorige maand]]</f>
        <v>16</v>
      </c>
      <c r="Q14" s="53">
        <v>1</v>
      </c>
      <c r="R14">
        <v>1</v>
      </c>
      <c r="S14">
        <f>Tabel24256789101112131415171618192120222326141516[[#This Row],[Stand Hot Water einde maand]]-Tabel24256789101112131415171618192120222326141516[[#This Row],[Hot Water vorige maand]]</f>
        <v>0</v>
      </c>
      <c r="T14" s="53">
        <v>9804</v>
      </c>
      <c r="U14">
        <f>april2025!T14</f>
        <v>9495</v>
      </c>
      <c r="V14">
        <f>Tabel24256789101112131415171618192120222326141516[[#This Row],[Stand Cappucino einde maand]]-Tabel24256789101112131415171618192120222326141516[[#This Row],[Stand Cappucino vorige maand]]</f>
        <v>309</v>
      </c>
      <c r="W14" s="53">
        <v>1269</v>
      </c>
      <c r="X14">
        <f>april2025!W14</f>
        <v>1263</v>
      </c>
      <c r="Y14">
        <f>Tabel24256789101112131415171618192120222326141516[[#This Row],[Stand Cappucino Plantaardig einde maand]]-Tabel24256789101112131415171618192120222326141516[[#This Row],[Stand Cappucino Plantaardig vorige maand]]</f>
        <v>6</v>
      </c>
      <c r="Z14" s="53">
        <v>753</v>
      </c>
      <c r="AA14">
        <f>april2025!Z14</f>
        <v>735</v>
      </c>
      <c r="AB14">
        <f>Tabel24256789101112131415171618192120222326141516[[#This Row],[Stand Latte Macchiato Plantaardig einde maand]]-Tabel24256789101112131415171618192120222326141516[[#This Row],[Stand Latte Macchiato Plantaardig vorige maand]]</f>
        <v>18</v>
      </c>
      <c r="AC14" s="71">
        <f>Tabel24256789101112131415171618192120222326141516[[#This Row],[Verbruik Stand Latte Macchiato Plantaardig deze maand]]+Tabel24256789101112131415171618192120222326141516[[#This Row],[Verbruik  Cappucino Plantaardig deze maand]]+Tabel24256789101112131415171618192120222326141516[[#This Row],[Verbruik Cappucino deze maand]]+Tabel24256789101112131415171618192120222326141516[[#This Row],[Verbruik Hot Water deze maand]]+Tabel24256789101112131415171618192120222326141516[[#This Row],[Verbruik Coffee Latte deze maand]]+Tabel24256789101112131415171618192120222326141516[[#This Row],[Verbruik Latte Macchiato deze maand]]+Tabel24256789101112131415171618192120222326141516[[#This Row],[Verbruik Espresso deze maand]]+Tabel24256789101112131415171618192120222326141516[[#This Row],[Verbruik Coffee deze maand]]</f>
        <v>1457</v>
      </c>
      <c r="AD14" s="120">
        <v>2.7</v>
      </c>
      <c r="AE14" s="49">
        <v>0</v>
      </c>
      <c r="AF14" s="49">
        <f>Tabel24256789101112131415171618192120222326141516[[#This Row],[Stand Kamertemp liter einde maand]]-Tabel24256789101112131415171618192120222326141516[[#This Row],[Stand Kamertemp liter vorige maand]]</f>
        <v>2.7</v>
      </c>
      <c r="AG14" s="121">
        <f>Tabel24256789101112131415171618192120222326141516[[#This Row],[Verbruik Kamertemp liter deze maand]]/0.15</f>
        <v>18.000000000000004</v>
      </c>
      <c r="AH14" s="120">
        <v>34.700000000000003</v>
      </c>
      <c r="AI14" s="49">
        <v>0</v>
      </c>
      <c r="AJ14" s="49">
        <f>Tabel24256789101112131415171618192120222326141516[[#This Row],[Stand Gekoeld liter einde maand]]-Tabel24256789101112131415171618192120222326141516[[#This Row],[Stand Gekoeld liter vorige maand]]</f>
        <v>34.700000000000003</v>
      </c>
      <c r="AK14" s="121">
        <f>Tabel24256789101112131415171618192120222326141516[[#This Row],[Verbruik Gekoeld liter deze maand]]/0.15</f>
        <v>231.33333333333337</v>
      </c>
      <c r="AL14" s="120">
        <v>30</v>
      </c>
      <c r="AM14" s="49">
        <v>0</v>
      </c>
      <c r="AN14" s="49">
        <f>Tabel24256789101112131415171618192120222326141516[[#This Row],[Stand Bruisend liter einde maand]]-Tabel24256789101112131415171618192120222326141516[[#This Row],[Stand Bruisend liter vorige maand]]</f>
        <v>30</v>
      </c>
      <c r="AO14" s="121">
        <f>Tabel24256789101112131415171618192120222326141516[[#This Row],[Verbruik Bruisend liter deze maand]]/0.15</f>
        <v>200</v>
      </c>
      <c r="AP14" s="120">
        <v>15.2</v>
      </c>
      <c r="AQ14" s="49">
        <v>0</v>
      </c>
      <c r="AR14" s="49">
        <f>Tabel24256789101112131415171618192120222326141516[[#This Row],[Stand licht bruisend liter einde maand]]-Tabel24256789101112131415171618192120222326141516[[#This Row],[Stand licht bruisend liter vorige maand]]</f>
        <v>15.2</v>
      </c>
      <c r="AS14" s="121">
        <f>Tabel24256789101112131415171618192120222326141516[[#This Row],[Verbruik licht bruisend liter deze maand]]/0.15</f>
        <v>101.33333333333333</v>
      </c>
      <c r="AT14" s="120">
        <v>56.4</v>
      </c>
      <c r="AU14" s="49">
        <v>0</v>
      </c>
      <c r="AV14" s="49">
        <f>Tabel24256789101112131415171618192120222326141516[[#This Row],[Stand heet water liter einde maand]]-Tabel24256789101112131415171618192120222326141516[[#This Row],[Stand heet water liter vorige maand]]</f>
        <v>56.4</v>
      </c>
      <c r="AW14" s="121">
        <f>Tabel24256789101112131415171618192120222326141516[[#This Row],[Verbruik heet Water liter deze maand ]]/0.15</f>
        <v>376</v>
      </c>
      <c r="AX14" s="122">
        <f>Tabel24256789101112131415171618192120222326141516[[#This Row],[Aantal consumpties heet water deze maand]]+Tabel24256789101112131415171618192120222326141516[[#This Row],[Aantal consumpties licht bruisend water deze maand]]+Tabel24256789101112131415171618192120222326141516[[#This Row],[aantal consumpties Bruisend water deze maand]]+Tabel24256789101112131415171618192120222326141516[[#This Row],[Aantal consumpties gekoeld water deze maand]]+Tabel24256789101112131415171618192120222326141516[[#This Row],[Aantal consumpties Kamertemp deze maand]]</f>
        <v>926.66666666666663</v>
      </c>
      <c r="AY14" s="95">
        <f>Tabel24256789101112131415171618192120222326141516[[#This Row],[Subtotaal waterbar in consumpties]]+Tabel24256789101112131415171618192120222326141516[[#This Row],[Subtotaal koffieautomaten]]</f>
        <v>2383.6666666666665</v>
      </c>
    </row>
    <row r="15" spans="1:130" ht="14.45" customHeight="1" x14ac:dyDescent="0.25">
      <c r="A15" s="65" t="s">
        <v>52</v>
      </c>
      <c r="B15" t="s">
        <v>53</v>
      </c>
      <c r="C15" t="s">
        <v>31</v>
      </c>
      <c r="E15">
        <v>19908</v>
      </c>
      <c r="F15">
        <f>april2025!E15</f>
        <v>19421</v>
      </c>
      <c r="G15">
        <f>Tabel24256789101112131415171618192120222326141516[[#This Row],[Stand Coffee einde maand]]-Tabel24256789101112131415171618192120222326141516[[#This Row],[Coffee vorige maand]]</f>
        <v>487</v>
      </c>
      <c r="H15" s="53">
        <v>5528</v>
      </c>
      <c r="I15">
        <f>april2025!H15</f>
        <v>5377</v>
      </c>
      <c r="J15">
        <f>Tabel24256789101112131415171618192120222326141516[[#This Row],[Stand Espresso Einde maand]]-Tabel24256789101112131415171618192120222326141516[[#This Row],[Espresso vorige maand]]</f>
        <v>151</v>
      </c>
      <c r="K15" s="53">
        <v>1136</v>
      </c>
      <c r="L15">
        <f>april2025!K15</f>
        <v>1103</v>
      </c>
      <c r="M15">
        <f>Tabel24256789101112131415171618192120222326141516[[#This Row],[Stand Latte Macchiato einde maand]]-Tabel24256789101112131415171618192120222326141516[[#This Row],[Latte Macchiato vorige maand]]</f>
        <v>33</v>
      </c>
      <c r="N15" s="53">
        <v>1237</v>
      </c>
      <c r="O15">
        <f>april2025!N15</f>
        <v>1205</v>
      </c>
      <c r="P15">
        <f>Tabel24256789101112131415171618192120222326141516[[#This Row],[Stand Coffee Latte einde maand]]-Tabel24256789101112131415171618192120222326141516[[#This Row],[Coffee Latte vorige maand]]</f>
        <v>32</v>
      </c>
      <c r="Q15" s="53">
        <v>34616</v>
      </c>
      <c r="R15">
        <f>april2025!Q15</f>
        <v>33465</v>
      </c>
      <c r="S15">
        <f>Tabel24256789101112131415171618192120222326141516[[#This Row],[Stand Hot Water einde maand]]-Tabel24256789101112131415171618192120222326141516[[#This Row],[Hot Water vorige maand]]</f>
        <v>1151</v>
      </c>
      <c r="T15" s="53">
        <v>8645</v>
      </c>
      <c r="U15">
        <f>april2025!T15</f>
        <v>8428</v>
      </c>
      <c r="V15">
        <f>Tabel24256789101112131415171618192120222326141516[[#This Row],[Stand Cappucino einde maand]]-Tabel24256789101112131415171618192120222326141516[[#This Row],[Stand Cappucino vorige maand]]</f>
        <v>217</v>
      </c>
      <c r="W15" s="53">
        <v>1833</v>
      </c>
      <c r="X15">
        <f>april2025!W15</f>
        <v>1799</v>
      </c>
      <c r="Y15">
        <f>Tabel24256789101112131415171618192120222326141516[[#This Row],[Stand Cappucino Plantaardig einde maand]]-Tabel24256789101112131415171618192120222326141516[[#This Row],[Stand Cappucino Plantaardig vorige maand]]</f>
        <v>34</v>
      </c>
      <c r="Z15" s="53">
        <v>433</v>
      </c>
      <c r="AA15">
        <f>april2025!Z15</f>
        <v>420</v>
      </c>
      <c r="AB15">
        <f>Tabel24256789101112131415171618192120222326141516[[#This Row],[Stand Latte Macchiato Plantaardig einde maand]]-Tabel24256789101112131415171618192120222326141516[[#This Row],[Stand Latte Macchiato Plantaardig vorige maand]]</f>
        <v>13</v>
      </c>
      <c r="AC15" s="71">
        <f>Tabel24256789101112131415171618192120222326141516[[#This Row],[Verbruik Stand Latte Macchiato Plantaardig deze maand]]+Tabel24256789101112131415171618192120222326141516[[#This Row],[Verbruik  Cappucino Plantaardig deze maand]]+Tabel24256789101112131415171618192120222326141516[[#This Row],[Verbruik Cappucino deze maand]]+Tabel24256789101112131415171618192120222326141516[[#This Row],[Verbruik Hot Water deze maand]]+Tabel24256789101112131415171618192120222326141516[[#This Row],[Verbruik Coffee Latte deze maand]]+Tabel24256789101112131415171618192120222326141516[[#This Row],[Verbruik Latte Macchiato deze maand]]+Tabel24256789101112131415171618192120222326141516[[#This Row],[Verbruik Espresso deze maand]]+Tabel24256789101112131415171618192120222326141516[[#This Row],[Verbruik Coffee deze maand]]</f>
        <v>2118</v>
      </c>
      <c r="AD15" s="69"/>
      <c r="AE15" s="41"/>
      <c r="AF15" s="5"/>
      <c r="AG15" s="5"/>
      <c r="AH15" s="75"/>
      <c r="AI15" s="41"/>
      <c r="AJ15" s="5"/>
      <c r="AK15" s="5"/>
      <c r="AL15" s="75"/>
      <c r="AM15" s="41"/>
      <c r="AN15" s="5"/>
      <c r="AO15" s="5"/>
      <c r="AP15" s="75"/>
      <c r="AQ15" s="41"/>
      <c r="AR15" s="5"/>
      <c r="AS15" s="5"/>
      <c r="AT15" s="75"/>
      <c r="AU15" s="41"/>
      <c r="AV15" s="5"/>
      <c r="AW15" s="5"/>
      <c r="AX15" s="79"/>
      <c r="AY15" s="95">
        <f>Tabel24256789101112131415171618192120222326141516[[#This Row],[Subtotaal waterbar in consumpties]]+Tabel24256789101112131415171618192120222326141516[[#This Row],[Subtotaal koffieautomaten]]</f>
        <v>2118</v>
      </c>
    </row>
    <row r="16" spans="1:130" ht="14.45" customHeight="1" x14ac:dyDescent="0.25">
      <c r="A16" s="65" t="s">
        <v>54</v>
      </c>
      <c r="B16" t="s">
        <v>55</v>
      </c>
      <c r="C16" t="s">
        <v>47</v>
      </c>
      <c r="E16">
        <v>2594</v>
      </c>
      <c r="F16">
        <f>april2025!E16</f>
        <v>2387</v>
      </c>
      <c r="G16">
        <f>Tabel24256789101112131415171618192120222326141516[[#This Row],[Stand Coffee einde maand]]-Tabel24256789101112131415171618192120222326141516[[#This Row],[Coffee vorige maand]]</f>
        <v>207</v>
      </c>
      <c r="H16" s="53">
        <v>3312</v>
      </c>
      <c r="I16">
        <f>april2025!H16</f>
        <v>3024</v>
      </c>
      <c r="J16">
        <f>Tabel24256789101112131415171618192120222326141516[[#This Row],[Stand Espresso Einde maand]]-Tabel24256789101112131415171618192120222326141516[[#This Row],[Espresso vorige maand]]</f>
        <v>288</v>
      </c>
      <c r="K16" s="53">
        <v>282</v>
      </c>
      <c r="L16">
        <f>april2025!K16</f>
        <v>253</v>
      </c>
      <c r="M16">
        <f>Tabel24256789101112131415171618192120222326141516[[#This Row],[Stand Latte Macchiato einde maand]]-Tabel24256789101112131415171618192120222326141516[[#This Row],[Latte Macchiato vorige maand]]</f>
        <v>29</v>
      </c>
      <c r="N16" s="53">
        <v>174</v>
      </c>
      <c r="O16">
        <f>april2025!N16</f>
        <v>162</v>
      </c>
      <c r="P16">
        <f>Tabel24256789101112131415171618192120222326141516[[#This Row],[Stand Coffee Latte einde maand]]-Tabel24256789101112131415171618192120222326141516[[#This Row],[Coffee Latte vorige maand]]</f>
        <v>12</v>
      </c>
      <c r="Q16" s="53">
        <v>787</v>
      </c>
      <c r="R16">
        <f>april2025!Q16</f>
        <v>719</v>
      </c>
      <c r="S16">
        <f>Tabel24256789101112131415171618192120222326141516[[#This Row],[Stand Hot Water einde maand]]-Tabel24256789101112131415171618192120222326141516[[#This Row],[Hot Water vorige maand]]</f>
        <v>68</v>
      </c>
      <c r="T16" s="53">
        <v>3910</v>
      </c>
      <c r="U16">
        <f>april2025!T16</f>
        <v>3524</v>
      </c>
      <c r="V16">
        <f>Tabel24256789101112131415171618192120222326141516[[#This Row],[Stand Cappucino einde maand]]-Tabel24256789101112131415171618192120222326141516[[#This Row],[Stand Cappucino vorige maand]]</f>
        <v>386</v>
      </c>
      <c r="W16" s="53">
        <v>351</v>
      </c>
      <c r="X16">
        <f>april2025!W16</f>
        <v>329</v>
      </c>
      <c r="Y16">
        <f>Tabel24256789101112131415171618192120222326141516[[#This Row],[Stand Cappucino Plantaardig einde maand]]-Tabel24256789101112131415171618192120222326141516[[#This Row],[Stand Cappucino Plantaardig vorige maand]]</f>
        <v>22</v>
      </c>
      <c r="Z16" s="53">
        <v>55</v>
      </c>
      <c r="AA16">
        <f>april2025!Z16</f>
        <v>54</v>
      </c>
      <c r="AB16">
        <f>Tabel24256789101112131415171618192120222326141516[[#This Row],[Stand Latte Macchiato Plantaardig einde maand]]-Tabel24256789101112131415171618192120222326141516[[#This Row],[Stand Latte Macchiato Plantaardig vorige maand]]</f>
        <v>1</v>
      </c>
      <c r="AC16" s="71">
        <f>Tabel24256789101112131415171618192120222326141516[[#This Row],[Verbruik Stand Latte Macchiato Plantaardig deze maand]]+Tabel24256789101112131415171618192120222326141516[[#This Row],[Verbruik  Cappucino Plantaardig deze maand]]+Tabel24256789101112131415171618192120222326141516[[#This Row],[Verbruik Cappucino deze maand]]+Tabel24256789101112131415171618192120222326141516[[#This Row],[Verbruik Hot Water deze maand]]+Tabel24256789101112131415171618192120222326141516[[#This Row],[Verbruik Coffee Latte deze maand]]+Tabel24256789101112131415171618192120222326141516[[#This Row],[Verbruik Latte Macchiato deze maand]]+Tabel24256789101112131415171618192120222326141516[[#This Row],[Verbruik Espresso deze maand]]+Tabel24256789101112131415171618192120222326141516[[#This Row],[Verbruik Coffee deze maand]]</f>
        <v>1013</v>
      </c>
      <c r="AD16" s="53">
        <v>20.8</v>
      </c>
      <c r="AE16">
        <f>april2025!AD16</f>
        <v>14.7</v>
      </c>
      <c r="AF16">
        <f>Tabel24256789101112131415171618192120222326141516[[#This Row],[Stand Kamertemp liter einde maand]]-Tabel24256789101112131415171618192120222326141516[[#This Row],[Stand Kamertemp liter vorige maand]]</f>
        <v>6.1000000000000014</v>
      </c>
      <c r="AG16" s="2">
        <f>Tabel24256789101112131415171618192120222326141516[[#This Row],[Verbruik Kamertemp liter deze maand]]/0.15</f>
        <v>40.666666666666679</v>
      </c>
      <c r="AH16" s="51">
        <v>438.4</v>
      </c>
      <c r="AI16">
        <f>april2025!AH16</f>
        <v>292.7</v>
      </c>
      <c r="AJ16">
        <f>Tabel24256789101112131415171618192120222326141516[[#This Row],[Stand Gekoeld liter einde maand]]-Tabel24256789101112131415171618192120222326141516[[#This Row],[Stand Gekoeld liter vorige maand]]</f>
        <v>145.69999999999999</v>
      </c>
      <c r="AK16" s="2">
        <f>Tabel24256789101112131415171618192120222326141516[[#This Row],[Verbruik Gekoeld liter deze maand]]/0.15</f>
        <v>971.33333333333326</v>
      </c>
      <c r="AL16" s="51">
        <v>304.7</v>
      </c>
      <c r="AM16">
        <f>april2025!AL16</f>
        <v>208.6</v>
      </c>
      <c r="AN16">
        <f>Tabel24256789101112131415171618192120222326141516[[#This Row],[Stand Bruisend liter einde maand]]-Tabel24256789101112131415171618192120222326141516[[#This Row],[Stand Bruisend liter vorige maand]]</f>
        <v>96.1</v>
      </c>
      <c r="AO16" s="2">
        <f>Tabel24256789101112131415171618192120222326141516[[#This Row],[Verbruik Bruisend liter deze maand]]/0.15</f>
        <v>640.66666666666663</v>
      </c>
      <c r="AP16" s="51">
        <v>63.3</v>
      </c>
      <c r="AQ16">
        <f>april2025!AP16</f>
        <v>49.7</v>
      </c>
      <c r="AR16">
        <f>Tabel24256789101112131415171618192120222326141516[[#This Row],[Stand licht bruisend liter einde maand]]-Tabel24256789101112131415171618192120222326141516[[#This Row],[Stand licht bruisend liter vorige maand]]</f>
        <v>13.599999999999994</v>
      </c>
      <c r="AS16" s="2">
        <f>Tabel24256789101112131415171618192120222326141516[[#This Row],[Verbruik licht bruisend liter deze maand]]/0.15</f>
        <v>90.666666666666629</v>
      </c>
      <c r="AT16" s="51">
        <v>972.9</v>
      </c>
      <c r="AU16">
        <f>april2025!AT16</f>
        <v>701.1</v>
      </c>
      <c r="AV16">
        <f>Tabel24256789101112131415171618192120222326141516[[#This Row],[Stand heet water liter einde maand]]-Tabel24256789101112131415171618192120222326141516[[#This Row],[Stand heet water liter vorige maand]]</f>
        <v>271.79999999999995</v>
      </c>
      <c r="AW16" s="2">
        <f>Tabel24256789101112131415171618192120222326141516[[#This Row],[Verbruik heet Water liter deze maand ]]/0.15</f>
        <v>1811.9999999999998</v>
      </c>
      <c r="AX16" s="77">
        <f>Tabel24256789101112131415171618192120222326141516[[#This Row],[Aantal consumpties heet water deze maand]]+Tabel24256789101112131415171618192120222326141516[[#This Row],[Aantal consumpties licht bruisend water deze maand]]+Tabel24256789101112131415171618192120222326141516[[#This Row],[aantal consumpties Bruisend water deze maand]]+Tabel24256789101112131415171618192120222326141516[[#This Row],[Aantal consumpties gekoeld water deze maand]]+Tabel24256789101112131415171618192120222326141516[[#This Row],[Aantal consumpties Kamertemp deze maand]]</f>
        <v>3555.3333333333326</v>
      </c>
      <c r="AY16" s="95">
        <f>Tabel24256789101112131415171618192120222326141516[[#This Row],[Subtotaal waterbar in consumpties]]+Tabel24256789101112131415171618192120222326141516[[#This Row],[Subtotaal koffieautomaten]]</f>
        <v>4568.3333333333321</v>
      </c>
    </row>
    <row r="17" spans="1:130" ht="14.45" customHeight="1" x14ac:dyDescent="0.25">
      <c r="A17" s="65" t="s">
        <v>56</v>
      </c>
      <c r="B17" t="s">
        <v>57</v>
      </c>
      <c r="C17" t="s">
        <v>31</v>
      </c>
      <c r="E17">
        <v>28956</v>
      </c>
      <c r="F17">
        <f>april2025!E17</f>
        <v>28117</v>
      </c>
      <c r="G17">
        <f>Tabel24256789101112131415171618192120222326141516[[#This Row],[Stand Coffee einde maand]]-Tabel24256789101112131415171618192120222326141516[[#This Row],[Coffee vorige maand]]</f>
        <v>839</v>
      </c>
      <c r="H17" s="53">
        <v>5807</v>
      </c>
      <c r="I17">
        <f>april2025!H17</f>
        <v>5707</v>
      </c>
      <c r="J17">
        <f>Tabel24256789101112131415171618192120222326141516[[#This Row],[Stand Espresso Einde maand]]-Tabel24256789101112131415171618192120222326141516[[#This Row],[Espresso vorige maand]]</f>
        <v>100</v>
      </c>
      <c r="K17" s="53">
        <v>809</v>
      </c>
      <c r="L17">
        <f>april2025!K17</f>
        <v>791</v>
      </c>
      <c r="M17">
        <f>Tabel24256789101112131415171618192120222326141516[[#This Row],[Stand Latte Macchiato einde maand]]-Tabel24256789101112131415171618192120222326141516[[#This Row],[Latte Macchiato vorige maand]]</f>
        <v>18</v>
      </c>
      <c r="N17" s="53">
        <v>1689</v>
      </c>
      <c r="O17">
        <f>april2025!N17</f>
        <v>1645</v>
      </c>
      <c r="P17">
        <f>Tabel24256789101112131415171618192120222326141516[[#This Row],[Stand Coffee Latte einde maand]]-Tabel24256789101112131415171618192120222326141516[[#This Row],[Coffee Latte vorige maand]]</f>
        <v>44</v>
      </c>
      <c r="Q17" s="53">
        <v>45374</v>
      </c>
      <c r="R17">
        <f>april2025!Q17</f>
        <v>43642</v>
      </c>
      <c r="S17">
        <f>Tabel24256789101112131415171618192120222326141516[[#This Row],[Stand Hot Water einde maand]]-Tabel24256789101112131415171618192120222326141516[[#This Row],[Hot Water vorige maand]]</f>
        <v>1732</v>
      </c>
      <c r="T17" s="53">
        <v>11681</v>
      </c>
      <c r="U17">
        <f>april2025!T17</f>
        <v>11407</v>
      </c>
      <c r="V17">
        <f>Tabel24256789101112131415171618192120222326141516[[#This Row],[Stand Cappucino einde maand]]-Tabel24256789101112131415171618192120222326141516[[#This Row],[Stand Cappucino vorige maand]]</f>
        <v>274</v>
      </c>
      <c r="W17" s="53">
        <v>3485</v>
      </c>
      <c r="X17">
        <f>april2025!W17</f>
        <v>3414</v>
      </c>
      <c r="Y17">
        <f>Tabel24256789101112131415171618192120222326141516[[#This Row],[Stand Cappucino Plantaardig einde maand]]-Tabel24256789101112131415171618192120222326141516[[#This Row],[Stand Cappucino Plantaardig vorige maand]]</f>
        <v>71</v>
      </c>
      <c r="Z17" s="53">
        <v>924</v>
      </c>
      <c r="AA17">
        <f>april2025!Z17</f>
        <v>881</v>
      </c>
      <c r="AB17">
        <f>Tabel24256789101112131415171618192120222326141516[[#This Row],[Stand Latte Macchiato Plantaardig einde maand]]-Tabel24256789101112131415171618192120222326141516[[#This Row],[Stand Latte Macchiato Plantaardig vorige maand]]</f>
        <v>43</v>
      </c>
      <c r="AC17" s="71">
        <f>Tabel24256789101112131415171618192120222326141516[[#This Row],[Verbruik Stand Latte Macchiato Plantaardig deze maand]]+Tabel24256789101112131415171618192120222326141516[[#This Row],[Verbruik  Cappucino Plantaardig deze maand]]+Tabel24256789101112131415171618192120222326141516[[#This Row],[Verbruik Cappucino deze maand]]+Tabel24256789101112131415171618192120222326141516[[#This Row],[Verbruik Hot Water deze maand]]+Tabel24256789101112131415171618192120222326141516[[#This Row],[Verbruik Coffee Latte deze maand]]+Tabel24256789101112131415171618192120222326141516[[#This Row],[Verbruik Latte Macchiato deze maand]]+Tabel24256789101112131415171618192120222326141516[[#This Row],[Verbruik Espresso deze maand]]+Tabel24256789101112131415171618192120222326141516[[#This Row],[Verbruik Coffee deze maand]]</f>
        <v>3121</v>
      </c>
      <c r="AD17" s="69"/>
      <c r="AE17" s="41"/>
      <c r="AF17" s="5"/>
      <c r="AG17" s="5"/>
      <c r="AH17" s="75"/>
      <c r="AI17" s="41"/>
      <c r="AJ17" s="5"/>
      <c r="AK17" s="5"/>
      <c r="AL17" s="75"/>
      <c r="AM17" s="41"/>
      <c r="AN17" s="5"/>
      <c r="AO17" s="5"/>
      <c r="AP17" s="75"/>
      <c r="AQ17" s="41"/>
      <c r="AR17" s="5"/>
      <c r="AS17" s="5"/>
      <c r="AT17" s="75"/>
      <c r="AU17" s="41"/>
      <c r="AV17" s="5"/>
      <c r="AW17" s="5"/>
      <c r="AX17" s="79"/>
      <c r="AY17" s="95">
        <f>Tabel24256789101112131415171618192120222326141516[[#This Row],[Subtotaal waterbar in consumpties]]+Tabel24256789101112131415171618192120222326141516[[#This Row],[Subtotaal koffieautomaten]]</f>
        <v>3121</v>
      </c>
    </row>
    <row r="18" spans="1:130" ht="14.45" customHeight="1" x14ac:dyDescent="0.25">
      <c r="A18" s="65" t="s">
        <v>58</v>
      </c>
      <c r="B18" t="s">
        <v>59</v>
      </c>
      <c r="C18" t="s">
        <v>47</v>
      </c>
      <c r="E18">
        <v>20341</v>
      </c>
      <c r="F18">
        <f>april2025!E18</f>
        <v>19773</v>
      </c>
      <c r="G18">
        <f>Tabel24256789101112131415171618192120222326141516[[#This Row],[Stand Coffee einde maand]]-Tabel24256789101112131415171618192120222326141516[[#This Row],[Coffee vorige maand]]</f>
        <v>568</v>
      </c>
      <c r="H18" s="53">
        <v>5265</v>
      </c>
      <c r="I18">
        <f>april2025!H18</f>
        <v>4964</v>
      </c>
      <c r="J18">
        <f>Tabel24256789101112131415171618192120222326141516[[#This Row],[Stand Espresso Einde maand]]-Tabel24256789101112131415171618192120222326141516[[#This Row],[Espresso vorige maand]]</f>
        <v>301</v>
      </c>
      <c r="K18" s="53">
        <v>2821</v>
      </c>
      <c r="L18">
        <f>april2025!K18</f>
        <v>2749</v>
      </c>
      <c r="M18">
        <f>Tabel24256789101112131415171618192120222326141516[[#This Row],[Stand Latte Macchiato einde maand]]-Tabel24256789101112131415171618192120222326141516[[#This Row],[Latte Macchiato vorige maand]]</f>
        <v>72</v>
      </c>
      <c r="N18" s="53">
        <v>755</v>
      </c>
      <c r="O18">
        <f>april2025!N18</f>
        <v>739</v>
      </c>
      <c r="P18">
        <f>Tabel24256789101112131415171618192120222326141516[[#This Row],[Stand Coffee Latte einde maand]]-Tabel24256789101112131415171618192120222326141516[[#This Row],[Coffee Latte vorige maand]]</f>
        <v>16</v>
      </c>
      <c r="Q18" s="53">
        <v>1</v>
      </c>
      <c r="R18">
        <f>april2025!Q18</f>
        <v>1</v>
      </c>
      <c r="S18">
        <f>Tabel24256789101112131415171618192120222326141516[[#This Row],[Stand Hot Water einde maand]]-Tabel24256789101112131415171618192120222326141516[[#This Row],[Hot Water vorige maand]]</f>
        <v>0</v>
      </c>
      <c r="T18" s="53">
        <v>11027</v>
      </c>
      <c r="U18">
        <f>april2025!T18</f>
        <v>10702</v>
      </c>
      <c r="V18">
        <f>Tabel24256789101112131415171618192120222326141516[[#This Row],[Stand Cappucino einde maand]]-Tabel24256789101112131415171618192120222326141516[[#This Row],[Stand Cappucino vorige maand]]</f>
        <v>325</v>
      </c>
      <c r="W18" s="53">
        <v>4068</v>
      </c>
      <c r="X18">
        <f>april2025!W18</f>
        <v>3929</v>
      </c>
      <c r="Y18">
        <f>Tabel24256789101112131415171618192120222326141516[[#This Row],[Stand Cappucino Plantaardig einde maand]]-Tabel24256789101112131415171618192120222326141516[[#This Row],[Stand Cappucino Plantaardig vorige maand]]</f>
        <v>139</v>
      </c>
      <c r="Z18" s="53">
        <v>464</v>
      </c>
      <c r="AA18">
        <f>april2025!Z18</f>
        <v>459</v>
      </c>
      <c r="AB18">
        <f>Tabel24256789101112131415171618192120222326141516[[#This Row],[Stand Latte Macchiato Plantaardig einde maand]]-Tabel24256789101112131415171618192120222326141516[[#This Row],[Stand Latte Macchiato Plantaardig vorige maand]]</f>
        <v>5</v>
      </c>
      <c r="AC18" s="71">
        <f>Tabel24256789101112131415171618192120222326141516[[#This Row],[Verbruik Stand Latte Macchiato Plantaardig deze maand]]+Tabel24256789101112131415171618192120222326141516[[#This Row],[Verbruik  Cappucino Plantaardig deze maand]]+Tabel24256789101112131415171618192120222326141516[[#This Row],[Verbruik Cappucino deze maand]]+Tabel24256789101112131415171618192120222326141516[[#This Row],[Verbruik Hot Water deze maand]]+Tabel24256789101112131415171618192120222326141516[[#This Row],[Verbruik Coffee Latte deze maand]]+Tabel24256789101112131415171618192120222326141516[[#This Row],[Verbruik Latte Macchiato deze maand]]+Tabel24256789101112131415171618192120222326141516[[#This Row],[Verbruik Espresso deze maand]]+Tabel24256789101112131415171618192120222326141516[[#This Row],[Verbruik Coffee deze maand]]</f>
        <v>1426</v>
      </c>
      <c r="AD18" s="53">
        <v>535.6</v>
      </c>
      <c r="AE18">
        <f>april2025!AD18</f>
        <v>498.4</v>
      </c>
      <c r="AF18">
        <f>Tabel24256789101112131415171618192120222326141516[[#This Row],[Stand Kamertemp liter einde maand]]-Tabel24256789101112131415171618192120222326141516[[#This Row],[Stand Kamertemp liter vorige maand]]</f>
        <v>37.200000000000045</v>
      </c>
      <c r="AG18" s="2">
        <f>Tabel24256789101112131415171618192120222326141516[[#This Row],[Verbruik Kamertemp liter deze maand]]/0.15</f>
        <v>248.00000000000031</v>
      </c>
      <c r="AH18" s="53">
        <v>2190.1</v>
      </c>
      <c r="AI18">
        <f>april2025!AH18</f>
        <v>1961.5</v>
      </c>
      <c r="AJ18">
        <f>Tabel24256789101112131415171618192120222326141516[[#This Row],[Stand Gekoeld liter einde maand]]-Tabel24256789101112131415171618192120222326141516[[#This Row],[Stand Gekoeld liter vorige maand]]</f>
        <v>228.59999999999991</v>
      </c>
      <c r="AK18" s="2">
        <f>Tabel24256789101112131415171618192120222326141516[[#This Row],[Verbruik Gekoeld liter deze maand]]/0.15</f>
        <v>1523.9999999999995</v>
      </c>
      <c r="AL18" s="53">
        <v>1850.9</v>
      </c>
      <c r="AM18">
        <f>april2025!AL18</f>
        <v>1728.4</v>
      </c>
      <c r="AN18">
        <f>Tabel24256789101112131415171618192120222326141516[[#This Row],[Stand Bruisend liter einde maand]]-Tabel24256789101112131415171618192120222326141516[[#This Row],[Stand Bruisend liter vorige maand]]</f>
        <v>122.5</v>
      </c>
      <c r="AO18" s="2">
        <f>Tabel24256789101112131415171618192120222326141516[[#This Row],[Verbruik Bruisend liter deze maand]]/0.15</f>
        <v>816.66666666666674</v>
      </c>
      <c r="AP18" s="53">
        <v>657.7</v>
      </c>
      <c r="AQ18">
        <f>april2025!AP18</f>
        <v>581.9</v>
      </c>
      <c r="AR18">
        <f>Tabel24256789101112131415171618192120222326141516[[#This Row],[Stand licht bruisend liter einde maand]]-Tabel24256789101112131415171618192120222326141516[[#This Row],[Stand licht bruisend liter vorige maand]]</f>
        <v>75.800000000000068</v>
      </c>
      <c r="AS18" s="2">
        <f>Tabel24256789101112131415171618192120222326141516[[#This Row],[Verbruik licht bruisend liter deze maand]]/0.15</f>
        <v>505.33333333333383</v>
      </c>
      <c r="AT18" s="53">
        <v>4852.8</v>
      </c>
      <c r="AU18">
        <f>april2025!AT18</f>
        <v>4530.3</v>
      </c>
      <c r="AV18">
        <f>Tabel24256789101112131415171618192120222326141516[[#This Row],[Stand heet water liter einde maand]]-Tabel24256789101112131415171618192120222326141516[[#This Row],[Stand heet water liter vorige maand]]</f>
        <v>322.5</v>
      </c>
      <c r="AW18" s="2">
        <f>Tabel24256789101112131415171618192120222326141516[[#This Row],[Verbruik heet Water liter deze maand ]]/0.15</f>
        <v>2150</v>
      </c>
      <c r="AX18" s="77">
        <f>Tabel24256789101112131415171618192120222326141516[[#This Row],[Aantal consumpties heet water deze maand]]+Tabel24256789101112131415171618192120222326141516[[#This Row],[Aantal consumpties licht bruisend water deze maand]]+Tabel24256789101112131415171618192120222326141516[[#This Row],[aantal consumpties Bruisend water deze maand]]+Tabel24256789101112131415171618192120222326141516[[#This Row],[Aantal consumpties gekoeld water deze maand]]+Tabel24256789101112131415171618192120222326141516[[#This Row],[Aantal consumpties Kamertemp deze maand]]</f>
        <v>5244</v>
      </c>
      <c r="AY18" s="95">
        <f>Tabel24256789101112131415171618192120222326141516[[#This Row],[Subtotaal waterbar in consumpties]]+Tabel24256789101112131415171618192120222326141516[[#This Row],[Subtotaal koffieautomaten]]</f>
        <v>6670</v>
      </c>
    </row>
    <row r="19" spans="1:130" ht="14.45" customHeight="1" x14ac:dyDescent="0.25">
      <c r="A19" s="65" t="s">
        <v>60</v>
      </c>
      <c r="B19" t="s">
        <v>61</v>
      </c>
      <c r="C19" t="s">
        <v>31</v>
      </c>
      <c r="E19">
        <v>21924</v>
      </c>
      <c r="F19">
        <f>april2025!E19</f>
        <v>21184</v>
      </c>
      <c r="G19">
        <f>Tabel24256789101112131415171618192120222326141516[[#This Row],[Stand Coffee einde maand]]-Tabel24256789101112131415171618192120222326141516[[#This Row],[Coffee vorige maand]]</f>
        <v>740</v>
      </c>
      <c r="H19" s="53">
        <v>4943</v>
      </c>
      <c r="I19">
        <f>april2025!H19</f>
        <v>4701</v>
      </c>
      <c r="J19">
        <f>Tabel24256789101112131415171618192120222326141516[[#This Row],[Stand Espresso Einde maand]]-Tabel24256789101112131415171618192120222326141516[[#This Row],[Espresso vorige maand]]</f>
        <v>242</v>
      </c>
      <c r="K19" s="53">
        <v>1586</v>
      </c>
      <c r="L19">
        <f>april2025!K19</f>
        <v>1537</v>
      </c>
      <c r="M19">
        <f>Tabel24256789101112131415171618192120222326141516[[#This Row],[Stand Latte Macchiato einde maand]]-Tabel24256789101112131415171618192120222326141516[[#This Row],[Latte Macchiato vorige maand]]</f>
        <v>49</v>
      </c>
      <c r="N19" s="53">
        <v>1020</v>
      </c>
      <c r="O19">
        <f>april2025!N19</f>
        <v>989</v>
      </c>
      <c r="P19">
        <f>Tabel24256789101112131415171618192120222326141516[[#This Row],[Stand Coffee Latte einde maand]]-Tabel24256789101112131415171618192120222326141516[[#This Row],[Coffee Latte vorige maand]]</f>
        <v>31</v>
      </c>
      <c r="Q19" s="53">
        <v>49368</v>
      </c>
      <c r="R19">
        <f>april2025!Q19</f>
        <v>47395</v>
      </c>
      <c r="S19">
        <f>Tabel24256789101112131415171618192120222326141516[[#This Row],[Stand Hot Water einde maand]]-Tabel24256789101112131415171618192120222326141516[[#This Row],[Hot Water vorige maand]]</f>
        <v>1973</v>
      </c>
      <c r="T19" s="53">
        <v>11847</v>
      </c>
      <c r="U19">
        <f>april2025!T19</f>
        <v>11549</v>
      </c>
      <c r="V19">
        <f>Tabel24256789101112131415171618192120222326141516[[#This Row],[Stand Cappucino einde maand]]-Tabel24256789101112131415171618192120222326141516[[#This Row],[Stand Cappucino vorige maand]]</f>
        <v>298</v>
      </c>
      <c r="W19" s="53">
        <v>1980</v>
      </c>
      <c r="X19">
        <f>april2025!W19</f>
        <v>1938</v>
      </c>
      <c r="Y19">
        <f>Tabel24256789101112131415171618192120222326141516[[#This Row],[Stand Cappucino Plantaardig einde maand]]-Tabel24256789101112131415171618192120222326141516[[#This Row],[Stand Cappucino Plantaardig vorige maand]]</f>
        <v>42</v>
      </c>
      <c r="Z19" s="53">
        <v>527</v>
      </c>
      <c r="AA19">
        <f>april2025!Z19</f>
        <v>515</v>
      </c>
      <c r="AB19">
        <f>Tabel24256789101112131415171618192120222326141516[[#This Row],[Stand Latte Macchiato Plantaardig einde maand]]-Tabel24256789101112131415171618192120222326141516[[#This Row],[Stand Latte Macchiato Plantaardig vorige maand]]</f>
        <v>12</v>
      </c>
      <c r="AC19" s="71">
        <f>Tabel24256789101112131415171618192120222326141516[[#This Row],[Verbruik Stand Latte Macchiato Plantaardig deze maand]]+Tabel24256789101112131415171618192120222326141516[[#This Row],[Verbruik  Cappucino Plantaardig deze maand]]+Tabel24256789101112131415171618192120222326141516[[#This Row],[Verbruik Cappucino deze maand]]+Tabel24256789101112131415171618192120222326141516[[#This Row],[Verbruik Hot Water deze maand]]+Tabel24256789101112131415171618192120222326141516[[#This Row],[Verbruik Coffee Latte deze maand]]+Tabel24256789101112131415171618192120222326141516[[#This Row],[Verbruik Latte Macchiato deze maand]]+Tabel24256789101112131415171618192120222326141516[[#This Row],[Verbruik Espresso deze maand]]+Tabel24256789101112131415171618192120222326141516[[#This Row],[Verbruik Coffee deze maand]]</f>
        <v>3387</v>
      </c>
      <c r="AD19" s="69"/>
      <c r="AE19" s="41"/>
      <c r="AF19" s="5"/>
      <c r="AG19" s="5"/>
      <c r="AH19" s="75"/>
      <c r="AI19" s="41"/>
      <c r="AJ19" s="5"/>
      <c r="AK19" s="5"/>
      <c r="AL19" s="75"/>
      <c r="AM19" s="41"/>
      <c r="AN19" s="5"/>
      <c r="AO19" s="5"/>
      <c r="AP19" s="75"/>
      <c r="AQ19" s="41"/>
      <c r="AR19" s="5"/>
      <c r="AS19" s="5"/>
      <c r="AT19" s="75"/>
      <c r="AU19" s="41"/>
      <c r="AV19" s="5"/>
      <c r="AW19" s="5"/>
      <c r="AX19" s="79"/>
      <c r="AY19" s="95">
        <f>Tabel24256789101112131415171618192120222326141516[[#This Row],[Subtotaal waterbar in consumpties]]+Tabel24256789101112131415171618192120222326141516[[#This Row],[Subtotaal koffieautomaten]]</f>
        <v>3387</v>
      </c>
    </row>
    <row r="20" spans="1:130" ht="14.45" customHeight="1" x14ac:dyDescent="0.25">
      <c r="A20" s="65" t="s">
        <v>62</v>
      </c>
      <c r="B20" t="s">
        <v>63</v>
      </c>
      <c r="C20" t="s">
        <v>47</v>
      </c>
      <c r="E20">
        <v>7732</v>
      </c>
      <c r="F20">
        <f>april2025!E20</f>
        <v>6981</v>
      </c>
      <c r="G20">
        <f>Tabel24256789101112131415171618192120222326141516[[#This Row],[Stand Coffee einde maand]]-Tabel24256789101112131415171618192120222326141516[[#This Row],[Coffee vorige maand]]</f>
        <v>751</v>
      </c>
      <c r="H20" s="53">
        <v>1521</v>
      </c>
      <c r="I20">
        <f>april2025!H20</f>
        <v>1384</v>
      </c>
      <c r="J20">
        <f>Tabel24256789101112131415171618192120222326141516[[#This Row],[Stand Espresso Einde maand]]-Tabel24256789101112131415171618192120222326141516[[#This Row],[Espresso vorige maand]]</f>
        <v>137</v>
      </c>
      <c r="K20" s="53">
        <v>311</v>
      </c>
      <c r="L20">
        <f>april2025!K20</f>
        <v>282</v>
      </c>
      <c r="M20">
        <f>Tabel24256789101112131415171618192120222326141516[[#This Row],[Stand Latte Macchiato einde maand]]-Tabel24256789101112131415171618192120222326141516[[#This Row],[Latte Macchiato vorige maand]]</f>
        <v>29</v>
      </c>
      <c r="N20" s="53">
        <v>591</v>
      </c>
      <c r="O20">
        <f>april2025!N20</f>
        <v>520</v>
      </c>
      <c r="P20">
        <f>Tabel24256789101112131415171618192120222326141516[[#This Row],[Stand Coffee Latte einde maand]]-Tabel24256789101112131415171618192120222326141516[[#This Row],[Coffee Latte vorige maand]]</f>
        <v>71</v>
      </c>
      <c r="Q20" s="53">
        <v>2728</v>
      </c>
      <c r="R20">
        <f>april2025!Q20</f>
        <v>2415</v>
      </c>
      <c r="S20">
        <f>Tabel24256789101112131415171618192120222326141516[[#This Row],[Stand Hot Water einde maand]]-Tabel24256789101112131415171618192120222326141516[[#This Row],[Hot Water vorige maand]]</f>
        <v>313</v>
      </c>
      <c r="T20" s="53">
        <v>2562</v>
      </c>
      <c r="U20">
        <f>april2025!T20</f>
        <v>2348</v>
      </c>
      <c r="V20">
        <f>Tabel24256789101112131415171618192120222326141516[[#This Row],[Stand Cappucino einde maand]]-Tabel24256789101112131415171618192120222326141516[[#This Row],[Stand Cappucino vorige maand]]</f>
        <v>214</v>
      </c>
      <c r="W20" s="53">
        <v>856</v>
      </c>
      <c r="X20">
        <f>april2025!W20</f>
        <v>800</v>
      </c>
      <c r="Y20">
        <f>Tabel24256789101112131415171618192120222326141516[[#This Row],[Stand Cappucino Plantaardig einde maand]]-Tabel24256789101112131415171618192120222326141516[[#This Row],[Stand Cappucino Plantaardig vorige maand]]</f>
        <v>56</v>
      </c>
      <c r="Z20" s="53">
        <v>322</v>
      </c>
      <c r="AA20">
        <f>april2025!Z20</f>
        <v>308</v>
      </c>
      <c r="AB20">
        <f>Tabel24256789101112131415171618192120222326141516[[#This Row],[Stand Latte Macchiato Plantaardig einde maand]]-Tabel24256789101112131415171618192120222326141516[[#This Row],[Stand Latte Macchiato Plantaardig vorige maand]]</f>
        <v>14</v>
      </c>
      <c r="AC20" s="71">
        <f>Tabel24256789101112131415171618192120222326141516[[#This Row],[Verbruik Stand Latte Macchiato Plantaardig deze maand]]+Tabel24256789101112131415171618192120222326141516[[#This Row],[Verbruik  Cappucino Plantaardig deze maand]]+Tabel24256789101112131415171618192120222326141516[[#This Row],[Verbruik Cappucino deze maand]]+Tabel24256789101112131415171618192120222326141516[[#This Row],[Verbruik Hot Water deze maand]]+Tabel24256789101112131415171618192120222326141516[[#This Row],[Verbruik Coffee Latte deze maand]]+Tabel24256789101112131415171618192120222326141516[[#This Row],[Verbruik Latte Macchiato deze maand]]+Tabel24256789101112131415171618192120222326141516[[#This Row],[Verbruik Espresso deze maand]]+Tabel24256789101112131415171618192120222326141516[[#This Row],[Verbruik Coffee deze maand]]</f>
        <v>1585</v>
      </c>
      <c r="AD20" s="53">
        <v>197.1</v>
      </c>
      <c r="AE20">
        <f>april2025!AD20</f>
        <v>182.3</v>
      </c>
      <c r="AF20">
        <f>Tabel24256789101112131415171618192120222326141516[[#This Row],[Stand Kamertemp liter einde maand]]-Tabel24256789101112131415171618192120222326141516[[#This Row],[Stand Kamertemp liter vorige maand]]</f>
        <v>14.799999999999983</v>
      </c>
      <c r="AG20" s="2">
        <f>Tabel24256789101112131415171618192120222326141516[[#This Row],[Verbruik Kamertemp liter deze maand]]/0.15</f>
        <v>98.666666666666558</v>
      </c>
      <c r="AH20" s="51">
        <v>1686.7</v>
      </c>
      <c r="AI20">
        <f>april2025!AH20</f>
        <v>1568.7</v>
      </c>
      <c r="AJ20">
        <f>Tabel24256789101112131415171618192120222326141516[[#This Row],[Stand Gekoeld liter einde maand]]-Tabel24256789101112131415171618192120222326141516[[#This Row],[Stand Gekoeld liter vorige maand]]</f>
        <v>118</v>
      </c>
      <c r="AK20" s="2">
        <f>Tabel24256789101112131415171618192120222326141516[[#This Row],[Verbruik Gekoeld liter deze maand]]/0.15</f>
        <v>786.66666666666674</v>
      </c>
      <c r="AL20" s="51">
        <v>1955</v>
      </c>
      <c r="AM20">
        <f>april2025!AL20</f>
        <v>1806.8</v>
      </c>
      <c r="AN20">
        <f>Tabel24256789101112131415171618192120222326141516[[#This Row],[Stand Bruisend liter einde maand]]-Tabel24256789101112131415171618192120222326141516[[#This Row],[Stand Bruisend liter vorige maand]]</f>
        <v>148.20000000000005</v>
      </c>
      <c r="AO20" s="2">
        <f>Tabel24256789101112131415171618192120222326141516[[#This Row],[Verbruik Bruisend liter deze maand]]/0.15</f>
        <v>988.00000000000034</v>
      </c>
      <c r="AP20" s="51">
        <v>454.4</v>
      </c>
      <c r="AQ20">
        <f>april2025!AP20</f>
        <v>417.6</v>
      </c>
      <c r="AR20">
        <f>Tabel24256789101112131415171618192120222326141516[[#This Row],[Stand licht bruisend liter einde maand]]-Tabel24256789101112131415171618192120222326141516[[#This Row],[Stand licht bruisend liter vorige maand]]</f>
        <v>36.799999999999955</v>
      </c>
      <c r="AS20" s="2">
        <f>Tabel24256789101112131415171618192120222326141516[[#This Row],[Verbruik licht bruisend liter deze maand]]/0.15</f>
        <v>245.33333333333303</v>
      </c>
      <c r="AT20" s="51">
        <v>4999.8</v>
      </c>
      <c r="AU20">
        <f>april2025!AT20</f>
        <v>4731.8999999999996</v>
      </c>
      <c r="AV20">
        <f>Tabel24256789101112131415171618192120222326141516[[#This Row],[Stand heet water liter einde maand]]-Tabel24256789101112131415171618192120222326141516[[#This Row],[Stand heet water liter vorige maand]]</f>
        <v>267.90000000000055</v>
      </c>
      <c r="AW20" s="2">
        <f>Tabel24256789101112131415171618192120222326141516[[#This Row],[Verbruik heet Water liter deze maand ]]/0.15</f>
        <v>1786.0000000000036</v>
      </c>
      <c r="AX20" s="77">
        <f>Tabel24256789101112131415171618192120222326141516[[#This Row],[Aantal consumpties heet water deze maand]]+Tabel24256789101112131415171618192120222326141516[[#This Row],[Aantal consumpties licht bruisend water deze maand]]+Tabel24256789101112131415171618192120222326141516[[#This Row],[aantal consumpties Bruisend water deze maand]]+Tabel24256789101112131415171618192120222326141516[[#This Row],[Aantal consumpties gekoeld water deze maand]]+Tabel24256789101112131415171618192120222326141516[[#This Row],[Aantal consumpties Kamertemp deze maand]]</f>
        <v>3904.6666666666702</v>
      </c>
      <c r="AY20" s="95">
        <f>Tabel24256789101112131415171618192120222326141516[[#This Row],[Subtotaal waterbar in consumpties]]+Tabel24256789101112131415171618192120222326141516[[#This Row],[Subtotaal koffieautomaten]]</f>
        <v>5489.6666666666697</v>
      </c>
    </row>
    <row r="21" spans="1:130" ht="14.45" customHeight="1" x14ac:dyDescent="0.25">
      <c r="A21" s="65" t="s">
        <v>64</v>
      </c>
      <c r="B21" t="s">
        <v>65</v>
      </c>
      <c r="C21" t="s">
        <v>31</v>
      </c>
      <c r="E21">
        <v>24731</v>
      </c>
      <c r="F21">
        <f>april2025!E21</f>
        <v>23826</v>
      </c>
      <c r="G21">
        <f>Tabel24256789101112131415171618192120222326141516[[#This Row],[Stand Coffee einde maand]]-Tabel24256789101112131415171618192120222326141516[[#This Row],[Coffee vorige maand]]</f>
        <v>905</v>
      </c>
      <c r="H21" s="53">
        <v>6827</v>
      </c>
      <c r="I21">
        <f>april2025!H21</f>
        <v>6565</v>
      </c>
      <c r="J21">
        <f>Tabel24256789101112131415171618192120222326141516[[#This Row],[Stand Espresso Einde maand]]-Tabel24256789101112131415171618192120222326141516[[#This Row],[Espresso vorige maand]]</f>
        <v>262</v>
      </c>
      <c r="K21" s="53">
        <v>2934</v>
      </c>
      <c r="L21">
        <f>april2025!K21</f>
        <v>2860</v>
      </c>
      <c r="M21">
        <f>Tabel24256789101112131415171618192120222326141516[[#This Row],[Stand Latte Macchiato einde maand]]-Tabel24256789101112131415171618192120222326141516[[#This Row],[Latte Macchiato vorige maand]]</f>
        <v>74</v>
      </c>
      <c r="N21" s="53">
        <v>1223</v>
      </c>
      <c r="O21">
        <f>april2025!N21</f>
        <v>1188</v>
      </c>
      <c r="P21">
        <f>Tabel24256789101112131415171618192120222326141516[[#This Row],[Stand Coffee Latte einde maand]]-Tabel24256789101112131415171618192120222326141516[[#This Row],[Coffee Latte vorige maand]]</f>
        <v>35</v>
      </c>
      <c r="Q21" s="53">
        <v>53486</v>
      </c>
      <c r="R21">
        <f>april2025!Q21</f>
        <v>51537</v>
      </c>
      <c r="S21">
        <f>Tabel24256789101112131415171618192120222326141516[[#This Row],[Stand Hot Water einde maand]]-Tabel24256789101112131415171618192120222326141516[[#This Row],[Hot Water vorige maand]]</f>
        <v>1949</v>
      </c>
      <c r="T21" s="53">
        <v>15841</v>
      </c>
      <c r="U21">
        <f>april2025!T21</f>
        <v>15406</v>
      </c>
      <c r="V21">
        <f>Tabel24256789101112131415171618192120222326141516[[#This Row],[Stand Cappucino einde maand]]-Tabel24256789101112131415171618192120222326141516[[#This Row],[Stand Cappucino vorige maand]]</f>
        <v>435</v>
      </c>
      <c r="W21" s="53">
        <v>2729</v>
      </c>
      <c r="X21">
        <f>april2025!W21</f>
        <v>2652</v>
      </c>
      <c r="Y21">
        <f>Tabel24256789101112131415171618192120222326141516[[#This Row],[Stand Cappucino Plantaardig einde maand]]-Tabel24256789101112131415171618192120222326141516[[#This Row],[Stand Cappucino Plantaardig vorige maand]]</f>
        <v>77</v>
      </c>
      <c r="Z21" s="53">
        <v>872</v>
      </c>
      <c r="AA21">
        <f>april2025!Z21</f>
        <v>827</v>
      </c>
      <c r="AB21">
        <f>Tabel24256789101112131415171618192120222326141516[[#This Row],[Stand Latte Macchiato Plantaardig einde maand]]-Tabel24256789101112131415171618192120222326141516[[#This Row],[Stand Latte Macchiato Plantaardig vorige maand]]</f>
        <v>45</v>
      </c>
      <c r="AC21" s="71">
        <f>Tabel24256789101112131415171618192120222326141516[[#This Row],[Verbruik Stand Latte Macchiato Plantaardig deze maand]]+Tabel24256789101112131415171618192120222326141516[[#This Row],[Verbruik  Cappucino Plantaardig deze maand]]+Tabel24256789101112131415171618192120222326141516[[#This Row],[Verbruik Cappucino deze maand]]+Tabel24256789101112131415171618192120222326141516[[#This Row],[Verbruik Hot Water deze maand]]+Tabel24256789101112131415171618192120222326141516[[#This Row],[Verbruik Coffee Latte deze maand]]+Tabel24256789101112131415171618192120222326141516[[#This Row],[Verbruik Latte Macchiato deze maand]]+Tabel24256789101112131415171618192120222326141516[[#This Row],[Verbruik Espresso deze maand]]+Tabel24256789101112131415171618192120222326141516[[#This Row],[Verbruik Coffee deze maand]]</f>
        <v>3782</v>
      </c>
      <c r="AD21" s="69"/>
      <c r="AE21" s="41"/>
      <c r="AF21" s="5"/>
      <c r="AG21" s="5"/>
      <c r="AH21" s="75"/>
      <c r="AI21" s="41"/>
      <c r="AJ21" s="5"/>
      <c r="AK21" s="5"/>
      <c r="AL21" s="75"/>
      <c r="AM21" s="41"/>
      <c r="AN21" s="5"/>
      <c r="AO21" s="5"/>
      <c r="AP21" s="75"/>
      <c r="AQ21" s="41"/>
      <c r="AR21" s="5"/>
      <c r="AS21" s="5"/>
      <c r="AT21" s="75"/>
      <c r="AU21" s="41"/>
      <c r="AV21" s="5"/>
      <c r="AW21" s="5"/>
      <c r="AX21" s="79"/>
      <c r="AY21" s="95">
        <f>Tabel24256789101112131415171618192120222326141516[[#This Row],[Subtotaal waterbar in consumpties]]+Tabel24256789101112131415171618192120222326141516[[#This Row],[Subtotaal koffieautomaten]]</f>
        <v>3782</v>
      </c>
    </row>
    <row r="22" spans="1:130" ht="14.45" customHeight="1" x14ac:dyDescent="0.25">
      <c r="A22" s="65" t="s">
        <v>66</v>
      </c>
      <c r="B22" t="s">
        <v>67</v>
      </c>
      <c r="C22" t="s">
        <v>31</v>
      </c>
      <c r="E22">
        <v>29699</v>
      </c>
      <c r="F22">
        <f>april2025!E22</f>
        <v>28688</v>
      </c>
      <c r="G22">
        <f>Tabel24256789101112131415171618192120222326141516[[#This Row],[Stand Coffee einde maand]]-Tabel24256789101112131415171618192120222326141516[[#This Row],[Coffee vorige maand]]</f>
        <v>1011</v>
      </c>
      <c r="H22" s="53">
        <v>5022</v>
      </c>
      <c r="I22">
        <f>april2025!H22</f>
        <v>4793</v>
      </c>
      <c r="J22">
        <f>Tabel24256789101112131415171618192120222326141516[[#This Row],[Stand Espresso Einde maand]]-Tabel24256789101112131415171618192120222326141516[[#This Row],[Espresso vorige maand]]</f>
        <v>229</v>
      </c>
      <c r="K22" s="53">
        <v>3567</v>
      </c>
      <c r="L22">
        <f>april2025!K22</f>
        <v>3459</v>
      </c>
      <c r="M22">
        <f>Tabel24256789101112131415171618192120222326141516[[#This Row],[Stand Latte Macchiato einde maand]]-Tabel24256789101112131415171618192120222326141516[[#This Row],[Latte Macchiato vorige maand]]</f>
        <v>108</v>
      </c>
      <c r="N22" s="53">
        <v>850</v>
      </c>
      <c r="O22">
        <f>april2025!N22</f>
        <v>829</v>
      </c>
      <c r="P22">
        <f>Tabel24256789101112131415171618192120222326141516[[#This Row],[Stand Coffee Latte einde maand]]-Tabel24256789101112131415171618192120222326141516[[#This Row],[Coffee Latte vorige maand]]</f>
        <v>21</v>
      </c>
      <c r="Q22" s="53">
        <v>48452</v>
      </c>
      <c r="R22">
        <f>april2025!Q22</f>
        <v>46987</v>
      </c>
      <c r="S22">
        <f>Tabel24256789101112131415171618192120222326141516[[#This Row],[Stand Hot Water einde maand]]-Tabel24256789101112131415171618192120222326141516[[#This Row],[Hot Water vorige maand]]</f>
        <v>1465</v>
      </c>
      <c r="T22" s="53">
        <v>16192</v>
      </c>
      <c r="U22">
        <f>april2025!T22</f>
        <v>15670</v>
      </c>
      <c r="V22">
        <f>Tabel24256789101112131415171618192120222326141516[[#This Row],[Stand Cappucino einde maand]]-Tabel24256789101112131415171618192120222326141516[[#This Row],[Stand Cappucino vorige maand]]</f>
        <v>522</v>
      </c>
      <c r="W22" s="53">
        <v>3499</v>
      </c>
      <c r="X22">
        <f>april2025!W22</f>
        <v>3355</v>
      </c>
      <c r="Y22">
        <f>Tabel24256789101112131415171618192120222326141516[[#This Row],[Stand Cappucino Plantaardig einde maand]]-Tabel24256789101112131415171618192120222326141516[[#This Row],[Stand Cappucino Plantaardig vorige maand]]</f>
        <v>144</v>
      </c>
      <c r="Z22" s="53">
        <v>704</v>
      </c>
      <c r="AA22">
        <f>april2025!Z22</f>
        <v>681</v>
      </c>
      <c r="AB22">
        <f>Tabel24256789101112131415171618192120222326141516[[#This Row],[Stand Latte Macchiato Plantaardig einde maand]]-Tabel24256789101112131415171618192120222326141516[[#This Row],[Stand Latte Macchiato Plantaardig vorige maand]]</f>
        <v>23</v>
      </c>
      <c r="AC22" s="71">
        <f>Tabel24256789101112131415171618192120222326141516[[#This Row],[Verbruik Stand Latte Macchiato Plantaardig deze maand]]+Tabel24256789101112131415171618192120222326141516[[#This Row],[Verbruik  Cappucino Plantaardig deze maand]]+Tabel24256789101112131415171618192120222326141516[[#This Row],[Verbruik Cappucino deze maand]]+Tabel24256789101112131415171618192120222326141516[[#This Row],[Verbruik Hot Water deze maand]]+Tabel24256789101112131415171618192120222326141516[[#This Row],[Verbruik Coffee Latte deze maand]]+Tabel24256789101112131415171618192120222326141516[[#This Row],[Verbruik Latte Macchiato deze maand]]+Tabel24256789101112131415171618192120222326141516[[#This Row],[Verbruik Espresso deze maand]]+Tabel24256789101112131415171618192120222326141516[[#This Row],[Verbruik Coffee deze maand]]</f>
        <v>3523</v>
      </c>
      <c r="AD22" s="69"/>
      <c r="AE22" s="41"/>
      <c r="AF22" s="5"/>
      <c r="AG22" s="5"/>
      <c r="AH22" s="75"/>
      <c r="AI22" s="41"/>
      <c r="AJ22" s="5"/>
      <c r="AK22" s="5"/>
      <c r="AL22" s="75"/>
      <c r="AM22" s="41"/>
      <c r="AN22" s="5"/>
      <c r="AO22" s="5"/>
      <c r="AP22" s="75"/>
      <c r="AQ22" s="41"/>
      <c r="AR22" s="5"/>
      <c r="AS22" s="5"/>
      <c r="AT22" s="75"/>
      <c r="AU22" s="41"/>
      <c r="AV22" s="5"/>
      <c r="AW22" s="5"/>
      <c r="AX22" s="79"/>
      <c r="AY22" s="95">
        <f>Tabel24256789101112131415171618192120222326141516[[#This Row],[Subtotaal waterbar in consumpties]]+Tabel24256789101112131415171618192120222326141516[[#This Row],[Subtotaal koffieautomaten]]</f>
        <v>3523</v>
      </c>
    </row>
    <row r="23" spans="1:130" ht="14.45" customHeight="1" x14ac:dyDescent="0.25">
      <c r="A23" s="65" t="s">
        <v>68</v>
      </c>
      <c r="B23" t="s">
        <v>69</v>
      </c>
      <c r="C23" t="s">
        <v>47</v>
      </c>
      <c r="E23">
        <v>17405</v>
      </c>
      <c r="F23">
        <f>april2025!E23</f>
        <v>16791</v>
      </c>
      <c r="G23">
        <f>Tabel24256789101112131415171618192120222326141516[[#This Row],[Stand Coffee einde maand]]-Tabel24256789101112131415171618192120222326141516[[#This Row],[Coffee vorige maand]]</f>
        <v>614</v>
      </c>
      <c r="H23" s="53">
        <v>7144</v>
      </c>
      <c r="I23">
        <f>april2025!H23</f>
        <v>6893</v>
      </c>
      <c r="J23">
        <f>Tabel24256789101112131415171618192120222326141516[[#This Row],[Stand Espresso Einde maand]]-Tabel24256789101112131415171618192120222326141516[[#This Row],[Espresso vorige maand]]</f>
        <v>251</v>
      </c>
      <c r="K23" s="53">
        <v>5280</v>
      </c>
      <c r="L23">
        <f>april2025!K23</f>
        <v>5060</v>
      </c>
      <c r="M23">
        <f>Tabel24256789101112131415171618192120222326141516[[#This Row],[Stand Latte Macchiato einde maand]]-Tabel24256789101112131415171618192120222326141516[[#This Row],[Latte Macchiato vorige maand]]</f>
        <v>220</v>
      </c>
      <c r="N23" s="53">
        <v>936</v>
      </c>
      <c r="O23">
        <v>826</v>
      </c>
      <c r="P23">
        <f>Tabel24256789101112131415171618192120222326141516[[#This Row],[Stand Coffee Latte einde maand]]-Tabel24256789101112131415171618192120222326141516[[#This Row],[Coffee Latte vorige maand]]</f>
        <v>110</v>
      </c>
      <c r="Q23" s="53">
        <v>1</v>
      </c>
      <c r="R23">
        <v>1</v>
      </c>
      <c r="S23">
        <f>Tabel24256789101112131415171618192120222326141516[[#This Row],[Stand Hot Water einde maand]]-Tabel24256789101112131415171618192120222326141516[[#This Row],[Hot Water vorige maand]]</f>
        <v>0</v>
      </c>
      <c r="T23" s="53">
        <v>14601</v>
      </c>
      <c r="U23">
        <f>april2025!T23</f>
        <v>14208</v>
      </c>
      <c r="V23">
        <f>Tabel24256789101112131415171618192120222326141516[[#This Row],[Stand Cappucino einde maand]]-Tabel24256789101112131415171618192120222326141516[[#This Row],[Stand Cappucino vorige maand]]</f>
        <v>393</v>
      </c>
      <c r="W23" s="53">
        <v>2906</v>
      </c>
      <c r="X23">
        <f>april2025!W23</f>
        <v>2838</v>
      </c>
      <c r="Y23">
        <f>Tabel24256789101112131415171618192120222326141516[[#This Row],[Stand Cappucino Plantaardig einde maand]]-Tabel24256789101112131415171618192120222326141516[[#This Row],[Stand Cappucino Plantaardig vorige maand]]</f>
        <v>68</v>
      </c>
      <c r="Z23" s="53">
        <v>776</v>
      </c>
      <c r="AA23">
        <f>april2025!Z23</f>
        <v>742</v>
      </c>
      <c r="AB23">
        <f>Tabel24256789101112131415171618192120222326141516[[#This Row],[Stand Latte Macchiato Plantaardig einde maand]]-Tabel24256789101112131415171618192120222326141516[[#This Row],[Stand Latte Macchiato Plantaardig vorige maand]]</f>
        <v>34</v>
      </c>
      <c r="AC23" s="71">
        <f>Tabel24256789101112131415171618192120222326141516[[#This Row],[Verbruik Stand Latte Macchiato Plantaardig deze maand]]+Tabel24256789101112131415171618192120222326141516[[#This Row],[Verbruik  Cappucino Plantaardig deze maand]]+Tabel24256789101112131415171618192120222326141516[[#This Row],[Verbruik Cappucino deze maand]]+Tabel24256789101112131415171618192120222326141516[[#This Row],[Verbruik Hot Water deze maand]]+Tabel24256789101112131415171618192120222326141516[[#This Row],[Verbruik Coffee Latte deze maand]]+Tabel24256789101112131415171618192120222326141516[[#This Row],[Verbruik Latte Macchiato deze maand]]+Tabel24256789101112131415171618192120222326141516[[#This Row],[Verbruik Espresso deze maand]]+Tabel24256789101112131415171618192120222326141516[[#This Row],[Verbruik Coffee deze maand]]</f>
        <v>1690</v>
      </c>
      <c r="AD23" s="53">
        <v>112.7</v>
      </c>
      <c r="AE23">
        <f>april2025!AD23</f>
        <v>97.8</v>
      </c>
      <c r="AF23">
        <f>Tabel24256789101112131415171618192120222326141516[[#This Row],[Stand Kamertemp liter einde maand]]-Tabel24256789101112131415171618192120222326141516[[#This Row],[Stand Kamertemp liter vorige maand]]</f>
        <v>14.900000000000006</v>
      </c>
      <c r="AG23" s="2">
        <f>Tabel24256789101112131415171618192120222326141516[[#This Row],[Verbruik Kamertemp liter deze maand]]/0.15</f>
        <v>99.333333333333371</v>
      </c>
      <c r="AH23" s="53">
        <v>1125.7</v>
      </c>
      <c r="AI23">
        <f>april2025!AH23</f>
        <v>934.1</v>
      </c>
      <c r="AJ23">
        <f>Tabel24256789101112131415171618192120222326141516[[#This Row],[Stand Gekoeld liter einde maand]]-Tabel24256789101112131415171618192120222326141516[[#This Row],[Stand Gekoeld liter vorige maand]]</f>
        <v>191.60000000000002</v>
      </c>
      <c r="AK23" s="2">
        <f>Tabel24256789101112131415171618192120222326141516[[#This Row],[Verbruik Gekoeld liter deze maand]]/0.15</f>
        <v>1277.3333333333335</v>
      </c>
      <c r="AL23" s="53">
        <v>549.5</v>
      </c>
      <c r="AM23">
        <f>april2025!AL23</f>
        <v>438</v>
      </c>
      <c r="AN23">
        <f>Tabel24256789101112131415171618192120222326141516[[#This Row],[Stand Bruisend liter einde maand]]-Tabel24256789101112131415171618192120222326141516[[#This Row],[Stand Bruisend liter vorige maand]]</f>
        <v>111.5</v>
      </c>
      <c r="AO23" s="2">
        <f>Tabel24256789101112131415171618192120222326141516[[#This Row],[Verbruik Bruisend liter deze maand]]/0.15</f>
        <v>743.33333333333337</v>
      </c>
      <c r="AP23" s="53">
        <v>99.3</v>
      </c>
      <c r="AQ23">
        <f>april2025!AP23</f>
        <v>70.400000000000006</v>
      </c>
      <c r="AR23">
        <f>Tabel24256789101112131415171618192120222326141516[[#This Row],[Stand licht bruisend liter einde maand]]-Tabel24256789101112131415171618192120222326141516[[#This Row],[Stand licht bruisend liter vorige maand]]</f>
        <v>28.899999999999991</v>
      </c>
      <c r="AS23" s="2">
        <f>Tabel24256789101112131415171618192120222326141516[[#This Row],[Verbruik licht bruisend liter deze maand]]/0.15</f>
        <v>192.66666666666663</v>
      </c>
      <c r="AT23" s="53">
        <v>2513.1</v>
      </c>
      <c r="AU23">
        <f>april2025!AT23</f>
        <v>2174.6999999999998</v>
      </c>
      <c r="AV23">
        <f>Tabel24256789101112131415171618192120222326141516[[#This Row],[Stand heet water liter einde maand]]-Tabel24256789101112131415171618192120222326141516[[#This Row],[Stand heet water liter vorige maand]]</f>
        <v>338.40000000000009</v>
      </c>
      <c r="AW23" s="2">
        <f>Tabel24256789101112131415171618192120222326141516[[#This Row],[Verbruik heet Water liter deze maand ]]/0.15</f>
        <v>2256.0000000000009</v>
      </c>
      <c r="AX23" s="77">
        <f>Tabel24256789101112131415171618192120222326141516[[#This Row],[Aantal consumpties heet water deze maand]]+Tabel24256789101112131415171618192120222326141516[[#This Row],[Aantal consumpties licht bruisend water deze maand]]+Tabel24256789101112131415171618192120222326141516[[#This Row],[aantal consumpties Bruisend water deze maand]]+Tabel24256789101112131415171618192120222326141516[[#This Row],[Aantal consumpties gekoeld water deze maand]]+Tabel24256789101112131415171618192120222326141516[[#This Row],[Aantal consumpties Kamertemp deze maand]]</f>
        <v>4568.666666666667</v>
      </c>
      <c r="AY23" s="95">
        <f>Tabel24256789101112131415171618192120222326141516[[#This Row],[Subtotaal waterbar in consumpties]]+Tabel24256789101112131415171618192120222326141516[[#This Row],[Subtotaal koffieautomaten]]</f>
        <v>6258.666666666667</v>
      </c>
    </row>
    <row r="24" spans="1:130" ht="14.45" customHeight="1" x14ac:dyDescent="0.25">
      <c r="A24" s="65" t="s">
        <v>70</v>
      </c>
      <c r="B24" t="s">
        <v>71</v>
      </c>
      <c r="C24" t="s">
        <v>31</v>
      </c>
      <c r="E24">
        <v>19235</v>
      </c>
      <c r="F24">
        <f>april2025!E24</f>
        <v>18541</v>
      </c>
      <c r="G24">
        <f>Tabel24256789101112131415171618192120222326141516[[#This Row],[Stand Coffee einde maand]]-Tabel24256789101112131415171618192120222326141516[[#This Row],[Coffee vorige maand]]</f>
        <v>694</v>
      </c>
      <c r="H24" s="53">
        <v>2970</v>
      </c>
      <c r="I24">
        <f>april2025!H24</f>
        <v>2860</v>
      </c>
      <c r="J24">
        <f>Tabel24256789101112131415171618192120222326141516[[#This Row],[Stand Espresso Einde maand]]-Tabel24256789101112131415171618192120222326141516[[#This Row],[Espresso vorige maand]]</f>
        <v>110</v>
      </c>
      <c r="K24" s="53">
        <v>1389</v>
      </c>
      <c r="L24">
        <f>april2025!K24</f>
        <v>1363</v>
      </c>
      <c r="M24">
        <f>Tabel24256789101112131415171618192120222326141516[[#This Row],[Stand Latte Macchiato einde maand]]-Tabel24256789101112131415171618192120222326141516[[#This Row],[Latte Macchiato vorige maand]]</f>
        <v>26</v>
      </c>
      <c r="N24" s="53">
        <v>2274</v>
      </c>
      <c r="O24">
        <f>april2025!N24</f>
        <v>2197</v>
      </c>
      <c r="P24">
        <f>Tabel24256789101112131415171618192120222326141516[[#This Row],[Stand Coffee Latte einde maand]]-Tabel24256789101112131415171618192120222326141516[[#This Row],[Coffee Latte vorige maand]]</f>
        <v>77</v>
      </c>
      <c r="Q24" s="53">
        <v>36912</v>
      </c>
      <c r="R24">
        <f>april2025!Q24</f>
        <v>35465</v>
      </c>
      <c r="S24">
        <f>Tabel24256789101112131415171618192120222326141516[[#This Row],[Stand Hot Water einde maand]]-Tabel24256789101112131415171618192120222326141516[[#This Row],[Hot Water vorige maand]]</f>
        <v>1447</v>
      </c>
      <c r="T24" s="53">
        <v>7042</v>
      </c>
      <c r="U24">
        <f>april2025!T24</f>
        <v>6873</v>
      </c>
      <c r="V24">
        <f>Tabel24256789101112131415171618192120222326141516[[#This Row],[Stand Cappucino einde maand]]-Tabel24256789101112131415171618192120222326141516[[#This Row],[Stand Cappucino vorige maand]]</f>
        <v>169</v>
      </c>
      <c r="W24" s="53">
        <v>1266</v>
      </c>
      <c r="X24">
        <f>april2025!W24</f>
        <v>1236</v>
      </c>
      <c r="Y24">
        <f>Tabel24256789101112131415171618192120222326141516[[#This Row],[Stand Cappucino Plantaardig einde maand]]-Tabel24256789101112131415171618192120222326141516[[#This Row],[Stand Cappucino Plantaardig vorige maand]]</f>
        <v>30</v>
      </c>
      <c r="Z24" s="53">
        <v>2281</v>
      </c>
      <c r="AA24">
        <f>april2025!Z24</f>
        <v>2209</v>
      </c>
      <c r="AB24">
        <f>Tabel24256789101112131415171618192120222326141516[[#This Row],[Stand Latte Macchiato Plantaardig einde maand]]-Tabel24256789101112131415171618192120222326141516[[#This Row],[Stand Latte Macchiato Plantaardig vorige maand]]</f>
        <v>72</v>
      </c>
      <c r="AC24" s="71">
        <f>Tabel24256789101112131415171618192120222326141516[[#This Row],[Verbruik Stand Latte Macchiato Plantaardig deze maand]]+Tabel24256789101112131415171618192120222326141516[[#This Row],[Verbruik  Cappucino Plantaardig deze maand]]+Tabel24256789101112131415171618192120222326141516[[#This Row],[Verbruik Cappucino deze maand]]+Tabel24256789101112131415171618192120222326141516[[#This Row],[Verbruik Hot Water deze maand]]+Tabel24256789101112131415171618192120222326141516[[#This Row],[Verbruik Coffee Latte deze maand]]+Tabel24256789101112131415171618192120222326141516[[#This Row],[Verbruik Latte Macchiato deze maand]]+Tabel24256789101112131415171618192120222326141516[[#This Row],[Verbruik Espresso deze maand]]+Tabel24256789101112131415171618192120222326141516[[#This Row],[Verbruik Coffee deze maand]]</f>
        <v>2625</v>
      </c>
      <c r="AD24" s="69"/>
      <c r="AE24" s="41"/>
      <c r="AF24" s="5"/>
      <c r="AG24" s="5"/>
      <c r="AH24" s="75"/>
      <c r="AI24" s="41"/>
      <c r="AJ24" s="5"/>
      <c r="AK24" s="5"/>
      <c r="AL24" s="75"/>
      <c r="AM24" s="41"/>
      <c r="AN24" s="5"/>
      <c r="AO24" s="5"/>
      <c r="AP24" s="75"/>
      <c r="AQ24" s="41"/>
      <c r="AR24" s="5"/>
      <c r="AS24" s="5"/>
      <c r="AT24" s="75"/>
      <c r="AU24" s="41"/>
      <c r="AV24" s="5"/>
      <c r="AW24" s="5"/>
      <c r="AX24" s="79"/>
      <c r="AY24" s="95">
        <f>Tabel24256789101112131415171618192120222326141516[[#This Row],[Subtotaal waterbar in consumpties]]+Tabel24256789101112131415171618192120222326141516[[#This Row],[Subtotaal koffieautomaten]]</f>
        <v>2625</v>
      </c>
    </row>
    <row r="25" spans="1:130" ht="14.45" customHeight="1" x14ac:dyDescent="0.25">
      <c r="A25" s="65" t="s">
        <v>72</v>
      </c>
      <c r="B25" t="s">
        <v>73</v>
      </c>
      <c r="C25" t="s">
        <v>47</v>
      </c>
      <c r="E25">
        <v>13960</v>
      </c>
      <c r="F25">
        <f>april2025!E25</f>
        <v>13630</v>
      </c>
      <c r="G25">
        <f>Tabel24256789101112131415171618192120222326141516[[#This Row],[Stand Coffee einde maand]]-Tabel24256789101112131415171618192120222326141516[[#This Row],[Coffee vorige maand]]</f>
        <v>330</v>
      </c>
      <c r="H25" s="53">
        <v>4404</v>
      </c>
      <c r="I25">
        <f>april2025!H25</f>
        <v>4288</v>
      </c>
      <c r="J25">
        <f>Tabel24256789101112131415171618192120222326141516[[#This Row],[Stand Espresso Einde maand]]-Tabel24256789101112131415171618192120222326141516[[#This Row],[Espresso vorige maand]]</f>
        <v>116</v>
      </c>
      <c r="K25" s="53">
        <v>1732</v>
      </c>
      <c r="L25">
        <f>april2025!K25</f>
        <v>1678</v>
      </c>
      <c r="M25">
        <f>Tabel24256789101112131415171618192120222326141516[[#This Row],[Stand Latte Macchiato einde maand]]-Tabel24256789101112131415171618192120222326141516[[#This Row],[Latte Macchiato vorige maand]]</f>
        <v>54</v>
      </c>
      <c r="N25" s="53">
        <v>1145</v>
      </c>
      <c r="O25">
        <f>april2025!N25</f>
        <v>1122</v>
      </c>
      <c r="P25">
        <f>Tabel24256789101112131415171618192120222326141516[[#This Row],[Stand Coffee Latte einde maand]]-Tabel24256789101112131415171618192120222326141516[[#This Row],[Coffee Latte vorige maand]]</f>
        <v>23</v>
      </c>
      <c r="Q25" s="53">
        <v>1</v>
      </c>
      <c r="R25">
        <f>april2025!Q25</f>
        <v>1</v>
      </c>
      <c r="S25">
        <f>Tabel24256789101112131415171618192120222326141516[[#This Row],[Stand Hot Water einde maand]]-Tabel24256789101112131415171618192120222326141516[[#This Row],[Hot Water vorige maand]]</f>
        <v>0</v>
      </c>
      <c r="T25" s="53">
        <v>9097</v>
      </c>
      <c r="U25">
        <f>april2025!T25</f>
        <v>8879</v>
      </c>
      <c r="V25">
        <f>Tabel24256789101112131415171618192120222326141516[[#This Row],[Stand Cappucino einde maand]]-Tabel24256789101112131415171618192120222326141516[[#This Row],[Stand Cappucino vorige maand]]</f>
        <v>218</v>
      </c>
      <c r="W25" s="53">
        <v>1659</v>
      </c>
      <c r="X25">
        <f>april2025!W25</f>
        <v>1622</v>
      </c>
      <c r="Y25">
        <f>Tabel24256789101112131415171618192120222326141516[[#This Row],[Stand Cappucino Plantaardig einde maand]]-Tabel24256789101112131415171618192120222326141516[[#This Row],[Stand Cappucino Plantaardig vorige maand]]</f>
        <v>37</v>
      </c>
      <c r="Z25" s="53">
        <v>502</v>
      </c>
      <c r="AA25">
        <f>april2025!Z25</f>
        <v>490</v>
      </c>
      <c r="AB25">
        <f>Tabel24256789101112131415171618192120222326141516[[#This Row],[Stand Latte Macchiato Plantaardig einde maand]]-Tabel24256789101112131415171618192120222326141516[[#This Row],[Stand Latte Macchiato Plantaardig vorige maand]]</f>
        <v>12</v>
      </c>
      <c r="AC25" s="71">
        <f>Tabel24256789101112131415171618192120222326141516[[#This Row],[Verbruik Stand Latte Macchiato Plantaardig deze maand]]+Tabel24256789101112131415171618192120222326141516[[#This Row],[Verbruik  Cappucino Plantaardig deze maand]]+Tabel24256789101112131415171618192120222326141516[[#This Row],[Verbruik Cappucino deze maand]]+Tabel24256789101112131415171618192120222326141516[[#This Row],[Verbruik Hot Water deze maand]]+Tabel24256789101112131415171618192120222326141516[[#This Row],[Verbruik Coffee Latte deze maand]]+Tabel24256789101112131415171618192120222326141516[[#This Row],[Verbruik Latte Macchiato deze maand]]+Tabel24256789101112131415171618192120222326141516[[#This Row],[Verbruik Espresso deze maand]]+Tabel24256789101112131415171618192120222326141516[[#This Row],[Verbruik Coffee deze maand]]</f>
        <v>790</v>
      </c>
      <c r="AD25" s="53">
        <v>446.2</v>
      </c>
      <c r="AE25">
        <f>april2025!AD25</f>
        <v>430.4</v>
      </c>
      <c r="AF25">
        <f>Tabel24256789101112131415171618192120222326141516[[#This Row],[Stand Kamertemp liter einde maand]]-Tabel24256789101112131415171618192120222326141516[[#This Row],[Stand Kamertemp liter vorige maand]]</f>
        <v>15.800000000000011</v>
      </c>
      <c r="AG25" s="2">
        <f>Tabel24256789101112131415171618192120222326141516[[#This Row],[Verbruik Kamertemp liter deze maand]]/0.15</f>
        <v>105.33333333333341</v>
      </c>
      <c r="AH25" s="53">
        <v>2789.3</v>
      </c>
      <c r="AI25">
        <f>april2025!AH25</f>
        <v>2662.1</v>
      </c>
      <c r="AJ25">
        <f>Tabel24256789101112131415171618192120222326141516[[#This Row],[Stand Gekoeld liter einde maand]]-Tabel24256789101112131415171618192120222326141516[[#This Row],[Stand Gekoeld liter vorige maand]]</f>
        <v>127.20000000000027</v>
      </c>
      <c r="AK25" s="2">
        <f>Tabel24256789101112131415171618192120222326141516[[#This Row],[Verbruik Gekoeld liter deze maand]]/0.15</f>
        <v>848.00000000000182</v>
      </c>
      <c r="AL25" s="53">
        <v>2184.6999999999998</v>
      </c>
      <c r="AM25">
        <f>april2025!AL25</f>
        <v>2091.1999999999998</v>
      </c>
      <c r="AN25">
        <f>Tabel24256789101112131415171618192120222326141516[[#This Row],[Stand Bruisend liter einde maand]]-Tabel24256789101112131415171618192120222326141516[[#This Row],[Stand Bruisend liter vorige maand]]</f>
        <v>93.5</v>
      </c>
      <c r="AO25" s="2">
        <f>Tabel24256789101112131415171618192120222326141516[[#This Row],[Verbruik Bruisend liter deze maand]]/0.15</f>
        <v>623.33333333333337</v>
      </c>
      <c r="AP25" s="53">
        <v>675.4</v>
      </c>
      <c r="AQ25">
        <f>april2025!AP25</f>
        <v>644.70000000000005</v>
      </c>
      <c r="AR25">
        <f>Tabel24256789101112131415171618192120222326141516[[#This Row],[Stand licht bruisend liter einde maand]]-Tabel24256789101112131415171618192120222326141516[[#This Row],[Stand licht bruisend liter vorige maand]]</f>
        <v>30.699999999999932</v>
      </c>
      <c r="AS25" s="2">
        <f>Tabel24256789101112131415171618192120222326141516[[#This Row],[Verbruik licht bruisend liter deze maand]]/0.15</f>
        <v>204.66666666666623</v>
      </c>
      <c r="AT25" s="53">
        <v>3582.4</v>
      </c>
      <c r="AU25">
        <f>april2025!AT25</f>
        <v>3480.7</v>
      </c>
      <c r="AV25">
        <f>Tabel24256789101112131415171618192120222326141516[[#This Row],[Stand heet water liter einde maand]]-Tabel24256789101112131415171618192120222326141516[[#This Row],[Stand heet water liter vorige maand]]</f>
        <v>101.70000000000027</v>
      </c>
      <c r="AW25" s="2">
        <f>Tabel24256789101112131415171618192120222326141516[[#This Row],[Verbruik heet Water liter deze maand ]]/0.15</f>
        <v>678.00000000000182</v>
      </c>
      <c r="AX25" s="77">
        <f>Tabel24256789101112131415171618192120222326141516[[#This Row],[Aantal consumpties heet water deze maand]]+Tabel24256789101112131415171618192120222326141516[[#This Row],[Aantal consumpties licht bruisend water deze maand]]+Tabel24256789101112131415171618192120222326141516[[#This Row],[aantal consumpties Bruisend water deze maand]]+Tabel24256789101112131415171618192120222326141516[[#This Row],[Aantal consumpties gekoeld water deze maand]]+Tabel24256789101112131415171618192120222326141516[[#This Row],[Aantal consumpties Kamertemp deze maand]]</f>
        <v>2459.3333333333367</v>
      </c>
      <c r="AY25" s="95">
        <f>Tabel24256789101112131415171618192120222326141516[[#This Row],[Subtotaal waterbar in consumpties]]+Tabel24256789101112131415171618192120222326141516[[#This Row],[Subtotaal koffieautomaten]]</f>
        <v>3249.3333333333367</v>
      </c>
    </row>
    <row r="26" spans="1:130" s="81" customFormat="1" ht="14.45" customHeight="1" x14ac:dyDescent="0.25">
      <c r="A26" s="80" t="s">
        <v>74</v>
      </c>
      <c r="D26" s="82"/>
      <c r="H26" s="86"/>
      <c r="K26" s="86"/>
      <c r="N26" s="86"/>
      <c r="Q26" s="86"/>
      <c r="T26" s="86"/>
      <c r="W26" s="86"/>
      <c r="Z26" s="86"/>
      <c r="AC26" s="85"/>
      <c r="AD26" s="86"/>
      <c r="AG26" s="87"/>
      <c r="AH26" s="86"/>
      <c r="AK26" s="87"/>
      <c r="AL26" s="86"/>
      <c r="AO26" s="87"/>
      <c r="AP26" s="86"/>
      <c r="AS26" s="87"/>
      <c r="AT26" s="86"/>
      <c r="AW26" s="87"/>
      <c r="AX26" s="88"/>
      <c r="AY26" s="94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</row>
    <row r="27" spans="1:130" ht="14.45" customHeight="1" x14ac:dyDescent="0.25">
      <c r="A27" s="65" t="s">
        <v>32</v>
      </c>
      <c r="B27" t="s">
        <v>75</v>
      </c>
      <c r="C27" t="s">
        <v>47</v>
      </c>
      <c r="E27">
        <v>9638</v>
      </c>
      <c r="F27">
        <f>april2025!E27</f>
        <v>9339</v>
      </c>
      <c r="G27">
        <f>Tabel24256789101112131415171618192120222326141516[[#This Row],[Stand Coffee einde maand]]-Tabel24256789101112131415171618192120222326141516[[#This Row],[Coffee vorige maand]]</f>
        <v>299</v>
      </c>
      <c r="H27" s="53">
        <v>2541</v>
      </c>
      <c r="I27">
        <f>april2025!H27</f>
        <v>2423</v>
      </c>
      <c r="J27">
        <f>Tabel24256789101112131415171618192120222326141516[[#This Row],[Stand Espresso Einde maand]]-Tabel24256789101112131415171618192120222326141516[[#This Row],[Espresso vorige maand]]</f>
        <v>118</v>
      </c>
      <c r="K27" s="53">
        <v>1824</v>
      </c>
      <c r="L27">
        <f>april2025!K27</f>
        <v>1798</v>
      </c>
      <c r="M27">
        <f>Tabel24256789101112131415171618192120222326141516[[#This Row],[Stand Latte Macchiato einde maand]]-Tabel24256789101112131415171618192120222326141516[[#This Row],[Latte Macchiato vorige maand]]</f>
        <v>26</v>
      </c>
      <c r="N27" s="53">
        <v>835</v>
      </c>
      <c r="O27">
        <f>april2025!N27</f>
        <v>772</v>
      </c>
      <c r="P27">
        <f>Tabel24256789101112131415171618192120222326141516[[#This Row],[Stand Coffee Latte einde maand]]-Tabel24256789101112131415171618192120222326141516[[#This Row],[Coffee Latte vorige maand]]</f>
        <v>63</v>
      </c>
      <c r="Q27" s="53">
        <v>1</v>
      </c>
      <c r="R27">
        <f>april2025!Q27</f>
        <v>1</v>
      </c>
      <c r="S27">
        <f>Tabel24256789101112131415171618192120222326141516[[#This Row],[Stand Hot Water einde maand]]-Tabel24256789101112131415171618192120222326141516[[#This Row],[Hot Water vorige maand]]</f>
        <v>0</v>
      </c>
      <c r="T27" s="53">
        <v>5884</v>
      </c>
      <c r="U27">
        <f>april2025!T27</f>
        <v>5704</v>
      </c>
      <c r="V27">
        <f>Tabel24256789101112131415171618192120222326141516[[#This Row],[Stand Cappucino einde maand]]-Tabel24256789101112131415171618192120222326141516[[#This Row],[Stand Cappucino vorige maand]]</f>
        <v>180</v>
      </c>
      <c r="W27" s="53">
        <v>940</v>
      </c>
      <c r="X27">
        <f>april2025!W27</f>
        <v>908</v>
      </c>
      <c r="Y27">
        <f>Tabel24256789101112131415171618192120222326141516[[#This Row],[Stand Cappucino Plantaardig einde maand]]-Tabel24256789101112131415171618192120222326141516[[#This Row],[Stand Cappucino Plantaardig vorige maand]]</f>
        <v>32</v>
      </c>
      <c r="Z27" s="53">
        <v>466</v>
      </c>
      <c r="AA27">
        <f>april2025!Z27</f>
        <v>455</v>
      </c>
      <c r="AB27">
        <f>Tabel24256789101112131415171618192120222326141516[[#This Row],[Stand Latte Macchiato Plantaardig einde maand]]-Tabel24256789101112131415171618192120222326141516[[#This Row],[Stand Latte Macchiato Plantaardig vorige maand]]</f>
        <v>11</v>
      </c>
      <c r="AC27" s="71">
        <f>Tabel24256789101112131415171618192120222326141516[[#This Row],[Verbruik Stand Latte Macchiato Plantaardig deze maand]]+Tabel24256789101112131415171618192120222326141516[[#This Row],[Verbruik  Cappucino Plantaardig deze maand]]+Tabel24256789101112131415171618192120222326141516[[#This Row],[Verbruik Cappucino deze maand]]+Tabel24256789101112131415171618192120222326141516[[#This Row],[Verbruik Hot Water deze maand]]+Tabel24256789101112131415171618192120222326141516[[#This Row],[Verbruik Coffee Latte deze maand]]+Tabel24256789101112131415171618192120222326141516[[#This Row],[Verbruik Latte Macchiato deze maand]]+Tabel24256789101112131415171618192120222326141516[[#This Row],[Verbruik Espresso deze maand]]+Tabel24256789101112131415171618192120222326141516[[#This Row],[Verbruik Coffee deze maand]]</f>
        <v>729</v>
      </c>
      <c r="AD27" s="120">
        <v>4.5999999999999996</v>
      </c>
      <c r="AE27" s="49">
        <v>0</v>
      </c>
      <c r="AF27" s="49">
        <f>Tabel24256789101112131415171618192120222326141516[[#This Row],[Stand Kamertemp liter einde maand]]-Tabel24256789101112131415171618192120222326141516[[#This Row],[Stand Kamertemp liter vorige maand]]</f>
        <v>4.5999999999999996</v>
      </c>
      <c r="AG27" s="121">
        <f>Tabel24256789101112131415171618192120222326141516[[#This Row],[Verbruik Kamertemp liter deze maand]]/0.15</f>
        <v>30.666666666666664</v>
      </c>
      <c r="AH27" s="120">
        <v>29.2</v>
      </c>
      <c r="AI27" s="49">
        <v>0</v>
      </c>
      <c r="AJ27" s="49">
        <f>Tabel24256789101112131415171618192120222326141516[[#This Row],[Stand Gekoeld liter einde maand]]-Tabel24256789101112131415171618192120222326141516[[#This Row],[Stand Gekoeld liter vorige maand]]</f>
        <v>29.2</v>
      </c>
      <c r="AK27" s="121">
        <f>Tabel24256789101112131415171618192120222326141516[[#This Row],[Verbruik Gekoeld liter deze maand]]/0.15</f>
        <v>194.66666666666666</v>
      </c>
      <c r="AL27" s="120">
        <v>15.1</v>
      </c>
      <c r="AM27" s="49">
        <v>0</v>
      </c>
      <c r="AN27" s="49">
        <f>Tabel24256789101112131415171618192120222326141516[[#This Row],[Stand Bruisend liter einde maand]]-Tabel24256789101112131415171618192120222326141516[[#This Row],[Stand Bruisend liter vorige maand]]</f>
        <v>15.1</v>
      </c>
      <c r="AO27" s="121">
        <f>Tabel24256789101112131415171618192120222326141516[[#This Row],[Verbruik Bruisend liter deze maand]]/0.15</f>
        <v>100.66666666666667</v>
      </c>
      <c r="AP27" s="120">
        <v>10</v>
      </c>
      <c r="AQ27" s="49">
        <v>0</v>
      </c>
      <c r="AR27" s="49">
        <f>Tabel24256789101112131415171618192120222326141516[[#This Row],[Stand licht bruisend liter einde maand]]-Tabel24256789101112131415171618192120222326141516[[#This Row],[Stand licht bruisend liter vorige maand]]</f>
        <v>10</v>
      </c>
      <c r="AS27" s="121">
        <f>Tabel24256789101112131415171618192120222326141516[[#This Row],[Verbruik licht bruisend liter deze maand]]/0.15</f>
        <v>66.666666666666671</v>
      </c>
      <c r="AT27" s="120">
        <v>64.2</v>
      </c>
      <c r="AU27" s="49">
        <v>0</v>
      </c>
      <c r="AV27" s="49">
        <f>Tabel24256789101112131415171618192120222326141516[[#This Row],[Stand heet water liter einde maand]]-Tabel24256789101112131415171618192120222326141516[[#This Row],[Stand heet water liter vorige maand]]</f>
        <v>64.2</v>
      </c>
      <c r="AW27" s="121">
        <f>Tabel24256789101112131415171618192120222326141516[[#This Row],[Verbruik heet Water liter deze maand ]]/0.15</f>
        <v>428.00000000000006</v>
      </c>
      <c r="AX27" s="77">
        <f>Tabel24256789101112131415171618192120222326141516[[#This Row],[Aantal consumpties heet water deze maand]]+Tabel24256789101112131415171618192120222326141516[[#This Row],[Aantal consumpties licht bruisend water deze maand]]+Tabel24256789101112131415171618192120222326141516[[#This Row],[aantal consumpties Bruisend water deze maand]]+Tabel24256789101112131415171618192120222326141516[[#This Row],[Aantal consumpties gekoeld water deze maand]]+Tabel24256789101112131415171618192120222326141516[[#This Row],[Aantal consumpties Kamertemp deze maand]]</f>
        <v>820.66666666666663</v>
      </c>
      <c r="AY27" s="95">
        <f>Tabel24256789101112131415171618192120222326141516[[#This Row],[Subtotaal waterbar in consumpties]]+Tabel24256789101112131415171618192120222326141516[[#This Row],[Subtotaal koffieautomaten]]</f>
        <v>1549.6666666666665</v>
      </c>
    </row>
    <row r="28" spans="1:130" ht="14.45" customHeight="1" x14ac:dyDescent="0.25">
      <c r="A28" s="65" t="s">
        <v>39</v>
      </c>
      <c r="B28" t="s">
        <v>163</v>
      </c>
      <c r="C28" t="s">
        <v>31</v>
      </c>
      <c r="E28">
        <v>27686</v>
      </c>
      <c r="F28">
        <f>april2025!E28</f>
        <v>27164</v>
      </c>
      <c r="G28">
        <f>Tabel24256789101112131415171618192120222326141516[[#This Row],[Stand Coffee einde maand]]-Tabel24256789101112131415171618192120222326141516[[#This Row],[Coffee vorige maand]]</f>
        <v>522</v>
      </c>
      <c r="H28" s="53">
        <v>6928</v>
      </c>
      <c r="I28">
        <f>april2025!H28</f>
        <v>6731</v>
      </c>
      <c r="J28">
        <f>Tabel24256789101112131415171618192120222326141516[[#This Row],[Stand Espresso Einde maand]]-Tabel24256789101112131415171618192120222326141516[[#This Row],[Espresso vorige maand]]</f>
        <v>197</v>
      </c>
      <c r="K28" s="53">
        <v>3365</v>
      </c>
      <c r="L28">
        <f>april2025!K28</f>
        <v>3305</v>
      </c>
      <c r="M28">
        <f>Tabel24256789101112131415171618192120222326141516[[#This Row],[Stand Latte Macchiato einde maand]]-Tabel24256789101112131415171618192120222326141516[[#This Row],[Latte Macchiato vorige maand]]</f>
        <v>60</v>
      </c>
      <c r="N28" s="53">
        <v>1449</v>
      </c>
      <c r="O28">
        <f>april2025!N28</f>
        <v>1405</v>
      </c>
      <c r="P28">
        <f>Tabel24256789101112131415171618192120222326141516[[#This Row],[Stand Coffee Latte einde maand]]-Tabel24256789101112131415171618192120222326141516[[#This Row],[Coffee Latte vorige maand]]</f>
        <v>44</v>
      </c>
      <c r="Q28" s="53">
        <v>23735</v>
      </c>
      <c r="R28">
        <f>april2025!Q28</f>
        <v>23214</v>
      </c>
      <c r="S28">
        <f>Tabel24256789101112131415171618192120222326141516[[#This Row],[Stand Hot Water einde maand]]-Tabel24256789101112131415171618192120222326141516[[#This Row],[Hot Water vorige maand]]</f>
        <v>521</v>
      </c>
      <c r="T28" s="53">
        <v>19350</v>
      </c>
      <c r="U28">
        <f>april2025!T28</f>
        <v>18944</v>
      </c>
      <c r="V28">
        <f>Tabel24256789101112131415171618192120222326141516[[#This Row],[Stand Cappucino einde maand]]-Tabel24256789101112131415171618192120222326141516[[#This Row],[Stand Cappucino vorige maand]]</f>
        <v>406</v>
      </c>
      <c r="W28" s="53">
        <v>2361</v>
      </c>
      <c r="X28">
        <f>april2025!W28</f>
        <v>2306</v>
      </c>
      <c r="Y28">
        <f>Tabel24256789101112131415171618192120222326141516[[#This Row],[Stand Cappucino Plantaardig einde maand]]-Tabel24256789101112131415171618192120222326141516[[#This Row],[Stand Cappucino Plantaardig vorige maand]]</f>
        <v>55</v>
      </c>
      <c r="Z28" s="53">
        <v>727</v>
      </c>
      <c r="AA28">
        <f>april2025!Z28</f>
        <v>708</v>
      </c>
      <c r="AB28">
        <f>Tabel24256789101112131415171618192120222326141516[[#This Row],[Stand Latte Macchiato Plantaardig einde maand]]-Tabel24256789101112131415171618192120222326141516[[#This Row],[Stand Latte Macchiato Plantaardig vorige maand]]</f>
        <v>19</v>
      </c>
      <c r="AC28" s="71">
        <f>Tabel24256789101112131415171618192120222326141516[[#This Row],[Verbruik Stand Latte Macchiato Plantaardig deze maand]]+Tabel24256789101112131415171618192120222326141516[[#This Row],[Verbruik  Cappucino Plantaardig deze maand]]+Tabel24256789101112131415171618192120222326141516[[#This Row],[Verbruik Cappucino deze maand]]+Tabel24256789101112131415171618192120222326141516[[#This Row],[Verbruik Hot Water deze maand]]+Tabel24256789101112131415171618192120222326141516[[#This Row],[Verbruik Coffee Latte deze maand]]+Tabel24256789101112131415171618192120222326141516[[#This Row],[Verbruik Latte Macchiato deze maand]]+Tabel24256789101112131415171618192120222326141516[[#This Row],[Verbruik Espresso deze maand]]+Tabel24256789101112131415171618192120222326141516[[#This Row],[Verbruik Coffee deze maand]]</f>
        <v>1824</v>
      </c>
      <c r="AD28" s="69"/>
      <c r="AE28" s="41"/>
      <c r="AF28" s="5"/>
      <c r="AG28" s="5"/>
      <c r="AH28" s="75"/>
      <c r="AI28" s="41"/>
      <c r="AJ28" s="5"/>
      <c r="AK28" s="5"/>
      <c r="AL28" s="75"/>
      <c r="AM28" s="41"/>
      <c r="AN28" s="5"/>
      <c r="AO28" s="5"/>
      <c r="AP28" s="75"/>
      <c r="AQ28" s="41"/>
      <c r="AR28" s="5"/>
      <c r="AS28" s="5"/>
      <c r="AT28" s="75"/>
      <c r="AU28" s="41"/>
      <c r="AV28" s="5"/>
      <c r="AW28" s="5"/>
      <c r="AX28" s="79"/>
      <c r="AY28" s="95">
        <f>Tabel24256789101112131415171618192120222326141516[[#This Row],[Subtotaal waterbar in consumpties]]+Tabel24256789101112131415171618192120222326141516[[#This Row],[Subtotaal koffieautomaten]]</f>
        <v>1824</v>
      </c>
    </row>
    <row r="29" spans="1:130" ht="14.45" customHeight="1" x14ac:dyDescent="0.25">
      <c r="A29" s="65" t="s">
        <v>39</v>
      </c>
      <c r="B29" t="s">
        <v>77</v>
      </c>
      <c r="C29" t="s">
        <v>36</v>
      </c>
      <c r="E29" s="46"/>
      <c r="F29" s="46"/>
      <c r="G29" s="47"/>
      <c r="H29" s="54"/>
      <c r="I29" s="46"/>
      <c r="J29" s="47"/>
      <c r="K29" s="54"/>
      <c r="L29" s="46"/>
      <c r="M29" s="47"/>
      <c r="N29" s="54"/>
      <c r="O29" s="46"/>
      <c r="P29" s="47"/>
      <c r="Q29" s="54"/>
      <c r="R29" s="46"/>
      <c r="S29" s="47"/>
      <c r="T29" s="54"/>
      <c r="U29" s="46"/>
      <c r="V29" s="47"/>
      <c r="W29" s="54"/>
      <c r="X29" s="46"/>
      <c r="Y29" s="47"/>
      <c r="Z29" s="54"/>
      <c r="AA29" s="46"/>
      <c r="AB29" s="47"/>
      <c r="AC29" s="72"/>
      <c r="AD29" s="53">
        <v>45.5</v>
      </c>
      <c r="AE29">
        <f>april2025!AD29</f>
        <v>20.2</v>
      </c>
      <c r="AF29">
        <f>Tabel24256789101112131415171618192120222326141516[[#This Row],[Stand Kamertemp liter einde maand]]-Tabel24256789101112131415171618192120222326141516[[#This Row],[Stand Kamertemp liter vorige maand]]</f>
        <v>25.3</v>
      </c>
      <c r="AG29" s="2">
        <f>Tabel24256789101112131415171618192120222326141516[[#This Row],[Verbruik Kamertemp liter deze maand]]/0.15</f>
        <v>168.66666666666669</v>
      </c>
      <c r="AH29" s="53">
        <v>309.89999999999998</v>
      </c>
      <c r="AI29">
        <f>april2025!AH29</f>
        <v>147</v>
      </c>
      <c r="AJ29">
        <f>Tabel24256789101112131415171618192120222326141516[[#This Row],[Stand Gekoeld liter einde maand]]-Tabel24256789101112131415171618192120222326141516[[#This Row],[Stand Gekoeld liter vorige maand]]</f>
        <v>162.89999999999998</v>
      </c>
      <c r="AK29" s="2">
        <f>Tabel24256789101112131415171618192120222326141516[[#This Row],[Verbruik Gekoeld liter deze maand]]/0.15</f>
        <v>1086</v>
      </c>
      <c r="AL29" s="53">
        <v>176.6</v>
      </c>
      <c r="AM29">
        <f>april2025!AL29</f>
        <v>92.6</v>
      </c>
      <c r="AN29">
        <f>Tabel24256789101112131415171618192120222326141516[[#This Row],[Stand Bruisend liter einde maand]]-Tabel24256789101112131415171618192120222326141516[[#This Row],[Stand Bruisend liter vorige maand]]</f>
        <v>84</v>
      </c>
      <c r="AO29" s="2">
        <f>Tabel24256789101112131415171618192120222326141516[[#This Row],[Verbruik Bruisend liter deze maand]]/0.15</f>
        <v>560</v>
      </c>
      <c r="AP29" s="53">
        <v>63.7</v>
      </c>
      <c r="AQ29">
        <f>april2025!AP29</f>
        <v>27.4</v>
      </c>
      <c r="AR29">
        <f>Tabel24256789101112131415171618192120222326141516[[#This Row],[Stand licht bruisend liter einde maand]]-Tabel24256789101112131415171618192120222326141516[[#This Row],[Stand licht bruisend liter vorige maand]]</f>
        <v>36.300000000000004</v>
      </c>
      <c r="AS29" s="2">
        <f>Tabel24256789101112131415171618192120222326141516[[#This Row],[Verbruik licht bruisend liter deze maand]]/0.15</f>
        <v>242.00000000000003</v>
      </c>
      <c r="AT29" s="53">
        <v>130.19999999999999</v>
      </c>
      <c r="AU29">
        <f>april2025!AT29</f>
        <v>57.2</v>
      </c>
      <c r="AV29">
        <f>Tabel24256789101112131415171618192120222326141516[[#This Row],[Stand heet water liter einde maand]]-Tabel24256789101112131415171618192120222326141516[[#This Row],[Stand heet water liter vorige maand]]</f>
        <v>72.999999999999986</v>
      </c>
      <c r="AW29" s="2">
        <f>Tabel24256789101112131415171618192120222326141516[[#This Row],[Verbruik heet Water liter deze maand ]]/0.15</f>
        <v>486.66666666666657</v>
      </c>
      <c r="AX29" s="77">
        <f>Tabel24256789101112131415171618192120222326141516[[#This Row],[Aantal consumpties heet water deze maand]]+Tabel24256789101112131415171618192120222326141516[[#This Row],[Aantal consumpties licht bruisend water deze maand]]+Tabel24256789101112131415171618192120222326141516[[#This Row],[aantal consumpties Bruisend water deze maand]]+Tabel24256789101112131415171618192120222326141516[[#This Row],[Aantal consumpties gekoeld water deze maand]]+Tabel24256789101112131415171618192120222326141516[[#This Row],[Aantal consumpties Kamertemp deze maand]]</f>
        <v>2543.333333333333</v>
      </c>
      <c r="AY29" s="95">
        <f>Tabel24256789101112131415171618192120222326141516[[#This Row],[Subtotaal waterbar in consumpties]]+Tabel24256789101112131415171618192120222326141516[[#This Row],[Subtotaal koffieautomaten]]</f>
        <v>2543.333333333333</v>
      </c>
    </row>
    <row r="30" spans="1:130" ht="14.45" customHeight="1" x14ac:dyDescent="0.25">
      <c r="A30" s="65" t="s">
        <v>41</v>
      </c>
      <c r="B30" t="s">
        <v>78</v>
      </c>
      <c r="C30" t="s">
        <v>47</v>
      </c>
      <c r="E30">
        <v>6776</v>
      </c>
      <c r="F30">
        <f>april2025!E30</f>
        <v>6513</v>
      </c>
      <c r="G30">
        <f>Tabel24256789101112131415171618192120222326141516[[#This Row],[Stand Coffee einde maand]]-Tabel24256789101112131415171618192120222326141516[[#This Row],[Coffee vorige maand]]</f>
        <v>263</v>
      </c>
      <c r="H30" s="53">
        <v>2153</v>
      </c>
      <c r="I30">
        <f>april2025!H30</f>
        <v>2132</v>
      </c>
      <c r="J30">
        <f>Tabel24256789101112131415171618192120222326141516[[#This Row],[Stand Espresso Einde maand]]-Tabel24256789101112131415171618192120222326141516[[#This Row],[Espresso vorige maand]]</f>
        <v>21</v>
      </c>
      <c r="K30" s="53">
        <v>520</v>
      </c>
      <c r="L30">
        <f>april2025!K30</f>
        <v>494</v>
      </c>
      <c r="M30">
        <f>Tabel24256789101112131415171618192120222326141516[[#This Row],[Stand Latte Macchiato einde maand]]-Tabel24256789101112131415171618192120222326141516[[#This Row],[Latte Macchiato vorige maand]]</f>
        <v>26</v>
      </c>
      <c r="N30" s="53">
        <v>366</v>
      </c>
      <c r="O30">
        <f>april2025!N30</f>
        <v>359</v>
      </c>
      <c r="P30">
        <f>Tabel24256789101112131415171618192120222326141516[[#This Row],[Stand Coffee Latte einde maand]]-Tabel24256789101112131415171618192120222326141516[[#This Row],[Coffee Latte vorige maand]]</f>
        <v>7</v>
      </c>
      <c r="Q30" s="53">
        <v>1</v>
      </c>
      <c r="R30">
        <f>april2025!Q30</f>
        <v>1</v>
      </c>
      <c r="S30">
        <f>Tabel24256789101112131415171618192120222326141516[[#This Row],[Stand Hot Water einde maand]]-Tabel24256789101112131415171618192120222326141516[[#This Row],[Hot Water vorige maand]]</f>
        <v>0</v>
      </c>
      <c r="T30" s="53">
        <v>3030</v>
      </c>
      <c r="U30">
        <f>april2025!T30</f>
        <v>2933</v>
      </c>
      <c r="V30">
        <f>Tabel24256789101112131415171618192120222326141516[[#This Row],[Stand Cappucino einde maand]]-Tabel24256789101112131415171618192120222326141516[[#This Row],[Stand Cappucino vorige maand]]</f>
        <v>97</v>
      </c>
      <c r="W30" s="53">
        <v>1540</v>
      </c>
      <c r="X30">
        <f>april2025!W30</f>
        <v>1507</v>
      </c>
      <c r="Y30">
        <f>Tabel24256789101112131415171618192120222326141516[[#This Row],[Stand Cappucino Plantaardig einde maand]]-Tabel24256789101112131415171618192120222326141516[[#This Row],[Stand Cappucino Plantaardig vorige maand]]</f>
        <v>33</v>
      </c>
      <c r="Z30" s="53">
        <v>1069</v>
      </c>
      <c r="AA30">
        <f>april2025!Z30</f>
        <v>1059</v>
      </c>
      <c r="AB30">
        <f>Tabel24256789101112131415171618192120222326141516[[#This Row],[Stand Latte Macchiato Plantaardig einde maand]]-Tabel24256789101112131415171618192120222326141516[[#This Row],[Stand Latte Macchiato Plantaardig vorige maand]]</f>
        <v>10</v>
      </c>
      <c r="AC30" s="71">
        <f>Tabel24256789101112131415171618192120222326141516[[#This Row],[Verbruik Stand Latte Macchiato Plantaardig deze maand]]+Tabel24256789101112131415171618192120222326141516[[#This Row],[Verbruik  Cappucino Plantaardig deze maand]]+Tabel24256789101112131415171618192120222326141516[[#This Row],[Verbruik Cappucino deze maand]]+Tabel24256789101112131415171618192120222326141516[[#This Row],[Verbruik Hot Water deze maand]]+Tabel24256789101112131415171618192120222326141516[[#This Row],[Verbruik Coffee Latte deze maand]]+Tabel24256789101112131415171618192120222326141516[[#This Row],[Verbruik Latte Macchiato deze maand]]+Tabel24256789101112131415171618192120222326141516[[#This Row],[Verbruik Espresso deze maand]]+Tabel24256789101112131415171618192120222326141516[[#This Row],[Verbruik Coffee deze maand]]</f>
        <v>457</v>
      </c>
      <c r="AD30" s="53">
        <v>204.5</v>
      </c>
      <c r="AE30">
        <f>april2025!AD30</f>
        <v>186.5</v>
      </c>
      <c r="AF30">
        <f>Tabel24256789101112131415171618192120222326141516[[#This Row],[Stand Kamertemp liter einde maand]]-Tabel24256789101112131415171618192120222326141516[[#This Row],[Stand Kamertemp liter vorige maand]]</f>
        <v>18</v>
      </c>
      <c r="AG30" s="2">
        <f>Tabel24256789101112131415171618192120222326141516[[#This Row],[Verbruik Kamertemp liter deze maand]]/0.15</f>
        <v>120</v>
      </c>
      <c r="AH30" s="53">
        <v>1447.7</v>
      </c>
      <c r="AI30">
        <f>april2025!AH30</f>
        <v>1301.4000000000001</v>
      </c>
      <c r="AJ30">
        <f>Tabel24256789101112131415171618192120222326141516[[#This Row],[Stand Gekoeld liter einde maand]]-Tabel24256789101112131415171618192120222326141516[[#This Row],[Stand Gekoeld liter vorige maand]]</f>
        <v>146.29999999999995</v>
      </c>
      <c r="AK30" s="2">
        <f>Tabel24256789101112131415171618192120222326141516[[#This Row],[Verbruik Gekoeld liter deze maand]]/0.15</f>
        <v>975.33333333333303</v>
      </c>
      <c r="AL30" s="53">
        <v>885.5</v>
      </c>
      <c r="AM30">
        <f>april2025!AL30</f>
        <v>838.6</v>
      </c>
      <c r="AN30">
        <f>Tabel24256789101112131415171618192120222326141516[[#This Row],[Stand Bruisend liter einde maand]]-Tabel24256789101112131415171618192120222326141516[[#This Row],[Stand Bruisend liter vorige maand]]</f>
        <v>46.899999999999977</v>
      </c>
      <c r="AO30" s="2">
        <f>Tabel24256789101112131415171618192120222326141516[[#This Row],[Verbruik Bruisend liter deze maand]]/0.15</f>
        <v>312.66666666666652</v>
      </c>
      <c r="AP30" s="53">
        <v>625</v>
      </c>
      <c r="AQ30">
        <f>april2025!AP30</f>
        <v>602.4</v>
      </c>
      <c r="AR30">
        <f>Tabel24256789101112131415171618192120222326141516[[#This Row],[Stand licht bruisend liter einde maand]]-Tabel24256789101112131415171618192120222326141516[[#This Row],[Stand licht bruisend liter vorige maand]]</f>
        <v>22.600000000000023</v>
      </c>
      <c r="AS30" s="2">
        <f>Tabel24256789101112131415171618192120222326141516[[#This Row],[Verbruik licht bruisend liter deze maand]]/0.15</f>
        <v>150.66666666666683</v>
      </c>
      <c r="AT30" s="53">
        <v>4174</v>
      </c>
      <c r="AU30">
        <f>april2025!AT30</f>
        <v>3937.4</v>
      </c>
      <c r="AV30">
        <f>Tabel24256789101112131415171618192120222326141516[[#This Row],[Stand heet water liter einde maand]]-Tabel24256789101112131415171618192120222326141516[[#This Row],[Stand heet water liter vorige maand]]</f>
        <v>236.59999999999991</v>
      </c>
      <c r="AW30" s="2">
        <f>Tabel24256789101112131415171618192120222326141516[[#This Row],[Verbruik heet Water liter deze maand ]]/0.15</f>
        <v>1577.3333333333328</v>
      </c>
      <c r="AX30" s="77">
        <f>Tabel24256789101112131415171618192120222326141516[[#This Row],[Aantal consumpties heet water deze maand]]+Tabel24256789101112131415171618192120222326141516[[#This Row],[Aantal consumpties licht bruisend water deze maand]]+Tabel24256789101112131415171618192120222326141516[[#This Row],[aantal consumpties Bruisend water deze maand]]+Tabel24256789101112131415171618192120222326141516[[#This Row],[Aantal consumpties gekoeld water deze maand]]+Tabel24256789101112131415171618192120222326141516[[#This Row],[Aantal consumpties Kamertemp deze maand]]</f>
        <v>3135.9999999999991</v>
      </c>
      <c r="AY30" s="95">
        <f>Tabel24256789101112131415171618192120222326141516[[#This Row],[Subtotaal waterbar in consumpties]]+Tabel24256789101112131415171618192120222326141516[[#This Row],[Subtotaal koffieautomaten]]</f>
        <v>3592.9999999999991</v>
      </c>
    </row>
    <row r="31" spans="1:130" ht="14.45" customHeight="1" x14ac:dyDescent="0.25">
      <c r="A31" s="65" t="s">
        <v>43</v>
      </c>
      <c r="B31" t="s">
        <v>79</v>
      </c>
      <c r="C31" t="s">
        <v>31</v>
      </c>
      <c r="E31">
        <v>12657</v>
      </c>
      <c r="F31">
        <f>april2025!E31</f>
        <v>12185</v>
      </c>
      <c r="G31">
        <f>Tabel24256789101112131415171618192120222326141516[[#This Row],[Stand Coffee einde maand]]-Tabel24256789101112131415171618192120222326141516[[#This Row],[Coffee vorige maand]]</f>
        <v>472</v>
      </c>
      <c r="H31" s="53">
        <v>5296</v>
      </c>
      <c r="I31">
        <f>april2025!H31</f>
        <v>4994</v>
      </c>
      <c r="J31">
        <f>Tabel24256789101112131415171618192120222326141516[[#This Row],[Stand Espresso Einde maand]]-Tabel24256789101112131415171618192120222326141516[[#This Row],[Espresso vorige maand]]</f>
        <v>302</v>
      </c>
      <c r="K31" s="53">
        <v>799</v>
      </c>
      <c r="L31">
        <f>april2025!K31</f>
        <v>786</v>
      </c>
      <c r="M31">
        <f>Tabel24256789101112131415171618192120222326141516[[#This Row],[Stand Latte Macchiato einde maand]]-Tabel24256789101112131415171618192120222326141516[[#This Row],[Latte Macchiato vorige maand]]</f>
        <v>13</v>
      </c>
      <c r="N31" s="53">
        <v>155</v>
      </c>
      <c r="O31">
        <f>april2025!N31</f>
        <v>154</v>
      </c>
      <c r="P31">
        <f>Tabel24256789101112131415171618192120222326141516[[#This Row],[Stand Coffee Latte einde maand]]-Tabel24256789101112131415171618192120222326141516[[#This Row],[Coffee Latte vorige maand]]</f>
        <v>1</v>
      </c>
      <c r="Q31" s="53">
        <v>11025</v>
      </c>
      <c r="R31">
        <f>april2025!Q31</f>
        <v>10634</v>
      </c>
      <c r="S31">
        <f>Tabel24256789101112131415171618192120222326141516[[#This Row],[Stand Hot Water einde maand]]-Tabel24256789101112131415171618192120222326141516[[#This Row],[Hot Water vorige maand]]</f>
        <v>391</v>
      </c>
      <c r="T31" s="53">
        <v>7113</v>
      </c>
      <c r="U31">
        <f>april2025!T31</f>
        <v>6816</v>
      </c>
      <c r="V31">
        <f>Tabel24256789101112131415171618192120222326141516[[#This Row],[Stand Cappucino einde maand]]-Tabel24256789101112131415171618192120222326141516[[#This Row],[Stand Cappucino vorige maand]]</f>
        <v>297</v>
      </c>
      <c r="W31" s="53">
        <v>526</v>
      </c>
      <c r="X31">
        <f>april2025!W31</f>
        <v>484</v>
      </c>
      <c r="Y31">
        <f>Tabel24256789101112131415171618192120222326141516[[#This Row],[Stand Cappucino Plantaardig einde maand]]-Tabel24256789101112131415171618192120222326141516[[#This Row],[Stand Cappucino Plantaardig vorige maand]]</f>
        <v>42</v>
      </c>
      <c r="Z31" s="53">
        <v>120</v>
      </c>
      <c r="AA31">
        <f>april2025!Z31</f>
        <v>118</v>
      </c>
      <c r="AB31">
        <f>Tabel24256789101112131415171618192120222326141516[[#This Row],[Stand Latte Macchiato Plantaardig einde maand]]-Tabel24256789101112131415171618192120222326141516[[#This Row],[Stand Latte Macchiato Plantaardig vorige maand]]</f>
        <v>2</v>
      </c>
      <c r="AC31" s="71">
        <f>Tabel24256789101112131415171618192120222326141516[[#This Row],[Verbruik Stand Latte Macchiato Plantaardig deze maand]]+Tabel24256789101112131415171618192120222326141516[[#This Row],[Verbruik  Cappucino Plantaardig deze maand]]+Tabel24256789101112131415171618192120222326141516[[#This Row],[Verbruik Cappucino deze maand]]+Tabel24256789101112131415171618192120222326141516[[#This Row],[Verbruik Hot Water deze maand]]+Tabel24256789101112131415171618192120222326141516[[#This Row],[Verbruik Coffee Latte deze maand]]+Tabel24256789101112131415171618192120222326141516[[#This Row],[Verbruik Latte Macchiato deze maand]]+Tabel24256789101112131415171618192120222326141516[[#This Row],[Verbruik Espresso deze maand]]+Tabel24256789101112131415171618192120222326141516[[#This Row],[Verbruik Coffee deze maand]]</f>
        <v>1520</v>
      </c>
      <c r="AD31" s="69"/>
      <c r="AE31" s="41"/>
      <c r="AF31" s="5"/>
      <c r="AG31" s="5"/>
      <c r="AH31" s="75"/>
      <c r="AI31" s="41"/>
      <c r="AJ31" s="5"/>
      <c r="AK31" s="5"/>
      <c r="AL31" s="75"/>
      <c r="AM31" s="41"/>
      <c r="AN31" s="5"/>
      <c r="AO31" s="5"/>
      <c r="AP31" s="75"/>
      <c r="AQ31" s="41"/>
      <c r="AR31" s="5"/>
      <c r="AS31" s="5"/>
      <c r="AT31" s="75"/>
      <c r="AU31" s="41"/>
      <c r="AV31" s="5"/>
      <c r="AW31" s="5"/>
      <c r="AX31" s="79"/>
      <c r="AY31" s="95">
        <f>Tabel24256789101112131415171618192120222326141516[[#This Row],[Subtotaal waterbar in consumpties]]+Tabel24256789101112131415171618192120222326141516[[#This Row],[Subtotaal koffieautomaten]]</f>
        <v>1520</v>
      </c>
    </row>
    <row r="32" spans="1:130" ht="14.45" customHeight="1" x14ac:dyDescent="0.25">
      <c r="A32" s="65" t="s">
        <v>45</v>
      </c>
      <c r="B32" t="s">
        <v>80</v>
      </c>
      <c r="C32" t="s">
        <v>36</v>
      </c>
      <c r="E32" s="46"/>
      <c r="F32" s="46"/>
      <c r="G32" s="47"/>
      <c r="H32" s="54"/>
      <c r="I32" s="46"/>
      <c r="J32" s="47"/>
      <c r="K32" s="54"/>
      <c r="L32" s="46"/>
      <c r="M32" s="47"/>
      <c r="N32" s="54"/>
      <c r="O32" s="46"/>
      <c r="P32" s="47"/>
      <c r="Q32" s="54"/>
      <c r="R32" s="46"/>
      <c r="S32" s="47"/>
      <c r="T32" s="54"/>
      <c r="U32" s="46"/>
      <c r="V32" s="47"/>
      <c r="W32" s="54"/>
      <c r="X32" s="46"/>
      <c r="Y32" s="47"/>
      <c r="Z32" s="54"/>
      <c r="AA32" s="46"/>
      <c r="AB32" s="47"/>
      <c r="AC32" s="72"/>
      <c r="AD32" s="120">
        <v>7.3</v>
      </c>
      <c r="AE32" s="49">
        <v>0</v>
      </c>
      <c r="AF32" s="49">
        <f>Tabel24256789101112131415171618192120222326141516[[#This Row],[Stand Kamertemp liter einde maand]]-Tabel24256789101112131415171618192120222326141516[[#This Row],[Stand Kamertemp liter vorige maand]]</f>
        <v>7.3</v>
      </c>
      <c r="AG32" s="121">
        <f>Tabel24256789101112131415171618192120222326141516[[#This Row],[Verbruik Kamertemp liter deze maand]]/0.15</f>
        <v>48.666666666666664</v>
      </c>
      <c r="AH32" s="120">
        <v>42</v>
      </c>
      <c r="AI32" s="49">
        <v>0</v>
      </c>
      <c r="AJ32" s="49">
        <f>Tabel24256789101112131415171618192120222326141516[[#This Row],[Stand Gekoeld liter einde maand]]-Tabel24256789101112131415171618192120222326141516[[#This Row],[Stand Gekoeld liter vorige maand]]</f>
        <v>42</v>
      </c>
      <c r="AK32" s="121">
        <f>Tabel24256789101112131415171618192120222326141516[[#This Row],[Verbruik Gekoeld liter deze maand]]/0.15</f>
        <v>280</v>
      </c>
      <c r="AL32" s="120">
        <v>34</v>
      </c>
      <c r="AM32" s="49">
        <v>0</v>
      </c>
      <c r="AN32" s="49">
        <f>Tabel24256789101112131415171618192120222326141516[[#This Row],[Stand Bruisend liter einde maand]]-Tabel24256789101112131415171618192120222326141516[[#This Row],[Stand Bruisend liter vorige maand]]</f>
        <v>34</v>
      </c>
      <c r="AO32" s="121">
        <f>Tabel24256789101112131415171618192120222326141516[[#This Row],[Verbruik Bruisend liter deze maand]]/0.15</f>
        <v>226.66666666666669</v>
      </c>
      <c r="AP32" s="120">
        <v>14.2</v>
      </c>
      <c r="AQ32" s="49">
        <v>0</v>
      </c>
      <c r="AR32" s="49">
        <f>Tabel24256789101112131415171618192120222326141516[[#This Row],[Stand licht bruisend liter einde maand]]-Tabel24256789101112131415171618192120222326141516[[#This Row],[Stand licht bruisend liter vorige maand]]</f>
        <v>14.2</v>
      </c>
      <c r="AS32" s="121">
        <f>Tabel24256789101112131415171618192120222326141516[[#This Row],[Verbruik licht bruisend liter deze maand]]/0.15</f>
        <v>94.666666666666671</v>
      </c>
      <c r="AT32" s="120">
        <v>119</v>
      </c>
      <c r="AU32" s="49">
        <v>0</v>
      </c>
      <c r="AV32" s="49">
        <f>Tabel24256789101112131415171618192120222326141516[[#This Row],[Stand heet water liter einde maand]]-Tabel24256789101112131415171618192120222326141516[[#This Row],[Stand heet water liter vorige maand]]</f>
        <v>119</v>
      </c>
      <c r="AW32" s="121">
        <f>Tabel24256789101112131415171618192120222326141516[[#This Row],[Verbruik heet Water liter deze maand ]]/0.15</f>
        <v>793.33333333333337</v>
      </c>
      <c r="AX32" s="77">
        <f>Tabel24256789101112131415171618192120222326141516[[#This Row],[Aantal consumpties heet water deze maand]]+Tabel24256789101112131415171618192120222326141516[[#This Row],[Aantal consumpties licht bruisend water deze maand]]+Tabel24256789101112131415171618192120222326141516[[#This Row],[aantal consumpties Bruisend water deze maand]]+Tabel24256789101112131415171618192120222326141516[[#This Row],[Aantal consumpties gekoeld water deze maand]]+Tabel24256789101112131415171618192120222326141516[[#This Row],[Aantal consumpties Kamertemp deze maand]]</f>
        <v>1443.3333333333335</v>
      </c>
      <c r="AY32" s="95">
        <f>Tabel24256789101112131415171618192120222326141516[[#This Row],[Subtotaal waterbar in consumpties]]+Tabel24256789101112131415171618192120222326141516[[#This Row],[Subtotaal koffieautomaten]]</f>
        <v>1443.3333333333335</v>
      </c>
    </row>
    <row r="33" spans="1:130" ht="14.45" customHeight="1" x14ac:dyDescent="0.25">
      <c r="A33" s="65" t="s">
        <v>48</v>
      </c>
      <c r="B33" t="s">
        <v>81</v>
      </c>
      <c r="C33" t="s">
        <v>31</v>
      </c>
      <c r="E33">
        <v>11713</v>
      </c>
      <c r="F33">
        <f>april2025!E33</f>
        <v>11375</v>
      </c>
      <c r="G33">
        <f>Tabel24256789101112131415171618192120222326141516[[#This Row],[Stand Coffee einde maand]]-Tabel24256789101112131415171618192120222326141516[[#This Row],[Coffee vorige maand]]</f>
        <v>338</v>
      </c>
      <c r="H33" s="53">
        <v>511</v>
      </c>
      <c r="I33">
        <f>april2025!H33</f>
        <v>491</v>
      </c>
      <c r="J33">
        <f>Tabel24256789101112131415171618192120222326141516[[#This Row],[Stand Espresso Einde maand]]-Tabel24256789101112131415171618192120222326141516[[#This Row],[Espresso vorige maand]]</f>
        <v>20</v>
      </c>
      <c r="K33" s="53">
        <v>732</v>
      </c>
      <c r="L33">
        <f>april2025!K33</f>
        <v>725</v>
      </c>
      <c r="M33">
        <f>Tabel24256789101112131415171618192120222326141516[[#This Row],[Stand Latte Macchiato einde maand]]-Tabel24256789101112131415171618192120222326141516[[#This Row],[Latte Macchiato vorige maand]]</f>
        <v>7</v>
      </c>
      <c r="N33" s="53">
        <v>409</v>
      </c>
      <c r="O33">
        <f>april2025!N33</f>
        <v>403</v>
      </c>
      <c r="P33">
        <f>Tabel24256789101112131415171618192120222326141516[[#This Row],[Stand Coffee Latte einde maand]]-Tabel24256789101112131415171618192120222326141516[[#This Row],[Coffee Latte vorige maand]]</f>
        <v>6</v>
      </c>
      <c r="Q33" s="53">
        <v>25923</v>
      </c>
      <c r="R33">
        <f>april2025!Q33</f>
        <v>25069</v>
      </c>
      <c r="S33">
        <f>Tabel24256789101112131415171618192120222326141516[[#This Row],[Stand Hot Water einde maand]]-Tabel24256789101112131415171618192120222326141516[[#This Row],[Hot Water vorige maand]]</f>
        <v>854</v>
      </c>
      <c r="T33" s="53">
        <v>4421</v>
      </c>
      <c r="U33">
        <f>april2025!T33</f>
        <v>4261</v>
      </c>
      <c r="V33">
        <f>Tabel24256789101112131415171618192120222326141516[[#This Row],[Stand Cappucino einde maand]]-Tabel24256789101112131415171618192120222326141516[[#This Row],[Stand Cappucino vorige maand]]</f>
        <v>160</v>
      </c>
      <c r="W33" s="53">
        <v>428</v>
      </c>
      <c r="X33">
        <f>april2025!W33</f>
        <v>426</v>
      </c>
      <c r="Y33">
        <f>Tabel24256789101112131415171618192120222326141516[[#This Row],[Stand Cappucino Plantaardig einde maand]]-Tabel24256789101112131415171618192120222326141516[[#This Row],[Stand Cappucino Plantaardig vorige maand]]</f>
        <v>2</v>
      </c>
      <c r="Z33" s="53">
        <v>71</v>
      </c>
      <c r="AA33">
        <f>april2025!Z33</f>
        <v>71</v>
      </c>
      <c r="AB33">
        <f>Tabel24256789101112131415171618192120222326141516[[#This Row],[Stand Latte Macchiato Plantaardig einde maand]]-Tabel24256789101112131415171618192120222326141516[[#This Row],[Stand Latte Macchiato Plantaardig vorige maand]]</f>
        <v>0</v>
      </c>
      <c r="AC33" s="71">
        <f>Tabel24256789101112131415171618192120222326141516[[#This Row],[Verbruik Stand Latte Macchiato Plantaardig deze maand]]+Tabel24256789101112131415171618192120222326141516[[#This Row],[Verbruik  Cappucino Plantaardig deze maand]]+Tabel24256789101112131415171618192120222326141516[[#This Row],[Verbruik Cappucino deze maand]]+Tabel24256789101112131415171618192120222326141516[[#This Row],[Verbruik Hot Water deze maand]]+Tabel24256789101112131415171618192120222326141516[[#This Row],[Verbruik Coffee Latte deze maand]]+Tabel24256789101112131415171618192120222326141516[[#This Row],[Verbruik Latte Macchiato deze maand]]+Tabel24256789101112131415171618192120222326141516[[#This Row],[Verbruik Espresso deze maand]]+Tabel24256789101112131415171618192120222326141516[[#This Row],[Verbruik Coffee deze maand]]</f>
        <v>1387</v>
      </c>
      <c r="AD33" s="69"/>
      <c r="AE33" s="41"/>
      <c r="AF33" s="5"/>
      <c r="AG33" s="5"/>
      <c r="AH33" s="75"/>
      <c r="AI33" s="41"/>
      <c r="AJ33" s="5"/>
      <c r="AK33" s="5"/>
      <c r="AL33" s="75"/>
      <c r="AM33" s="41"/>
      <c r="AN33" s="5"/>
      <c r="AO33" s="5"/>
      <c r="AP33" s="75"/>
      <c r="AQ33" s="41"/>
      <c r="AR33" s="5"/>
      <c r="AS33" s="5"/>
      <c r="AT33" s="75"/>
      <c r="AU33" s="41"/>
      <c r="AV33" s="5"/>
      <c r="AW33" s="5"/>
      <c r="AX33" s="79"/>
      <c r="AY33" s="95">
        <f>Tabel24256789101112131415171618192120222326141516[[#This Row],[Subtotaal waterbar in consumpties]]+Tabel24256789101112131415171618192120222326141516[[#This Row],[Subtotaal koffieautomaten]]</f>
        <v>1387</v>
      </c>
    </row>
    <row r="34" spans="1:130" ht="14.45" customHeight="1" x14ac:dyDescent="0.25">
      <c r="A34" s="65" t="s">
        <v>50</v>
      </c>
      <c r="B34" t="s">
        <v>82</v>
      </c>
      <c r="C34" t="s">
        <v>47</v>
      </c>
      <c r="E34">
        <v>8118</v>
      </c>
      <c r="F34">
        <f>april2025!E34</f>
        <v>7889</v>
      </c>
      <c r="G34">
        <f>Tabel24256789101112131415171618192120222326141516[[#This Row],[Stand Coffee einde maand]]-Tabel24256789101112131415171618192120222326141516[[#This Row],[Coffee vorige maand]]</f>
        <v>229</v>
      </c>
      <c r="H34" s="53">
        <v>1497</v>
      </c>
      <c r="I34">
        <f>april2025!H34</f>
        <v>1461</v>
      </c>
      <c r="J34">
        <f>Tabel24256789101112131415171618192120222326141516[[#This Row],[Stand Espresso Einde maand]]-Tabel24256789101112131415171618192120222326141516[[#This Row],[Espresso vorige maand]]</f>
        <v>36</v>
      </c>
      <c r="K34" s="53">
        <v>2046</v>
      </c>
      <c r="L34">
        <f>april2025!K34</f>
        <v>1969</v>
      </c>
      <c r="M34">
        <f>Tabel24256789101112131415171618192120222326141516[[#This Row],[Stand Latte Macchiato einde maand]]-Tabel24256789101112131415171618192120222326141516[[#This Row],[Latte Macchiato vorige maand]]</f>
        <v>77</v>
      </c>
      <c r="N34" s="53">
        <v>2121</v>
      </c>
      <c r="O34">
        <f>april2025!N34</f>
        <v>1991</v>
      </c>
      <c r="P34">
        <f>Tabel24256789101112131415171618192120222326141516[[#This Row],[Stand Coffee Latte einde maand]]-Tabel24256789101112131415171618192120222326141516[[#This Row],[Coffee Latte vorige maand]]</f>
        <v>130</v>
      </c>
      <c r="Q34" s="53">
        <v>1</v>
      </c>
      <c r="R34">
        <f>april2025!Q34</f>
        <v>1</v>
      </c>
      <c r="S34">
        <f>Tabel24256789101112131415171618192120222326141516[[#This Row],[Stand Hot Water einde maand]]-Tabel24256789101112131415171618192120222326141516[[#This Row],[Hot Water vorige maand]]</f>
        <v>0</v>
      </c>
      <c r="T34" s="53">
        <v>4388</v>
      </c>
      <c r="U34">
        <f>april2025!T34</f>
        <v>4270</v>
      </c>
      <c r="V34">
        <f>Tabel24256789101112131415171618192120222326141516[[#This Row],[Stand Cappucino einde maand]]-Tabel24256789101112131415171618192120222326141516[[#This Row],[Stand Cappucino vorige maand]]</f>
        <v>118</v>
      </c>
      <c r="W34" s="53">
        <v>855</v>
      </c>
      <c r="X34">
        <f>april2025!W34</f>
        <v>829</v>
      </c>
      <c r="Y34">
        <f>Tabel24256789101112131415171618192120222326141516[[#This Row],[Stand Cappucino Plantaardig einde maand]]-Tabel24256789101112131415171618192120222326141516[[#This Row],[Stand Cappucino Plantaardig vorige maand]]</f>
        <v>26</v>
      </c>
      <c r="Z34" s="53">
        <v>102</v>
      </c>
      <c r="AA34">
        <f>april2025!Z34</f>
        <v>101</v>
      </c>
      <c r="AB34">
        <f>Tabel24256789101112131415171618192120222326141516[[#This Row],[Stand Latte Macchiato Plantaardig einde maand]]-Tabel24256789101112131415171618192120222326141516[[#This Row],[Stand Latte Macchiato Plantaardig vorige maand]]</f>
        <v>1</v>
      </c>
      <c r="AC34" s="71">
        <f>Tabel24256789101112131415171618192120222326141516[[#This Row],[Verbruik Stand Latte Macchiato Plantaardig deze maand]]+Tabel24256789101112131415171618192120222326141516[[#This Row],[Verbruik  Cappucino Plantaardig deze maand]]+Tabel24256789101112131415171618192120222326141516[[#This Row],[Verbruik Cappucino deze maand]]+Tabel24256789101112131415171618192120222326141516[[#This Row],[Verbruik Hot Water deze maand]]+Tabel24256789101112131415171618192120222326141516[[#This Row],[Verbruik Coffee Latte deze maand]]+Tabel24256789101112131415171618192120222326141516[[#This Row],[Verbruik Latte Macchiato deze maand]]+Tabel24256789101112131415171618192120222326141516[[#This Row],[Verbruik Espresso deze maand]]+Tabel24256789101112131415171618192120222326141516[[#This Row],[Verbruik Coffee deze maand]]</f>
        <v>617</v>
      </c>
      <c r="AD34" s="53">
        <v>71.2</v>
      </c>
      <c r="AE34">
        <f>april2025!AD34</f>
        <v>65.2</v>
      </c>
      <c r="AF34">
        <f>Tabel24256789101112131415171618192120222326141516[[#This Row],[Stand Kamertemp liter einde maand]]-Tabel24256789101112131415171618192120222326141516[[#This Row],[Stand Kamertemp liter vorige maand]]</f>
        <v>6</v>
      </c>
      <c r="AG34" s="2">
        <f>Tabel24256789101112131415171618192120222326141516[[#This Row],[Verbruik Kamertemp liter deze maand]]/0.15</f>
        <v>40</v>
      </c>
      <c r="AH34" s="53">
        <v>287.39999999999998</v>
      </c>
      <c r="AI34">
        <f>april2025!AH34</f>
        <v>243.4</v>
      </c>
      <c r="AJ34">
        <f>Tabel24256789101112131415171618192120222326141516[[#This Row],[Stand Gekoeld liter einde maand]]-Tabel24256789101112131415171618192120222326141516[[#This Row],[Stand Gekoeld liter vorige maand]]</f>
        <v>43.999999999999972</v>
      </c>
      <c r="AK34" s="2">
        <f>Tabel24256789101112131415171618192120222326141516[[#This Row],[Verbruik Gekoeld liter deze maand]]/0.15</f>
        <v>293.33333333333314</v>
      </c>
      <c r="AL34" s="53">
        <v>180.5</v>
      </c>
      <c r="AM34">
        <f>april2025!AL34</f>
        <v>159.69999999999999</v>
      </c>
      <c r="AN34">
        <f>Tabel24256789101112131415171618192120222326141516[[#This Row],[Stand Bruisend liter einde maand]]-Tabel24256789101112131415171618192120222326141516[[#This Row],[Stand Bruisend liter vorige maand]]</f>
        <v>20.800000000000011</v>
      </c>
      <c r="AO34" s="2">
        <f>Tabel24256789101112131415171618192120222326141516[[#This Row],[Verbruik Bruisend liter deze maand]]/0.15</f>
        <v>138.66666666666674</v>
      </c>
      <c r="AP34" s="53">
        <v>82.6</v>
      </c>
      <c r="AQ34">
        <f>april2025!AP34</f>
        <v>73.2</v>
      </c>
      <c r="AR34">
        <f>Tabel24256789101112131415171618192120222326141516[[#This Row],[Stand licht bruisend liter einde maand]]-Tabel24256789101112131415171618192120222326141516[[#This Row],[Stand licht bruisend liter vorige maand]]</f>
        <v>9.3999999999999915</v>
      </c>
      <c r="AS34" s="2">
        <f>Tabel24256789101112131415171618192120222326141516[[#This Row],[Verbruik licht bruisend liter deze maand]]/0.15</f>
        <v>62.666666666666615</v>
      </c>
      <c r="AT34" s="53">
        <v>1245.4000000000001</v>
      </c>
      <c r="AU34">
        <f>april2025!AT34</f>
        <v>1090.9000000000001</v>
      </c>
      <c r="AV34">
        <f>Tabel24256789101112131415171618192120222326141516[[#This Row],[Stand heet water liter einde maand]]-Tabel24256789101112131415171618192120222326141516[[#This Row],[Stand heet water liter vorige maand]]</f>
        <v>154.5</v>
      </c>
      <c r="AW34" s="2">
        <f>Tabel24256789101112131415171618192120222326141516[[#This Row],[Verbruik heet Water liter deze maand ]]/0.15</f>
        <v>1030</v>
      </c>
      <c r="AX34" s="77">
        <f>Tabel24256789101112131415171618192120222326141516[[#This Row],[Aantal consumpties heet water deze maand]]+Tabel24256789101112131415171618192120222326141516[[#This Row],[Aantal consumpties licht bruisend water deze maand]]+Tabel24256789101112131415171618192120222326141516[[#This Row],[aantal consumpties Bruisend water deze maand]]+Tabel24256789101112131415171618192120222326141516[[#This Row],[Aantal consumpties gekoeld water deze maand]]+Tabel24256789101112131415171618192120222326141516[[#This Row],[Aantal consumpties Kamertemp deze maand]]</f>
        <v>1564.6666666666665</v>
      </c>
      <c r="AY34" s="95">
        <f>Tabel24256789101112131415171618192120222326141516[[#This Row],[Subtotaal waterbar in consumpties]]+Tabel24256789101112131415171618192120222326141516[[#This Row],[Subtotaal koffieautomaten]]</f>
        <v>2181.6666666666665</v>
      </c>
    </row>
    <row r="35" spans="1:130" ht="14.45" customHeight="1" x14ac:dyDescent="0.25">
      <c r="A35" s="65" t="s">
        <v>52</v>
      </c>
      <c r="B35" t="s">
        <v>83</v>
      </c>
      <c r="C35" t="s">
        <v>47</v>
      </c>
      <c r="E35">
        <v>8707</v>
      </c>
      <c r="F35">
        <f>april2025!E35</f>
        <v>8452</v>
      </c>
      <c r="G35">
        <f>Tabel24256789101112131415171618192120222326141516[[#This Row],[Stand Coffee einde maand]]-Tabel24256789101112131415171618192120222326141516[[#This Row],[Coffee vorige maand]]</f>
        <v>255</v>
      </c>
      <c r="H35" s="53">
        <v>3217</v>
      </c>
      <c r="I35">
        <f>april2025!H35</f>
        <v>3145</v>
      </c>
      <c r="J35">
        <f>Tabel24256789101112131415171618192120222326141516[[#This Row],[Stand Espresso Einde maand]]-Tabel24256789101112131415171618192120222326141516[[#This Row],[Espresso vorige maand]]</f>
        <v>72</v>
      </c>
      <c r="K35" s="53">
        <v>1501</v>
      </c>
      <c r="L35">
        <f>april2025!K35</f>
        <v>1438</v>
      </c>
      <c r="M35">
        <f>Tabel24256789101112131415171618192120222326141516[[#This Row],[Stand Latte Macchiato einde maand]]-Tabel24256789101112131415171618192120222326141516[[#This Row],[Latte Macchiato vorige maand]]</f>
        <v>63</v>
      </c>
      <c r="N35" s="53">
        <v>278</v>
      </c>
      <c r="O35">
        <f>april2025!N35</f>
        <v>277</v>
      </c>
      <c r="P35">
        <f>Tabel24256789101112131415171618192120222326141516[[#This Row],[Stand Coffee Latte einde maand]]-Tabel24256789101112131415171618192120222326141516[[#This Row],[Coffee Latte vorige maand]]</f>
        <v>1</v>
      </c>
      <c r="Q35" s="53">
        <v>1</v>
      </c>
      <c r="R35">
        <f>april2025!Q35</f>
        <v>1</v>
      </c>
      <c r="S35">
        <f>Tabel24256789101112131415171618192120222326141516[[#This Row],[Stand Hot Water einde maand]]-Tabel24256789101112131415171618192120222326141516[[#This Row],[Hot Water vorige maand]]</f>
        <v>0</v>
      </c>
      <c r="T35" s="53">
        <v>3318</v>
      </c>
      <c r="U35">
        <f>april2025!T35</f>
        <v>3158</v>
      </c>
      <c r="V35">
        <f>Tabel24256789101112131415171618192120222326141516[[#This Row],[Stand Cappucino einde maand]]-Tabel24256789101112131415171618192120222326141516[[#This Row],[Stand Cappucino vorige maand]]</f>
        <v>160</v>
      </c>
      <c r="W35" s="53">
        <v>989</v>
      </c>
      <c r="X35">
        <f>april2025!W35</f>
        <v>951</v>
      </c>
      <c r="Y35">
        <f>Tabel24256789101112131415171618192120222326141516[[#This Row],[Stand Cappucino Plantaardig einde maand]]-Tabel24256789101112131415171618192120222326141516[[#This Row],[Stand Cappucino Plantaardig vorige maand]]</f>
        <v>38</v>
      </c>
      <c r="Z35" s="53">
        <v>598</v>
      </c>
      <c r="AA35">
        <f>april2025!Z35</f>
        <v>585</v>
      </c>
      <c r="AB35">
        <f>Tabel24256789101112131415171618192120222326141516[[#This Row],[Stand Latte Macchiato Plantaardig einde maand]]-Tabel24256789101112131415171618192120222326141516[[#This Row],[Stand Latte Macchiato Plantaardig vorige maand]]</f>
        <v>13</v>
      </c>
      <c r="AC35" s="71">
        <f>Tabel24256789101112131415171618192120222326141516[[#This Row],[Verbruik Stand Latte Macchiato Plantaardig deze maand]]+Tabel24256789101112131415171618192120222326141516[[#This Row],[Verbruik  Cappucino Plantaardig deze maand]]+Tabel24256789101112131415171618192120222326141516[[#This Row],[Verbruik Cappucino deze maand]]+Tabel24256789101112131415171618192120222326141516[[#This Row],[Verbruik Hot Water deze maand]]+Tabel24256789101112131415171618192120222326141516[[#This Row],[Verbruik Coffee Latte deze maand]]+Tabel24256789101112131415171618192120222326141516[[#This Row],[Verbruik Latte Macchiato deze maand]]+Tabel24256789101112131415171618192120222326141516[[#This Row],[Verbruik Espresso deze maand]]+Tabel24256789101112131415171618192120222326141516[[#This Row],[Verbruik Coffee deze maand]]</f>
        <v>602</v>
      </c>
      <c r="AD35" s="53">
        <v>204.3</v>
      </c>
      <c r="AE35">
        <f>april2025!AD35</f>
        <v>198.8</v>
      </c>
      <c r="AF35">
        <f>Tabel24256789101112131415171618192120222326141516[[#This Row],[Stand Kamertemp liter einde maand]]-Tabel24256789101112131415171618192120222326141516[[#This Row],[Stand Kamertemp liter vorige maand]]</f>
        <v>5.5</v>
      </c>
      <c r="AG35" s="2">
        <f>Tabel24256789101112131415171618192120222326141516[[#This Row],[Verbruik Kamertemp liter deze maand]]/0.15</f>
        <v>36.666666666666671</v>
      </c>
      <c r="AH35" s="53">
        <v>965.9</v>
      </c>
      <c r="AI35">
        <f>april2025!AH35</f>
        <v>931.6</v>
      </c>
      <c r="AJ35">
        <f>Tabel24256789101112131415171618192120222326141516[[#This Row],[Stand Gekoeld liter einde maand]]-Tabel24256789101112131415171618192120222326141516[[#This Row],[Stand Gekoeld liter vorige maand]]</f>
        <v>34.299999999999955</v>
      </c>
      <c r="AK35" s="2">
        <f>Tabel24256789101112131415171618192120222326141516[[#This Row],[Verbruik Gekoeld liter deze maand]]/0.15</f>
        <v>228.66666666666637</v>
      </c>
      <c r="AL35" s="53">
        <v>934.3</v>
      </c>
      <c r="AM35">
        <f>april2025!AL35</f>
        <v>905.6</v>
      </c>
      <c r="AN35">
        <f>Tabel24256789101112131415171618192120222326141516[[#This Row],[Stand Bruisend liter einde maand]]-Tabel24256789101112131415171618192120222326141516[[#This Row],[Stand Bruisend liter vorige maand]]</f>
        <v>28.699999999999932</v>
      </c>
      <c r="AO35" s="2">
        <f>Tabel24256789101112131415171618192120222326141516[[#This Row],[Verbruik Bruisend liter deze maand]]/0.15</f>
        <v>191.33333333333289</v>
      </c>
      <c r="AP35" s="53">
        <v>373.7</v>
      </c>
      <c r="AQ35">
        <f>april2025!AP35</f>
        <v>358.9</v>
      </c>
      <c r="AR35">
        <f>Tabel24256789101112131415171618192120222326141516[[#This Row],[Stand licht bruisend liter einde maand]]-Tabel24256789101112131415171618192120222326141516[[#This Row],[Stand licht bruisend liter vorige maand]]</f>
        <v>14.800000000000011</v>
      </c>
      <c r="AS35" s="2">
        <f>Tabel24256789101112131415171618192120222326141516[[#This Row],[Verbruik licht bruisend liter deze maand]]/0.15</f>
        <v>98.666666666666742</v>
      </c>
      <c r="AT35" s="53">
        <v>6468.2</v>
      </c>
      <c r="AU35">
        <f>april2025!AT35</f>
        <v>6285.3</v>
      </c>
      <c r="AV35">
        <f>Tabel24256789101112131415171618192120222326141516[[#This Row],[Stand heet water liter einde maand]]-Tabel24256789101112131415171618192120222326141516[[#This Row],[Stand heet water liter vorige maand]]</f>
        <v>182.89999999999964</v>
      </c>
      <c r="AW35" s="2">
        <f>Tabel24256789101112131415171618192120222326141516[[#This Row],[Verbruik heet Water liter deze maand ]]/0.15</f>
        <v>1219.333333333331</v>
      </c>
      <c r="AX35" s="77">
        <f>Tabel24256789101112131415171618192120222326141516[[#This Row],[Aantal consumpties heet water deze maand]]+Tabel24256789101112131415171618192120222326141516[[#This Row],[Aantal consumpties licht bruisend water deze maand]]+Tabel24256789101112131415171618192120222326141516[[#This Row],[aantal consumpties Bruisend water deze maand]]+Tabel24256789101112131415171618192120222326141516[[#This Row],[Aantal consumpties gekoeld water deze maand]]+Tabel24256789101112131415171618192120222326141516[[#This Row],[Aantal consumpties Kamertemp deze maand]]</f>
        <v>1774.6666666666636</v>
      </c>
      <c r="AY35" s="95">
        <f>Tabel24256789101112131415171618192120222326141516[[#This Row],[Subtotaal waterbar in consumpties]]+Tabel24256789101112131415171618192120222326141516[[#This Row],[Subtotaal koffieautomaten]]</f>
        <v>2376.6666666666633</v>
      </c>
    </row>
    <row r="36" spans="1:130" ht="14.45" customHeight="1" x14ac:dyDescent="0.25">
      <c r="A36" s="65" t="s">
        <v>54</v>
      </c>
      <c r="B36" t="s">
        <v>84</v>
      </c>
      <c r="C36" t="s">
        <v>31</v>
      </c>
      <c r="E36">
        <v>13510</v>
      </c>
      <c r="F36">
        <f>april2025!E36</f>
        <v>12987</v>
      </c>
      <c r="G36">
        <f>Tabel24256789101112131415171618192120222326141516[[#This Row],[Stand Coffee einde maand]]-Tabel24256789101112131415171618192120222326141516[[#This Row],[Coffee vorige maand]]</f>
        <v>523</v>
      </c>
      <c r="H36" s="53">
        <v>2246</v>
      </c>
      <c r="I36">
        <f>april2025!H36</f>
        <v>2114</v>
      </c>
      <c r="J36">
        <f>Tabel24256789101112131415171618192120222326141516[[#This Row],[Stand Espresso Einde maand]]-Tabel24256789101112131415171618192120222326141516[[#This Row],[Espresso vorige maand]]</f>
        <v>132</v>
      </c>
      <c r="K36" s="53">
        <v>1288</v>
      </c>
      <c r="L36">
        <f>april2025!K36</f>
        <v>1255</v>
      </c>
      <c r="M36">
        <f>Tabel24256789101112131415171618192120222326141516[[#This Row],[Stand Latte Macchiato einde maand]]-Tabel24256789101112131415171618192120222326141516[[#This Row],[Latte Macchiato vorige maand]]</f>
        <v>33</v>
      </c>
      <c r="N36" s="53">
        <v>420</v>
      </c>
      <c r="O36">
        <f>april2025!N36</f>
        <v>381</v>
      </c>
      <c r="P36">
        <f>Tabel24256789101112131415171618192120222326141516[[#This Row],[Stand Coffee Latte einde maand]]-Tabel24256789101112131415171618192120222326141516[[#This Row],[Coffee Latte vorige maand]]</f>
        <v>39</v>
      </c>
      <c r="Q36" s="53">
        <v>19191</v>
      </c>
      <c r="R36">
        <f>april2025!Q36</f>
        <v>18474</v>
      </c>
      <c r="S36">
        <f>Tabel24256789101112131415171618192120222326141516[[#This Row],[Stand Hot Water einde maand]]-Tabel24256789101112131415171618192120222326141516[[#This Row],[Hot Water vorige maand]]</f>
        <v>717</v>
      </c>
      <c r="T36" s="53">
        <v>4519</v>
      </c>
      <c r="U36">
        <f>april2025!T36</f>
        <v>4351</v>
      </c>
      <c r="V36">
        <f>Tabel24256789101112131415171618192120222326141516[[#This Row],[Stand Cappucino einde maand]]-Tabel24256789101112131415171618192120222326141516[[#This Row],[Stand Cappucino vorige maand]]</f>
        <v>168</v>
      </c>
      <c r="W36" s="53">
        <v>630</v>
      </c>
      <c r="X36">
        <f>april2025!W36</f>
        <v>615</v>
      </c>
      <c r="Y36">
        <f>Tabel24256789101112131415171618192120222326141516[[#This Row],[Stand Cappucino Plantaardig einde maand]]-Tabel24256789101112131415171618192120222326141516[[#This Row],[Stand Cappucino Plantaardig vorige maand]]</f>
        <v>15</v>
      </c>
      <c r="Z36" s="53">
        <v>867</v>
      </c>
      <c r="AA36">
        <f>april2025!Z36</f>
        <v>814</v>
      </c>
      <c r="AB36">
        <f>Tabel24256789101112131415171618192120222326141516[[#This Row],[Stand Latte Macchiato Plantaardig einde maand]]-Tabel24256789101112131415171618192120222326141516[[#This Row],[Stand Latte Macchiato Plantaardig vorige maand]]</f>
        <v>53</v>
      </c>
      <c r="AC36" s="71">
        <f>Tabel24256789101112131415171618192120222326141516[[#This Row],[Verbruik Stand Latte Macchiato Plantaardig deze maand]]+Tabel24256789101112131415171618192120222326141516[[#This Row],[Verbruik  Cappucino Plantaardig deze maand]]+Tabel24256789101112131415171618192120222326141516[[#This Row],[Verbruik Cappucino deze maand]]+Tabel24256789101112131415171618192120222326141516[[#This Row],[Verbruik Hot Water deze maand]]+Tabel24256789101112131415171618192120222326141516[[#This Row],[Verbruik Coffee Latte deze maand]]+Tabel24256789101112131415171618192120222326141516[[#This Row],[Verbruik Latte Macchiato deze maand]]+Tabel24256789101112131415171618192120222326141516[[#This Row],[Verbruik Espresso deze maand]]+Tabel24256789101112131415171618192120222326141516[[#This Row],[Verbruik Coffee deze maand]]</f>
        <v>1680</v>
      </c>
      <c r="AD36" s="69"/>
      <c r="AE36" s="41"/>
      <c r="AF36" s="5"/>
      <c r="AG36" s="5"/>
      <c r="AH36" s="75"/>
      <c r="AI36" s="41"/>
      <c r="AJ36" s="5"/>
      <c r="AK36" s="5"/>
      <c r="AL36" s="75"/>
      <c r="AM36" s="41"/>
      <c r="AN36" s="5"/>
      <c r="AO36" s="5"/>
      <c r="AP36" s="75"/>
      <c r="AQ36" s="41"/>
      <c r="AR36" s="5"/>
      <c r="AS36" s="5"/>
      <c r="AT36" s="75"/>
      <c r="AU36" s="41"/>
      <c r="AV36" s="5"/>
      <c r="AW36" s="5"/>
      <c r="AX36" s="79"/>
      <c r="AY36" s="95">
        <f>Tabel24256789101112131415171618192120222326141516[[#This Row],[Subtotaal waterbar in consumpties]]+Tabel24256789101112131415171618192120222326141516[[#This Row],[Subtotaal koffieautomaten]]</f>
        <v>1680</v>
      </c>
    </row>
    <row r="37" spans="1:130" ht="14.45" customHeight="1" x14ac:dyDescent="0.25">
      <c r="A37" s="65" t="s">
        <v>56</v>
      </c>
      <c r="B37" t="s">
        <v>85</v>
      </c>
      <c r="C37" t="s">
        <v>36</v>
      </c>
      <c r="E37" s="46"/>
      <c r="F37" s="46"/>
      <c r="G37" s="47"/>
      <c r="H37" s="54"/>
      <c r="I37" s="46"/>
      <c r="J37" s="47"/>
      <c r="K37" s="54"/>
      <c r="L37" s="46"/>
      <c r="M37" s="47"/>
      <c r="N37" s="54"/>
      <c r="O37" s="46"/>
      <c r="P37" s="47"/>
      <c r="Q37" s="54"/>
      <c r="R37" s="46"/>
      <c r="S37" s="47"/>
      <c r="T37" s="54"/>
      <c r="U37" s="46"/>
      <c r="V37" s="47"/>
      <c r="W37" s="54"/>
      <c r="X37" s="46"/>
      <c r="Y37" s="47"/>
      <c r="Z37" s="54"/>
      <c r="AA37" s="46"/>
      <c r="AB37" s="47"/>
      <c r="AC37" s="72"/>
      <c r="AD37" s="53">
        <v>143.5</v>
      </c>
      <c r="AE37">
        <f>april2025!AD37</f>
        <v>137.4</v>
      </c>
      <c r="AF37">
        <f>Tabel24256789101112131415171618192120222326141516[[#This Row],[Stand Kamertemp liter einde maand]]-Tabel24256789101112131415171618192120222326141516[[#This Row],[Stand Kamertemp liter vorige maand]]</f>
        <v>6.0999999999999943</v>
      </c>
      <c r="AG37" s="2">
        <f>Tabel24256789101112131415171618192120222326141516[[#This Row],[Verbruik Kamertemp liter deze maand]]/0.15</f>
        <v>40.666666666666629</v>
      </c>
      <c r="AH37" s="53">
        <v>758.6</v>
      </c>
      <c r="AI37">
        <f>april2025!AH37</f>
        <v>716.6</v>
      </c>
      <c r="AJ37">
        <f>Tabel24256789101112131415171618192120222326141516[[#This Row],[Stand Gekoeld liter einde maand]]-Tabel24256789101112131415171618192120222326141516[[#This Row],[Stand Gekoeld liter vorige maand]]</f>
        <v>42</v>
      </c>
      <c r="AK37" s="2">
        <f>Tabel24256789101112131415171618192120222326141516[[#This Row],[Verbruik Gekoeld liter deze maand]]/0.15</f>
        <v>280</v>
      </c>
      <c r="AL37" s="53">
        <v>550</v>
      </c>
      <c r="AM37">
        <f>april2025!AL37</f>
        <v>504.6</v>
      </c>
      <c r="AN37">
        <f>Tabel24256789101112131415171618192120222326141516[[#This Row],[Stand Bruisend liter einde maand]]-Tabel24256789101112131415171618192120222326141516[[#This Row],[Stand Bruisend liter vorige maand]]</f>
        <v>45.399999999999977</v>
      </c>
      <c r="AO37" s="2">
        <f>Tabel24256789101112131415171618192120222326141516[[#This Row],[Verbruik Bruisend liter deze maand]]/0.15</f>
        <v>302.66666666666652</v>
      </c>
      <c r="AP37" s="53">
        <v>311.10000000000002</v>
      </c>
      <c r="AQ37">
        <f>april2025!AP37</f>
        <v>293.39999999999998</v>
      </c>
      <c r="AR37">
        <f>Tabel24256789101112131415171618192120222326141516[[#This Row],[Stand licht bruisend liter einde maand]]-Tabel24256789101112131415171618192120222326141516[[#This Row],[Stand licht bruisend liter vorige maand]]</f>
        <v>17.700000000000045</v>
      </c>
      <c r="AS37" s="2">
        <f>Tabel24256789101112131415171618192120222326141516[[#This Row],[Verbruik licht bruisend liter deze maand]]/0.15</f>
        <v>118.00000000000031</v>
      </c>
      <c r="AT37" s="53">
        <v>2374.6</v>
      </c>
      <c r="AU37">
        <f>april2025!AT37</f>
        <v>2237.1999999999998</v>
      </c>
      <c r="AV37">
        <f>Tabel24256789101112131415171618192120222326141516[[#This Row],[Stand heet water liter einde maand]]-Tabel24256789101112131415171618192120222326141516[[#This Row],[Stand heet water liter vorige maand]]</f>
        <v>137.40000000000009</v>
      </c>
      <c r="AW37" s="2">
        <f>Tabel24256789101112131415171618192120222326141516[[#This Row],[Verbruik heet Water liter deze maand ]]/0.15</f>
        <v>916.00000000000068</v>
      </c>
      <c r="AX37" s="77">
        <f>Tabel24256789101112131415171618192120222326141516[[#This Row],[Aantal consumpties heet water deze maand]]+Tabel24256789101112131415171618192120222326141516[[#This Row],[Aantal consumpties licht bruisend water deze maand]]+Tabel24256789101112131415171618192120222326141516[[#This Row],[aantal consumpties Bruisend water deze maand]]+Tabel24256789101112131415171618192120222326141516[[#This Row],[Aantal consumpties gekoeld water deze maand]]+Tabel24256789101112131415171618192120222326141516[[#This Row],[Aantal consumpties Kamertemp deze maand]]</f>
        <v>1657.3333333333339</v>
      </c>
      <c r="AY37" s="95">
        <f>Tabel24256789101112131415171618192120222326141516[[#This Row],[Subtotaal waterbar in consumpties]]+Tabel24256789101112131415171618192120222326141516[[#This Row],[Subtotaal koffieautomaten]]</f>
        <v>1657.3333333333339</v>
      </c>
    </row>
    <row r="38" spans="1:130" ht="14.45" customHeight="1" x14ac:dyDescent="0.25">
      <c r="A38" s="65" t="s">
        <v>58</v>
      </c>
      <c r="B38" t="s">
        <v>86</v>
      </c>
      <c r="C38" t="s">
        <v>47</v>
      </c>
      <c r="E38">
        <v>12695</v>
      </c>
      <c r="F38">
        <f>april2025!E38</f>
        <v>12318</v>
      </c>
      <c r="G38">
        <f>Tabel24256789101112131415171618192120222326141516[[#This Row],[Stand Coffee einde maand]]-Tabel24256789101112131415171618192120222326141516[[#This Row],[Coffee vorige maand]]</f>
        <v>377</v>
      </c>
      <c r="H38" s="53">
        <v>3646</v>
      </c>
      <c r="I38">
        <f>april2025!H38</f>
        <v>3588</v>
      </c>
      <c r="J38">
        <f>Tabel24256789101112131415171618192120222326141516[[#This Row],[Stand Espresso Einde maand]]-Tabel24256789101112131415171618192120222326141516[[#This Row],[Espresso vorige maand]]</f>
        <v>58</v>
      </c>
      <c r="K38" s="53">
        <v>2156</v>
      </c>
      <c r="L38">
        <f>april2025!K38</f>
        <v>2061</v>
      </c>
      <c r="M38">
        <f>Tabel24256789101112131415171618192120222326141516[[#This Row],[Stand Latte Macchiato einde maand]]-Tabel24256789101112131415171618192120222326141516[[#This Row],[Latte Macchiato vorige maand]]</f>
        <v>95</v>
      </c>
      <c r="N38" s="53">
        <v>1072</v>
      </c>
      <c r="O38">
        <f>april2025!N38</f>
        <v>1042</v>
      </c>
      <c r="P38">
        <f>Tabel24256789101112131415171618192120222326141516[[#This Row],[Stand Coffee Latte einde maand]]-Tabel24256789101112131415171618192120222326141516[[#This Row],[Coffee Latte vorige maand]]</f>
        <v>30</v>
      </c>
      <c r="Q38" s="53">
        <v>1316</v>
      </c>
      <c r="R38">
        <f>april2025!Q38</f>
        <v>1232</v>
      </c>
      <c r="S38">
        <f>Tabel24256789101112131415171618192120222326141516[[#This Row],[Stand Hot Water einde maand]]-Tabel24256789101112131415171618192120222326141516[[#This Row],[Hot Water vorige maand]]</f>
        <v>84</v>
      </c>
      <c r="T38" s="53">
        <v>6586</v>
      </c>
      <c r="U38">
        <f>april2025!T38</f>
        <v>6459</v>
      </c>
      <c r="V38">
        <f>Tabel24256789101112131415171618192120222326141516[[#This Row],[Stand Cappucino einde maand]]-Tabel24256789101112131415171618192120222326141516[[#This Row],[Stand Cappucino vorige maand]]</f>
        <v>127</v>
      </c>
      <c r="W38" s="53">
        <v>1011</v>
      </c>
      <c r="X38">
        <f>april2025!W38</f>
        <v>982</v>
      </c>
      <c r="Y38">
        <f>Tabel24256789101112131415171618192120222326141516[[#This Row],[Stand Cappucino Plantaardig einde maand]]-Tabel24256789101112131415171618192120222326141516[[#This Row],[Stand Cappucino Plantaardig vorige maand]]</f>
        <v>29</v>
      </c>
      <c r="Z38" s="53">
        <v>796</v>
      </c>
      <c r="AA38">
        <f>april2025!Z38</f>
        <v>778</v>
      </c>
      <c r="AB38">
        <f>Tabel24256789101112131415171618192120222326141516[[#This Row],[Stand Latte Macchiato Plantaardig einde maand]]-Tabel24256789101112131415171618192120222326141516[[#This Row],[Stand Latte Macchiato Plantaardig vorige maand]]</f>
        <v>18</v>
      </c>
      <c r="AC38" s="71">
        <f>Tabel24256789101112131415171618192120222326141516[[#This Row],[Verbruik Stand Latte Macchiato Plantaardig deze maand]]+Tabel24256789101112131415171618192120222326141516[[#This Row],[Verbruik  Cappucino Plantaardig deze maand]]+Tabel24256789101112131415171618192120222326141516[[#This Row],[Verbruik Cappucino deze maand]]+Tabel24256789101112131415171618192120222326141516[[#This Row],[Verbruik Hot Water deze maand]]+Tabel24256789101112131415171618192120222326141516[[#This Row],[Verbruik Coffee Latte deze maand]]+Tabel24256789101112131415171618192120222326141516[[#This Row],[Verbruik Latte Macchiato deze maand]]+Tabel24256789101112131415171618192120222326141516[[#This Row],[Verbruik Espresso deze maand]]+Tabel24256789101112131415171618192120222326141516[[#This Row],[Verbruik Coffee deze maand]]</f>
        <v>818</v>
      </c>
      <c r="AD38" s="53">
        <v>121.1</v>
      </c>
      <c r="AE38">
        <f>april2025!AD38</f>
        <v>112.1</v>
      </c>
      <c r="AF38">
        <f>Tabel24256789101112131415171618192120222326141516[[#This Row],[Stand Kamertemp liter einde maand]]-Tabel24256789101112131415171618192120222326141516[[#This Row],[Stand Kamertemp liter vorige maand]]</f>
        <v>9</v>
      </c>
      <c r="AG38" s="2">
        <f>Tabel24256789101112131415171618192120222326141516[[#This Row],[Verbruik Kamertemp liter deze maand]]/0.15</f>
        <v>60</v>
      </c>
      <c r="AH38" s="53">
        <v>578.4</v>
      </c>
      <c r="AI38">
        <f>april2025!AH38</f>
        <v>509.4</v>
      </c>
      <c r="AJ38">
        <f>Tabel24256789101112131415171618192120222326141516[[#This Row],[Stand Gekoeld liter einde maand]]-Tabel24256789101112131415171618192120222326141516[[#This Row],[Stand Gekoeld liter vorige maand]]</f>
        <v>69</v>
      </c>
      <c r="AK38" s="2">
        <f>Tabel24256789101112131415171618192120222326141516[[#This Row],[Verbruik Gekoeld liter deze maand]]/0.15</f>
        <v>460</v>
      </c>
      <c r="AL38" s="53">
        <v>492.3</v>
      </c>
      <c r="AM38">
        <f>april2025!AL38</f>
        <v>436.7</v>
      </c>
      <c r="AN38">
        <f>Tabel24256789101112131415171618192120222326141516[[#This Row],[Stand Bruisend liter einde maand]]-Tabel24256789101112131415171618192120222326141516[[#This Row],[Stand Bruisend liter vorige maand]]</f>
        <v>55.600000000000023</v>
      </c>
      <c r="AO38" s="2">
        <f>Tabel24256789101112131415171618192120222326141516[[#This Row],[Verbruik Bruisend liter deze maand]]/0.15</f>
        <v>370.66666666666686</v>
      </c>
      <c r="AP38" s="53">
        <v>141.69999999999999</v>
      </c>
      <c r="AQ38">
        <f>april2025!AP38</f>
        <v>133.6</v>
      </c>
      <c r="AR38">
        <f>Tabel24256789101112131415171618192120222326141516[[#This Row],[Stand licht bruisend liter einde maand]]-Tabel24256789101112131415171618192120222326141516[[#This Row],[Stand licht bruisend liter vorige maand]]</f>
        <v>8.0999999999999943</v>
      </c>
      <c r="AS38" s="2">
        <f>Tabel24256789101112131415171618192120222326141516[[#This Row],[Verbruik licht bruisend liter deze maand]]/0.15</f>
        <v>53.999999999999964</v>
      </c>
      <c r="AT38" s="53">
        <v>1898.6</v>
      </c>
      <c r="AU38">
        <f>april2025!AT38</f>
        <v>1755</v>
      </c>
      <c r="AV38">
        <f>Tabel24256789101112131415171618192120222326141516[[#This Row],[Stand heet water liter einde maand]]-Tabel24256789101112131415171618192120222326141516[[#This Row],[Stand heet water liter vorige maand]]</f>
        <v>143.59999999999991</v>
      </c>
      <c r="AW38" s="2">
        <f>Tabel24256789101112131415171618192120222326141516[[#This Row],[Verbruik heet Water liter deze maand ]]/0.15</f>
        <v>957.3333333333328</v>
      </c>
      <c r="AX38" s="77">
        <f>Tabel24256789101112131415171618192120222326141516[[#This Row],[Aantal consumpties heet water deze maand]]+Tabel24256789101112131415171618192120222326141516[[#This Row],[Aantal consumpties licht bruisend water deze maand]]+Tabel24256789101112131415171618192120222326141516[[#This Row],[aantal consumpties Bruisend water deze maand]]+Tabel24256789101112131415171618192120222326141516[[#This Row],[Aantal consumpties gekoeld water deze maand]]+Tabel24256789101112131415171618192120222326141516[[#This Row],[Aantal consumpties Kamertemp deze maand]]</f>
        <v>1901.9999999999995</v>
      </c>
      <c r="AY38" s="95">
        <f>Tabel24256789101112131415171618192120222326141516[[#This Row],[Subtotaal waterbar in consumpties]]+Tabel24256789101112131415171618192120222326141516[[#This Row],[Subtotaal koffieautomaten]]</f>
        <v>2719.9999999999995</v>
      </c>
    </row>
    <row r="39" spans="1:130" ht="14.45" customHeight="1" x14ac:dyDescent="0.25">
      <c r="A39" s="65" t="s">
        <v>60</v>
      </c>
      <c r="B39" t="s">
        <v>87</v>
      </c>
      <c r="C39" t="s">
        <v>31</v>
      </c>
      <c r="E39">
        <v>6962</v>
      </c>
      <c r="F39">
        <f>april2025!E39</f>
        <v>6637</v>
      </c>
      <c r="G39">
        <f>Tabel24256789101112131415171618192120222326141516[[#This Row],[Stand Coffee einde maand]]-Tabel24256789101112131415171618192120222326141516[[#This Row],[Coffee vorige maand]]</f>
        <v>325</v>
      </c>
      <c r="H39" s="53">
        <v>1050</v>
      </c>
      <c r="I39">
        <f>april2025!H39</f>
        <v>1032</v>
      </c>
      <c r="J39">
        <f>Tabel24256789101112131415171618192120222326141516[[#This Row],[Stand Espresso Einde maand]]-Tabel24256789101112131415171618192120222326141516[[#This Row],[Espresso vorige maand]]</f>
        <v>18</v>
      </c>
      <c r="K39" s="53">
        <v>705</v>
      </c>
      <c r="L39">
        <f>april2025!K39</f>
        <v>697</v>
      </c>
      <c r="M39">
        <f>Tabel24256789101112131415171618192120222326141516[[#This Row],[Stand Latte Macchiato einde maand]]-Tabel24256789101112131415171618192120222326141516[[#This Row],[Latte Macchiato vorige maand]]</f>
        <v>8</v>
      </c>
      <c r="N39" s="53">
        <v>845</v>
      </c>
      <c r="O39">
        <f>april2025!N39</f>
        <v>824</v>
      </c>
      <c r="P39">
        <f>Tabel24256789101112131415171618192120222326141516[[#This Row],[Stand Coffee Latte einde maand]]-Tabel24256789101112131415171618192120222326141516[[#This Row],[Coffee Latte vorige maand]]</f>
        <v>21</v>
      </c>
      <c r="Q39" s="53">
        <v>18572</v>
      </c>
      <c r="R39">
        <f>april2025!Q39</f>
        <v>17970</v>
      </c>
      <c r="S39">
        <f>Tabel24256789101112131415171618192120222326141516[[#This Row],[Stand Hot Water einde maand]]-Tabel24256789101112131415171618192120222326141516[[#This Row],[Hot Water vorige maand]]</f>
        <v>602</v>
      </c>
      <c r="T39" s="53">
        <v>4399</v>
      </c>
      <c r="U39">
        <f>april2025!T39</f>
        <v>4244</v>
      </c>
      <c r="V39">
        <f>Tabel24256789101112131415171618192120222326141516[[#This Row],[Stand Cappucino einde maand]]-Tabel24256789101112131415171618192120222326141516[[#This Row],[Stand Cappucino vorige maand]]</f>
        <v>155</v>
      </c>
      <c r="W39" s="53">
        <v>356</v>
      </c>
      <c r="X39">
        <f>april2025!W39</f>
        <v>351</v>
      </c>
      <c r="Y39">
        <f>Tabel24256789101112131415171618192120222326141516[[#This Row],[Stand Cappucino Plantaardig einde maand]]-Tabel24256789101112131415171618192120222326141516[[#This Row],[Stand Cappucino Plantaardig vorige maand]]</f>
        <v>5</v>
      </c>
      <c r="Z39" s="53">
        <v>230</v>
      </c>
      <c r="AA39">
        <f>april2025!Z39</f>
        <v>225</v>
      </c>
      <c r="AB39">
        <f>Tabel24256789101112131415171618192120222326141516[[#This Row],[Stand Latte Macchiato Plantaardig einde maand]]-Tabel24256789101112131415171618192120222326141516[[#This Row],[Stand Latte Macchiato Plantaardig vorige maand]]</f>
        <v>5</v>
      </c>
      <c r="AC39" s="71">
        <f>Tabel24256789101112131415171618192120222326141516[[#This Row],[Verbruik Stand Latte Macchiato Plantaardig deze maand]]+Tabel24256789101112131415171618192120222326141516[[#This Row],[Verbruik  Cappucino Plantaardig deze maand]]+Tabel24256789101112131415171618192120222326141516[[#This Row],[Verbruik Cappucino deze maand]]+Tabel24256789101112131415171618192120222326141516[[#This Row],[Verbruik Hot Water deze maand]]+Tabel24256789101112131415171618192120222326141516[[#This Row],[Verbruik Coffee Latte deze maand]]+Tabel24256789101112131415171618192120222326141516[[#This Row],[Verbruik Latte Macchiato deze maand]]+Tabel24256789101112131415171618192120222326141516[[#This Row],[Verbruik Espresso deze maand]]+Tabel24256789101112131415171618192120222326141516[[#This Row],[Verbruik Coffee deze maand]]</f>
        <v>1139</v>
      </c>
      <c r="AD39" s="69"/>
      <c r="AE39" s="41"/>
      <c r="AF39" s="5"/>
      <c r="AG39" s="5"/>
      <c r="AH39" s="75"/>
      <c r="AI39" s="41"/>
      <c r="AJ39" s="5"/>
      <c r="AK39" s="5"/>
      <c r="AL39" s="75"/>
      <c r="AM39" s="41"/>
      <c r="AN39" s="5"/>
      <c r="AO39" s="5"/>
      <c r="AP39" s="75"/>
      <c r="AQ39" s="41"/>
      <c r="AR39" s="5"/>
      <c r="AS39" s="5"/>
      <c r="AT39" s="75"/>
      <c r="AU39" s="41"/>
      <c r="AV39" s="5"/>
      <c r="AW39" s="5"/>
      <c r="AX39" s="79"/>
      <c r="AY39" s="95">
        <f>Tabel24256789101112131415171618192120222326141516[[#This Row],[Subtotaal waterbar in consumpties]]+Tabel24256789101112131415171618192120222326141516[[#This Row],[Subtotaal koffieautomaten]]</f>
        <v>1139</v>
      </c>
    </row>
    <row r="40" spans="1:130" s="81" customFormat="1" ht="14.45" customHeight="1" x14ac:dyDescent="0.25">
      <c r="A40" s="80" t="s">
        <v>88</v>
      </c>
      <c r="D40" s="82"/>
      <c r="H40" s="86"/>
      <c r="K40" s="86"/>
      <c r="N40" s="86"/>
      <c r="Q40" s="86"/>
      <c r="T40" s="86"/>
      <c r="W40" s="86"/>
      <c r="Z40" s="86"/>
      <c r="AC40" s="85"/>
      <c r="AD40" s="86"/>
      <c r="AG40" s="87"/>
      <c r="AH40" s="86"/>
      <c r="AK40" s="87"/>
      <c r="AL40" s="86"/>
      <c r="AO40" s="87"/>
      <c r="AP40" s="86"/>
      <c r="AS40" s="87"/>
      <c r="AT40" s="86"/>
      <c r="AW40" s="87"/>
      <c r="AX40" s="88"/>
      <c r="AY40" s="94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</row>
    <row r="41" spans="1:130" ht="14.45" customHeight="1" x14ac:dyDescent="0.25">
      <c r="A41" s="65" t="s">
        <v>39</v>
      </c>
      <c r="B41" t="s">
        <v>89</v>
      </c>
      <c r="C41" t="s">
        <v>47</v>
      </c>
      <c r="E41">
        <v>9147</v>
      </c>
      <c r="F41">
        <f>april2025!E41</f>
        <v>8469</v>
      </c>
      <c r="G41" s="40">
        <f>Tabel24256789101112131415171618192120222326141516[[#This Row],[Stand Coffee einde maand]]-Tabel24256789101112131415171618192120222326141516[[#This Row],[Coffee vorige maand]]</f>
        <v>678</v>
      </c>
      <c r="H41" s="53">
        <v>2183</v>
      </c>
      <c r="I41">
        <f>april2025!H41</f>
        <v>2043</v>
      </c>
      <c r="J41" s="40">
        <f>Tabel24256789101112131415171618192120222326141516[[#This Row],[Stand Espresso Einde maand]]-Tabel24256789101112131415171618192120222326141516[[#This Row],[Espresso vorige maand]]</f>
        <v>140</v>
      </c>
      <c r="K41" s="53">
        <v>1141</v>
      </c>
      <c r="L41">
        <f>april2025!K41</f>
        <v>1057</v>
      </c>
      <c r="M41" s="40">
        <f>Tabel24256789101112131415171618192120222326141516[[#This Row],[Stand Latte Macchiato einde maand]]-Tabel24256789101112131415171618192120222326141516[[#This Row],[Latte Macchiato vorige maand]]</f>
        <v>84</v>
      </c>
      <c r="N41" s="53">
        <v>600</v>
      </c>
      <c r="O41">
        <f>april2025!N41</f>
        <v>567</v>
      </c>
      <c r="P41" s="40">
        <f>Tabel24256789101112131415171618192120222326141516[[#This Row],[Stand Coffee Latte einde maand]]-Tabel24256789101112131415171618192120222326141516[[#This Row],[Coffee Latte vorige maand]]</f>
        <v>33</v>
      </c>
      <c r="Q41" s="53">
        <v>4058</v>
      </c>
      <c r="R41">
        <f>april2025!Q41</f>
        <v>3856</v>
      </c>
      <c r="S41" s="40">
        <f>Tabel24256789101112131415171618192120222326141516[[#This Row],[Stand Hot Water einde maand]]-Tabel24256789101112131415171618192120222326141516[[#This Row],[Hot Water vorige maand]]</f>
        <v>202</v>
      </c>
      <c r="T41" s="53">
        <v>6788</v>
      </c>
      <c r="U41">
        <f>april2025!T41</f>
        <v>6431</v>
      </c>
      <c r="V41" s="40">
        <f>Tabel24256789101112131415171618192120222326141516[[#This Row],[Stand Cappucino einde maand]]-Tabel24256789101112131415171618192120222326141516[[#This Row],[Stand Cappucino vorige maand]]</f>
        <v>357</v>
      </c>
      <c r="W41" s="53">
        <v>585</v>
      </c>
      <c r="X41">
        <f>april2025!W41</f>
        <v>543</v>
      </c>
      <c r="Y41" s="40">
        <f>Tabel24256789101112131415171618192120222326141516[[#This Row],[Stand Cappucino Plantaardig einde maand]]-Tabel24256789101112131415171618192120222326141516[[#This Row],[Stand Cappucino Plantaardig vorige maand]]</f>
        <v>42</v>
      </c>
      <c r="Z41" s="53">
        <v>206</v>
      </c>
      <c r="AA41">
        <f>april2025!Z41</f>
        <v>194</v>
      </c>
      <c r="AB41" s="40">
        <f>Tabel24256789101112131415171618192120222326141516[[#This Row],[Stand Latte Macchiato Plantaardig einde maand]]-Tabel24256789101112131415171618192120222326141516[[#This Row],[Stand Latte Macchiato Plantaardig vorige maand]]</f>
        <v>12</v>
      </c>
      <c r="AC41" s="73">
        <f>Tabel24256789101112131415171618192120222326141516[[#This Row],[Verbruik Stand Latte Macchiato Plantaardig deze maand]]+Tabel24256789101112131415171618192120222326141516[[#This Row],[Verbruik  Cappucino Plantaardig deze maand]]+Tabel24256789101112131415171618192120222326141516[[#This Row],[Verbruik Cappucino deze maand]]+Tabel24256789101112131415171618192120222326141516[[#This Row],[Verbruik Hot Water deze maand]]+Tabel24256789101112131415171618192120222326141516[[#This Row],[Verbruik Coffee Latte deze maand]]+Tabel24256789101112131415171618192120222326141516[[#This Row],[Verbruik Latte Macchiato deze maand]]+Tabel24256789101112131415171618192120222326141516[[#This Row],[Verbruik Espresso deze maand]]+Tabel24256789101112131415171618192120222326141516[[#This Row],[Verbruik Coffee deze maand]]</f>
        <v>1548</v>
      </c>
      <c r="AD41" s="53">
        <v>186.4</v>
      </c>
      <c r="AE41">
        <f>april2025!AD41</f>
        <v>173.2</v>
      </c>
      <c r="AF41">
        <f>Tabel24256789101112131415171618192120222326141516[[#This Row],[Stand Kamertemp liter einde maand]]-Tabel24256789101112131415171618192120222326141516[[#This Row],[Stand Kamertemp liter vorige maand]]</f>
        <v>13.200000000000017</v>
      </c>
      <c r="AG41" s="2">
        <f>Tabel24256789101112131415171618192120222326141516[[#This Row],[Verbruik Kamertemp liter deze maand]]/0.15</f>
        <v>88.000000000000114</v>
      </c>
      <c r="AH41" s="53">
        <v>1213.5</v>
      </c>
      <c r="AI41">
        <f>april2025!AH41</f>
        <v>1059.7</v>
      </c>
      <c r="AJ41">
        <f>Tabel24256789101112131415171618192120222326141516[[#This Row],[Stand Gekoeld liter einde maand]]-Tabel24256789101112131415171618192120222326141516[[#This Row],[Stand Gekoeld liter vorige maand]]</f>
        <v>153.79999999999995</v>
      </c>
      <c r="AK41" s="2">
        <f>Tabel24256789101112131415171618192120222326141516[[#This Row],[Verbruik Gekoeld liter deze maand]]/0.15</f>
        <v>1025.333333333333</v>
      </c>
      <c r="AL41" s="53">
        <v>518.5</v>
      </c>
      <c r="AM41">
        <f>april2025!AL41</f>
        <v>445.2</v>
      </c>
      <c r="AN41">
        <f>Tabel24256789101112131415171618192120222326141516[[#This Row],[Stand Bruisend liter einde maand]]-Tabel24256789101112131415171618192120222326141516[[#This Row],[Stand Bruisend liter vorige maand]]</f>
        <v>73.300000000000011</v>
      </c>
      <c r="AO41" s="2">
        <f>Tabel24256789101112131415171618192120222326141516[[#This Row],[Verbruik Bruisend liter deze maand]]/0.15</f>
        <v>488.66666666666674</v>
      </c>
      <c r="AP41" s="53">
        <v>192.2</v>
      </c>
      <c r="AQ41">
        <f>april2025!AP41</f>
        <v>168.7</v>
      </c>
      <c r="AR41">
        <f>Tabel24256789101112131415171618192120222326141516[[#This Row],[Stand licht bruisend liter einde maand]]-Tabel24256789101112131415171618192120222326141516[[#This Row],[Stand licht bruisend liter vorige maand]]</f>
        <v>23.5</v>
      </c>
      <c r="AS41" s="2">
        <f>Tabel24256789101112131415171618192120222326141516[[#This Row],[Verbruik licht bruisend liter deze maand]]/0.15</f>
        <v>156.66666666666669</v>
      </c>
      <c r="AT41" s="53">
        <v>566</v>
      </c>
      <c r="AU41">
        <f>april2025!AT41</f>
        <v>511.8</v>
      </c>
      <c r="AV41">
        <f>Tabel24256789101112131415171618192120222326141516[[#This Row],[Stand heet water liter einde maand]]-Tabel24256789101112131415171618192120222326141516[[#This Row],[Stand heet water liter vorige maand]]</f>
        <v>54.199999999999989</v>
      </c>
      <c r="AW41" s="2">
        <f>Tabel24256789101112131415171618192120222326141516[[#This Row],[Verbruik heet Water liter deze maand ]]/0.15</f>
        <v>361.33333333333326</v>
      </c>
      <c r="AX41" s="77">
        <f>Tabel24256789101112131415171618192120222326141516[[#This Row],[Aantal consumpties heet water deze maand]]+Tabel24256789101112131415171618192120222326141516[[#This Row],[Aantal consumpties licht bruisend water deze maand]]+Tabel24256789101112131415171618192120222326141516[[#This Row],[aantal consumpties Bruisend water deze maand]]+Tabel24256789101112131415171618192120222326141516[[#This Row],[Aantal consumpties gekoeld water deze maand]]+Tabel24256789101112131415171618192120222326141516[[#This Row],[Aantal consumpties Kamertemp deze maand]]</f>
        <v>2120</v>
      </c>
      <c r="AY41" s="95">
        <f>Tabel24256789101112131415171618192120222326141516[[#This Row],[Subtotaal waterbar in consumpties]]+Tabel24256789101112131415171618192120222326141516[[#This Row],[Subtotaal koffieautomaten]]</f>
        <v>3668</v>
      </c>
    </row>
    <row r="42" spans="1:130" ht="14.45" customHeight="1" x14ac:dyDescent="0.25">
      <c r="A42" s="65" t="s">
        <v>41</v>
      </c>
      <c r="B42" t="s">
        <v>90</v>
      </c>
      <c r="C42" t="s">
        <v>31</v>
      </c>
      <c r="E42">
        <v>13732</v>
      </c>
      <c r="F42">
        <f>april2025!E42</f>
        <v>13384</v>
      </c>
      <c r="G42">
        <f>Tabel24256789101112131415171618192120222326141516[[#This Row],[Stand Coffee einde maand]]-Tabel24256789101112131415171618192120222326141516[[#This Row],[Coffee vorige maand]]</f>
        <v>348</v>
      </c>
      <c r="H42" s="53">
        <v>4583</v>
      </c>
      <c r="I42">
        <f>april2025!H42</f>
        <v>4489</v>
      </c>
      <c r="J42">
        <f>Tabel24256789101112131415171618192120222326141516[[#This Row],[Stand Espresso Einde maand]]-Tabel24256789101112131415171618192120222326141516[[#This Row],[Espresso vorige maand]]</f>
        <v>94</v>
      </c>
      <c r="K42" s="53">
        <v>1160</v>
      </c>
      <c r="L42">
        <f>april2025!K42</f>
        <v>1131</v>
      </c>
      <c r="M42">
        <f>Tabel24256789101112131415171618192120222326141516[[#This Row],[Stand Latte Macchiato einde maand]]-Tabel24256789101112131415171618192120222326141516[[#This Row],[Latte Macchiato vorige maand]]</f>
        <v>29</v>
      </c>
      <c r="N42" s="53">
        <v>2316</v>
      </c>
      <c r="O42">
        <f>april2025!N42</f>
        <v>2211</v>
      </c>
      <c r="P42">
        <f>Tabel24256789101112131415171618192120222326141516[[#This Row],[Stand Coffee Latte einde maand]]-Tabel24256789101112131415171618192120222326141516[[#This Row],[Coffee Latte vorige maand]]</f>
        <v>105</v>
      </c>
      <c r="Q42" s="53">
        <v>41226</v>
      </c>
      <c r="R42">
        <f>april2025!Q42</f>
        <v>39806</v>
      </c>
      <c r="S42">
        <f>Tabel24256789101112131415171618192120222326141516[[#This Row],[Stand Hot Water einde maand]]-Tabel24256789101112131415171618192120222326141516[[#This Row],[Hot Water vorige maand]]</f>
        <v>1420</v>
      </c>
      <c r="T42" s="53">
        <v>6274</v>
      </c>
      <c r="U42">
        <f>april2025!T42</f>
        <v>6056</v>
      </c>
      <c r="V42">
        <f>Tabel24256789101112131415171618192120222326141516[[#This Row],[Stand Cappucino einde maand]]-Tabel24256789101112131415171618192120222326141516[[#This Row],[Stand Cappucino vorige maand]]</f>
        <v>218</v>
      </c>
      <c r="W42" s="53">
        <v>481</v>
      </c>
      <c r="X42">
        <f>april2025!W42</f>
        <v>468</v>
      </c>
      <c r="Y42">
        <f>Tabel24256789101112131415171618192120222326141516[[#This Row],[Stand Cappucino Plantaardig einde maand]]-Tabel24256789101112131415171618192120222326141516[[#This Row],[Stand Cappucino Plantaardig vorige maand]]</f>
        <v>13</v>
      </c>
      <c r="Z42" s="53">
        <v>438</v>
      </c>
      <c r="AA42">
        <f>april2025!Z42</f>
        <v>400</v>
      </c>
      <c r="AB42">
        <f>Tabel24256789101112131415171618192120222326141516[[#This Row],[Stand Latte Macchiato Plantaardig einde maand]]-Tabel24256789101112131415171618192120222326141516[[#This Row],[Stand Latte Macchiato Plantaardig vorige maand]]</f>
        <v>38</v>
      </c>
      <c r="AC42" s="71">
        <f>Tabel24256789101112131415171618192120222326141516[[#This Row],[Verbruik Stand Latte Macchiato Plantaardig deze maand]]+Tabel24256789101112131415171618192120222326141516[[#This Row],[Verbruik  Cappucino Plantaardig deze maand]]+Tabel24256789101112131415171618192120222326141516[[#This Row],[Verbruik Cappucino deze maand]]+Tabel24256789101112131415171618192120222326141516[[#This Row],[Verbruik Hot Water deze maand]]+Tabel24256789101112131415171618192120222326141516[[#This Row],[Verbruik Coffee Latte deze maand]]+Tabel24256789101112131415171618192120222326141516[[#This Row],[Verbruik Latte Macchiato deze maand]]+Tabel24256789101112131415171618192120222326141516[[#This Row],[Verbruik Espresso deze maand]]+Tabel24256789101112131415171618192120222326141516[[#This Row],[Verbruik Coffee deze maand]]</f>
        <v>2265</v>
      </c>
      <c r="AD42" s="69"/>
      <c r="AE42" s="41"/>
      <c r="AF42" s="5"/>
      <c r="AG42" s="5"/>
      <c r="AH42" s="75"/>
      <c r="AI42" s="41"/>
      <c r="AJ42" s="5"/>
      <c r="AK42" s="5"/>
      <c r="AL42" s="75"/>
      <c r="AM42" s="41"/>
      <c r="AN42" s="5"/>
      <c r="AO42" s="5"/>
      <c r="AP42" s="75"/>
      <c r="AQ42" s="41"/>
      <c r="AR42" s="5"/>
      <c r="AS42" s="5"/>
      <c r="AT42" s="75"/>
      <c r="AU42" s="41"/>
      <c r="AV42" s="5"/>
      <c r="AW42" s="5"/>
      <c r="AX42" s="79"/>
      <c r="AY42" s="95">
        <f>Tabel24256789101112131415171618192120222326141516[[#This Row],[Subtotaal waterbar in consumpties]]+Tabel24256789101112131415171618192120222326141516[[#This Row],[Subtotaal koffieautomaten]]</f>
        <v>2265</v>
      </c>
    </row>
    <row r="43" spans="1:130" ht="14.45" customHeight="1" x14ac:dyDescent="0.25">
      <c r="A43" s="65" t="s">
        <v>43</v>
      </c>
      <c r="B43" t="s">
        <v>91</v>
      </c>
      <c r="C43" t="s">
        <v>47</v>
      </c>
      <c r="E43">
        <v>15609</v>
      </c>
      <c r="F43">
        <f>april2025!E43</f>
        <v>15066</v>
      </c>
      <c r="G43">
        <f>Tabel24256789101112131415171618192120222326141516[[#This Row],[Stand Coffee einde maand]]-Tabel24256789101112131415171618192120222326141516[[#This Row],[Coffee vorige maand]]</f>
        <v>543</v>
      </c>
      <c r="H43" s="53">
        <v>3052</v>
      </c>
      <c r="I43">
        <f>april2025!H43</f>
        <v>2973</v>
      </c>
      <c r="J43">
        <f>Tabel24256789101112131415171618192120222326141516[[#This Row],[Stand Espresso Einde maand]]-Tabel24256789101112131415171618192120222326141516[[#This Row],[Espresso vorige maand]]</f>
        <v>79</v>
      </c>
      <c r="K43" s="53">
        <v>744</v>
      </c>
      <c r="L43">
        <f>april2025!K43</f>
        <v>706</v>
      </c>
      <c r="M43">
        <f>Tabel24256789101112131415171618192120222326141516[[#This Row],[Stand Latte Macchiato einde maand]]-Tabel24256789101112131415171618192120222326141516[[#This Row],[Latte Macchiato vorige maand]]</f>
        <v>38</v>
      </c>
      <c r="N43" s="53">
        <v>1264</v>
      </c>
      <c r="O43">
        <f>april2025!N43</f>
        <v>1248</v>
      </c>
      <c r="P43">
        <f>Tabel24256789101112131415171618192120222326141516[[#This Row],[Stand Coffee Latte einde maand]]-Tabel24256789101112131415171618192120222326141516[[#This Row],[Coffee Latte vorige maand]]</f>
        <v>16</v>
      </c>
      <c r="Q43" s="53">
        <v>1611</v>
      </c>
      <c r="R43">
        <f>april2025!Q43</f>
        <v>1583</v>
      </c>
      <c r="S43">
        <f>Tabel24256789101112131415171618192120222326141516[[#This Row],[Stand Hot Water einde maand]]-Tabel24256789101112131415171618192120222326141516[[#This Row],[Hot Water vorige maand]]</f>
        <v>28</v>
      </c>
      <c r="T43" s="53">
        <v>4774</v>
      </c>
      <c r="U43">
        <f>april2025!T43</f>
        <v>4633</v>
      </c>
      <c r="V43">
        <f>Tabel24256789101112131415171618192120222326141516[[#This Row],[Stand Cappucino einde maand]]-Tabel24256789101112131415171618192120222326141516[[#This Row],[Stand Cappucino vorige maand]]</f>
        <v>141</v>
      </c>
      <c r="W43" s="53">
        <v>3489</v>
      </c>
      <c r="X43">
        <f>april2025!W43</f>
        <v>3421</v>
      </c>
      <c r="Y43">
        <f>Tabel24256789101112131415171618192120222326141516[[#This Row],[Stand Cappucino Plantaardig einde maand]]-Tabel24256789101112131415171618192120222326141516[[#This Row],[Stand Cappucino Plantaardig vorige maand]]</f>
        <v>68</v>
      </c>
      <c r="Z43" s="53">
        <v>405</v>
      </c>
      <c r="AA43">
        <f>april2025!Z43</f>
        <v>392</v>
      </c>
      <c r="AB43">
        <f>Tabel24256789101112131415171618192120222326141516[[#This Row],[Stand Latte Macchiato Plantaardig einde maand]]-Tabel24256789101112131415171618192120222326141516[[#This Row],[Stand Latte Macchiato Plantaardig vorige maand]]</f>
        <v>13</v>
      </c>
      <c r="AC43" s="71">
        <f>Tabel24256789101112131415171618192120222326141516[[#This Row],[Verbruik Stand Latte Macchiato Plantaardig deze maand]]+Tabel24256789101112131415171618192120222326141516[[#This Row],[Verbruik  Cappucino Plantaardig deze maand]]+Tabel24256789101112131415171618192120222326141516[[#This Row],[Verbruik Cappucino deze maand]]+Tabel24256789101112131415171618192120222326141516[[#This Row],[Verbruik Hot Water deze maand]]+Tabel24256789101112131415171618192120222326141516[[#This Row],[Verbruik Coffee Latte deze maand]]+Tabel24256789101112131415171618192120222326141516[[#This Row],[Verbruik Latte Macchiato deze maand]]+Tabel24256789101112131415171618192120222326141516[[#This Row],[Verbruik Espresso deze maand]]+Tabel24256789101112131415171618192120222326141516[[#This Row],[Verbruik Coffee deze maand]]</f>
        <v>926</v>
      </c>
      <c r="AD43" s="53">
        <v>251.5</v>
      </c>
      <c r="AE43">
        <f>april2025!AD43</f>
        <v>220.3</v>
      </c>
      <c r="AF43">
        <f>Tabel24256789101112131415171618192120222326141516[[#This Row],[Stand Kamertemp liter einde maand]]-Tabel24256789101112131415171618192120222326141516[[#This Row],[Stand Kamertemp liter vorige maand]]</f>
        <v>31.199999999999989</v>
      </c>
      <c r="AG43" s="2">
        <f>Tabel24256789101112131415171618192120222326141516[[#This Row],[Verbruik Kamertemp liter deze maand]]/0.15</f>
        <v>207.99999999999994</v>
      </c>
      <c r="AH43" s="53">
        <v>1621.9</v>
      </c>
      <c r="AI43">
        <f>april2025!AH43</f>
        <v>1470.7</v>
      </c>
      <c r="AJ43">
        <f>Tabel24256789101112131415171618192120222326141516[[#This Row],[Stand Gekoeld liter einde maand]]-Tabel24256789101112131415171618192120222326141516[[#This Row],[Stand Gekoeld liter vorige maand]]</f>
        <v>151.20000000000005</v>
      </c>
      <c r="AK43" s="2">
        <f>Tabel24256789101112131415171618192120222326141516[[#This Row],[Verbruik Gekoeld liter deze maand]]/0.15</f>
        <v>1008.0000000000003</v>
      </c>
      <c r="AL43" s="53">
        <v>1122.5999999999999</v>
      </c>
      <c r="AM43">
        <f>april2025!AL43</f>
        <v>1020.6</v>
      </c>
      <c r="AN43">
        <f>Tabel24256789101112131415171618192120222326141516[[#This Row],[Stand Bruisend liter einde maand]]-Tabel24256789101112131415171618192120222326141516[[#This Row],[Stand Bruisend liter vorige maand]]</f>
        <v>101.99999999999989</v>
      </c>
      <c r="AO43" s="2">
        <f>Tabel24256789101112131415171618192120222326141516[[#This Row],[Verbruik Bruisend liter deze maand]]/0.15</f>
        <v>679.99999999999932</v>
      </c>
      <c r="AP43" s="53">
        <v>426.9</v>
      </c>
      <c r="AQ43">
        <f>april2025!AP43</f>
        <v>395.5</v>
      </c>
      <c r="AR43">
        <f>Tabel24256789101112131415171618192120222326141516[[#This Row],[Stand licht bruisend liter einde maand]]-Tabel24256789101112131415171618192120222326141516[[#This Row],[Stand licht bruisend liter vorige maand]]</f>
        <v>31.399999999999977</v>
      </c>
      <c r="AS43" s="2">
        <f>Tabel24256789101112131415171618192120222326141516[[#This Row],[Verbruik licht bruisend liter deze maand]]/0.15</f>
        <v>209.3333333333332</v>
      </c>
      <c r="AT43" s="53">
        <v>4525.3</v>
      </c>
      <c r="AU43">
        <f>april2025!AT43</f>
        <v>4092.5</v>
      </c>
      <c r="AV43">
        <f>Tabel24256789101112131415171618192120222326141516[[#This Row],[Stand heet water liter einde maand]]-Tabel24256789101112131415171618192120222326141516[[#This Row],[Stand heet water liter vorige maand]]</f>
        <v>432.80000000000018</v>
      </c>
      <c r="AW43" s="2">
        <f>Tabel24256789101112131415171618192120222326141516[[#This Row],[Verbruik heet Water liter deze maand ]]/0.15</f>
        <v>2885.3333333333348</v>
      </c>
      <c r="AX43" s="77">
        <f>Tabel24256789101112131415171618192120222326141516[[#This Row],[Aantal consumpties heet water deze maand]]+Tabel24256789101112131415171618192120222326141516[[#This Row],[Aantal consumpties licht bruisend water deze maand]]+Tabel24256789101112131415171618192120222326141516[[#This Row],[aantal consumpties Bruisend water deze maand]]+Tabel24256789101112131415171618192120222326141516[[#This Row],[Aantal consumpties gekoeld water deze maand]]+Tabel24256789101112131415171618192120222326141516[[#This Row],[Aantal consumpties Kamertemp deze maand]]</f>
        <v>4990.666666666667</v>
      </c>
      <c r="AY43" s="95">
        <f>Tabel24256789101112131415171618192120222326141516[[#This Row],[Subtotaal waterbar in consumpties]]+Tabel24256789101112131415171618192120222326141516[[#This Row],[Subtotaal koffieautomaten]]</f>
        <v>5916.666666666667</v>
      </c>
    </row>
    <row r="44" spans="1:130" ht="14.45" customHeight="1" x14ac:dyDescent="0.25">
      <c r="A44" s="65" t="s">
        <v>45</v>
      </c>
      <c r="B44" t="s">
        <v>92</v>
      </c>
      <c r="C44" t="s">
        <v>36</v>
      </c>
      <c r="E44" s="46"/>
      <c r="F44" s="46"/>
      <c r="G44" s="47"/>
      <c r="H44" s="54"/>
      <c r="I44" s="46"/>
      <c r="J44" s="47"/>
      <c r="K44" s="54"/>
      <c r="L44" s="46"/>
      <c r="M44" s="47"/>
      <c r="N44" s="54"/>
      <c r="O44" s="46"/>
      <c r="P44" s="47"/>
      <c r="Q44" s="54"/>
      <c r="R44" s="46"/>
      <c r="S44" s="47"/>
      <c r="T44" s="54"/>
      <c r="U44" s="46"/>
      <c r="V44" s="47"/>
      <c r="W44" s="54"/>
      <c r="X44" s="46"/>
      <c r="Y44" s="47"/>
      <c r="Z44" s="54"/>
      <c r="AA44" s="46"/>
      <c r="AB44" s="47"/>
      <c r="AC44" s="72"/>
      <c r="AD44" s="53">
        <v>202.2</v>
      </c>
      <c r="AE44">
        <f>april2025!AD44</f>
        <v>175.3</v>
      </c>
      <c r="AF44">
        <f>Tabel24256789101112131415171618192120222326141516[[#This Row],[Stand Kamertemp liter einde maand]]-Tabel24256789101112131415171618192120222326141516[[#This Row],[Stand Kamertemp liter vorige maand]]</f>
        <v>26.899999999999977</v>
      </c>
      <c r="AG44" s="2">
        <f>Tabel24256789101112131415171618192120222326141516[[#This Row],[Verbruik Kamertemp liter deze maand]]/0.15</f>
        <v>179.3333333333332</v>
      </c>
      <c r="AH44" s="53">
        <v>557.1</v>
      </c>
      <c r="AI44">
        <f>april2025!AH44</f>
        <v>492.6</v>
      </c>
      <c r="AJ44">
        <f>Tabel24256789101112131415171618192120222326141516[[#This Row],[Stand Gekoeld liter einde maand]]-Tabel24256789101112131415171618192120222326141516[[#This Row],[Stand Gekoeld liter vorige maand]]</f>
        <v>64.5</v>
      </c>
      <c r="AK44" s="2">
        <f>Tabel24256789101112131415171618192120222326141516[[#This Row],[Verbruik Gekoeld liter deze maand]]/0.15</f>
        <v>430</v>
      </c>
      <c r="AL44" s="53">
        <v>628.4</v>
      </c>
      <c r="AM44">
        <f>april2025!AL44</f>
        <v>539.70000000000005</v>
      </c>
      <c r="AN44">
        <f>Tabel24256789101112131415171618192120222326141516[[#This Row],[Stand Bruisend liter einde maand]]-Tabel24256789101112131415171618192120222326141516[[#This Row],[Stand Bruisend liter vorige maand]]</f>
        <v>88.699999999999932</v>
      </c>
      <c r="AO44" s="2">
        <f>Tabel24256789101112131415171618192120222326141516[[#This Row],[Verbruik Bruisend liter deze maand]]/0.15</f>
        <v>591.33333333333292</v>
      </c>
      <c r="AP44" s="53">
        <v>183.9</v>
      </c>
      <c r="AQ44">
        <f>april2025!AP44</f>
        <v>144.80000000000001</v>
      </c>
      <c r="AR44">
        <f>Tabel24256789101112131415171618192120222326141516[[#This Row],[Stand licht bruisend liter einde maand]]-Tabel24256789101112131415171618192120222326141516[[#This Row],[Stand licht bruisend liter vorige maand]]</f>
        <v>39.099999999999994</v>
      </c>
      <c r="AS44" s="2">
        <f>Tabel24256789101112131415171618192120222326141516[[#This Row],[Verbruik licht bruisend liter deze maand]]/0.15</f>
        <v>260.66666666666663</v>
      </c>
      <c r="AT44" s="53">
        <v>2080.1</v>
      </c>
      <c r="AU44">
        <f>april2025!AT44</f>
        <v>1840.4</v>
      </c>
      <c r="AV44">
        <f>Tabel24256789101112131415171618192120222326141516[[#This Row],[Stand heet water liter einde maand]]-Tabel24256789101112131415171618192120222326141516[[#This Row],[Stand heet water liter vorige maand]]</f>
        <v>239.69999999999982</v>
      </c>
      <c r="AW44" s="2">
        <f>Tabel24256789101112131415171618192120222326141516[[#This Row],[Verbruik heet Water liter deze maand ]]/0.15</f>
        <v>1597.9999999999989</v>
      </c>
      <c r="AX44" s="77">
        <f>Tabel24256789101112131415171618192120222326141516[[#This Row],[Aantal consumpties heet water deze maand]]+Tabel24256789101112131415171618192120222326141516[[#This Row],[Aantal consumpties licht bruisend water deze maand]]+Tabel24256789101112131415171618192120222326141516[[#This Row],[aantal consumpties Bruisend water deze maand]]+Tabel24256789101112131415171618192120222326141516[[#This Row],[Aantal consumpties gekoeld water deze maand]]+Tabel24256789101112131415171618192120222326141516[[#This Row],[Aantal consumpties Kamertemp deze maand]]</f>
        <v>3059.3333333333317</v>
      </c>
      <c r="AY44" s="95">
        <f>Tabel24256789101112131415171618192120222326141516[[#This Row],[Subtotaal waterbar in consumpties]]+Tabel24256789101112131415171618192120222326141516[[#This Row],[Subtotaal koffieautomaten]]</f>
        <v>3059.3333333333317</v>
      </c>
    </row>
    <row r="45" spans="1:130" ht="14.45" customHeight="1" x14ac:dyDescent="0.25">
      <c r="A45" s="65" t="s">
        <v>48</v>
      </c>
      <c r="B45" t="s">
        <v>158</v>
      </c>
      <c r="C45" t="s">
        <v>31</v>
      </c>
      <c r="E45">
        <v>26724</v>
      </c>
      <c r="F45">
        <f>april2025!E45</f>
        <v>25683</v>
      </c>
      <c r="G45">
        <f>Tabel24256789101112131415171618192120222326141516[[#This Row],[Stand Coffee einde maand]]-Tabel24256789101112131415171618192120222326141516[[#This Row],[Coffee vorige maand]]</f>
        <v>1041</v>
      </c>
      <c r="H45" s="53">
        <v>6910</v>
      </c>
      <c r="I45">
        <f>april2025!H45</f>
        <v>6583</v>
      </c>
      <c r="J45">
        <f>Tabel24256789101112131415171618192120222326141516[[#This Row],[Stand Espresso Einde maand]]-Tabel24256789101112131415171618192120222326141516[[#This Row],[Espresso vorige maand]]</f>
        <v>327</v>
      </c>
      <c r="K45" s="53">
        <v>2678</v>
      </c>
      <c r="L45">
        <f>april2025!K45</f>
        <v>2576</v>
      </c>
      <c r="M45">
        <f>Tabel24256789101112131415171618192120222326141516[[#This Row],[Stand Latte Macchiato einde maand]]-Tabel24256789101112131415171618192120222326141516[[#This Row],[Latte Macchiato vorige maand]]</f>
        <v>102</v>
      </c>
      <c r="N45" s="53">
        <v>582</v>
      </c>
      <c r="O45">
        <f>april2025!N45</f>
        <v>565</v>
      </c>
      <c r="P45">
        <f>Tabel24256789101112131415171618192120222326141516[[#This Row],[Stand Coffee Latte einde maand]]-Tabel24256789101112131415171618192120222326141516[[#This Row],[Coffee Latte vorige maand]]</f>
        <v>17</v>
      </c>
      <c r="Q45" s="53">
        <v>25732</v>
      </c>
      <c r="R45">
        <f>april2025!Q45</f>
        <v>24854</v>
      </c>
      <c r="S45">
        <f>Tabel24256789101112131415171618192120222326141516[[#This Row],[Stand Hot Water einde maand]]-Tabel24256789101112131415171618192120222326141516[[#This Row],[Hot Water vorige maand]]</f>
        <v>878</v>
      </c>
      <c r="T45" s="53">
        <v>9799</v>
      </c>
      <c r="U45">
        <f>april2025!T45</f>
        <v>9409</v>
      </c>
      <c r="V45">
        <f>Tabel24256789101112131415171618192120222326141516[[#This Row],[Stand Cappucino einde maand]]-Tabel24256789101112131415171618192120222326141516[[#This Row],[Stand Cappucino vorige maand]]</f>
        <v>390</v>
      </c>
      <c r="W45" s="53">
        <v>1594</v>
      </c>
      <c r="X45">
        <f>april2025!W45</f>
        <v>1561</v>
      </c>
      <c r="Y45">
        <f>Tabel24256789101112131415171618192120222326141516[[#This Row],[Stand Cappucino Plantaardig einde maand]]-Tabel24256789101112131415171618192120222326141516[[#This Row],[Stand Cappucino Plantaardig vorige maand]]</f>
        <v>33</v>
      </c>
      <c r="Z45" s="53">
        <v>1213</v>
      </c>
      <c r="AA45">
        <f>april2025!Z45</f>
        <v>1174</v>
      </c>
      <c r="AB45">
        <f>Tabel24256789101112131415171618192120222326141516[[#This Row],[Stand Latte Macchiato Plantaardig einde maand]]-Tabel24256789101112131415171618192120222326141516[[#This Row],[Stand Latte Macchiato Plantaardig vorige maand]]</f>
        <v>39</v>
      </c>
      <c r="AC45" s="71">
        <f>Tabel24256789101112131415171618192120222326141516[[#This Row],[Verbruik Stand Latte Macchiato Plantaardig deze maand]]+Tabel24256789101112131415171618192120222326141516[[#This Row],[Verbruik  Cappucino Plantaardig deze maand]]+Tabel24256789101112131415171618192120222326141516[[#This Row],[Verbruik Cappucino deze maand]]+Tabel24256789101112131415171618192120222326141516[[#This Row],[Verbruik Hot Water deze maand]]+Tabel24256789101112131415171618192120222326141516[[#This Row],[Verbruik Coffee Latte deze maand]]+Tabel24256789101112131415171618192120222326141516[[#This Row],[Verbruik Latte Macchiato deze maand]]+Tabel24256789101112131415171618192120222326141516[[#This Row],[Verbruik Espresso deze maand]]+Tabel24256789101112131415171618192120222326141516[[#This Row],[Verbruik Coffee deze maand]]</f>
        <v>2827</v>
      </c>
      <c r="AD45" s="69"/>
      <c r="AE45" s="41"/>
      <c r="AF45" s="5"/>
      <c r="AG45" s="5"/>
      <c r="AH45" s="75"/>
      <c r="AI45" s="41"/>
      <c r="AJ45" s="5"/>
      <c r="AK45" s="5"/>
      <c r="AL45" s="75"/>
      <c r="AM45" s="41"/>
      <c r="AN45" s="5"/>
      <c r="AO45" s="5"/>
      <c r="AP45" s="75"/>
      <c r="AQ45" s="41"/>
      <c r="AR45" s="5"/>
      <c r="AS45" s="5"/>
      <c r="AT45" s="75"/>
      <c r="AU45" s="41"/>
      <c r="AV45" s="5"/>
      <c r="AW45" s="5"/>
      <c r="AX45" s="79"/>
      <c r="AY45" s="95">
        <f>Tabel24256789101112131415171618192120222326141516[[#This Row],[Subtotaal waterbar in consumpties]]+Tabel24256789101112131415171618192120222326141516[[#This Row],[Subtotaal koffieautomaten]]</f>
        <v>2827</v>
      </c>
    </row>
    <row r="46" spans="1:130" ht="14.45" customHeight="1" x14ac:dyDescent="0.25">
      <c r="A46" s="65" t="s">
        <v>50</v>
      </c>
      <c r="B46" t="s">
        <v>93</v>
      </c>
      <c r="C46" t="s">
        <v>36</v>
      </c>
      <c r="E46" s="46"/>
      <c r="F46" s="46"/>
      <c r="G46" s="47"/>
      <c r="H46" s="54"/>
      <c r="I46" s="46"/>
      <c r="J46" s="47"/>
      <c r="K46" s="54"/>
      <c r="L46" s="46"/>
      <c r="M46" s="47"/>
      <c r="N46" s="54"/>
      <c r="O46" s="46"/>
      <c r="P46" s="47"/>
      <c r="Q46" s="54"/>
      <c r="R46" s="46"/>
      <c r="S46" s="47"/>
      <c r="T46" s="54"/>
      <c r="U46" s="46"/>
      <c r="V46" s="47"/>
      <c r="W46" s="54"/>
      <c r="X46" s="46"/>
      <c r="Y46" s="47"/>
      <c r="Z46" s="54"/>
      <c r="AA46" s="46"/>
      <c r="AB46" s="47"/>
      <c r="AC46" s="72"/>
      <c r="AD46" s="53">
        <v>78</v>
      </c>
      <c r="AE46">
        <f>april2025!AD46</f>
        <v>69.5</v>
      </c>
      <c r="AF46">
        <f>Tabel24256789101112131415171618192120222326141516[[#This Row],[Stand Kamertemp liter einde maand]]-Tabel24256789101112131415171618192120222326141516[[#This Row],[Stand Kamertemp liter vorige maand]]</f>
        <v>8.5</v>
      </c>
      <c r="AG46" s="2">
        <f>Tabel24256789101112131415171618192120222326141516[[#This Row],[Verbruik Kamertemp liter deze maand]]/0.15</f>
        <v>56.666666666666671</v>
      </c>
      <c r="AH46" s="53">
        <v>585.20000000000005</v>
      </c>
      <c r="AI46">
        <f>april2025!AH46</f>
        <v>449.7</v>
      </c>
      <c r="AJ46">
        <f>Tabel24256789101112131415171618192120222326141516[[#This Row],[Stand Gekoeld liter einde maand]]-Tabel24256789101112131415171618192120222326141516[[#This Row],[Stand Gekoeld liter vorige maand]]</f>
        <v>135.50000000000006</v>
      </c>
      <c r="AK46" s="2">
        <f>Tabel24256789101112131415171618192120222326141516[[#This Row],[Verbruik Gekoeld liter deze maand]]/0.15</f>
        <v>903.33333333333371</v>
      </c>
      <c r="AL46" s="53">
        <v>308.10000000000002</v>
      </c>
      <c r="AM46">
        <f>april2025!AL46</f>
        <v>270.3</v>
      </c>
      <c r="AN46">
        <f>Tabel24256789101112131415171618192120222326141516[[#This Row],[Stand Bruisend liter einde maand]]-Tabel24256789101112131415171618192120222326141516[[#This Row],[Stand Bruisend liter vorige maand]]</f>
        <v>37.800000000000011</v>
      </c>
      <c r="AO46" s="2">
        <f>Tabel24256789101112131415171618192120222326141516[[#This Row],[Verbruik Bruisend liter deze maand]]/0.15</f>
        <v>252.00000000000009</v>
      </c>
      <c r="AP46" s="53">
        <v>124.6</v>
      </c>
      <c r="AQ46">
        <f>april2025!AP46</f>
        <v>106.8</v>
      </c>
      <c r="AR46">
        <f>Tabel24256789101112131415171618192120222326141516[[#This Row],[Stand licht bruisend liter einde maand]]-Tabel24256789101112131415171618192120222326141516[[#This Row],[Stand licht bruisend liter vorige maand]]</f>
        <v>17.799999999999997</v>
      </c>
      <c r="AS46" s="2">
        <f>Tabel24256789101112131415171618192120222326141516[[#This Row],[Verbruik licht bruisend liter deze maand]]/0.15</f>
        <v>118.66666666666666</v>
      </c>
      <c r="AT46" s="53">
        <v>1307.5999999999999</v>
      </c>
      <c r="AU46">
        <f>april2025!AT46</f>
        <v>1215.7</v>
      </c>
      <c r="AV46">
        <f>Tabel24256789101112131415171618192120222326141516[[#This Row],[Stand heet water liter einde maand]]-Tabel24256789101112131415171618192120222326141516[[#This Row],[Stand heet water liter vorige maand]]</f>
        <v>91.899999999999864</v>
      </c>
      <c r="AW46" s="2">
        <f>Tabel24256789101112131415171618192120222326141516[[#This Row],[Verbruik heet Water liter deze maand ]]/0.15</f>
        <v>612.66666666666583</v>
      </c>
      <c r="AX46" s="77">
        <f>Tabel24256789101112131415171618192120222326141516[[#This Row],[Aantal consumpties heet water deze maand]]+Tabel24256789101112131415171618192120222326141516[[#This Row],[Aantal consumpties licht bruisend water deze maand]]+Tabel24256789101112131415171618192120222326141516[[#This Row],[aantal consumpties Bruisend water deze maand]]+Tabel24256789101112131415171618192120222326141516[[#This Row],[Aantal consumpties gekoeld water deze maand]]+Tabel24256789101112131415171618192120222326141516[[#This Row],[Aantal consumpties Kamertemp deze maand]]</f>
        <v>1943.333333333333</v>
      </c>
      <c r="AY46" s="95">
        <f>Tabel24256789101112131415171618192120222326141516[[#This Row],[Subtotaal waterbar in consumpties]]+Tabel24256789101112131415171618192120222326141516[[#This Row],[Subtotaal koffieautomaten]]</f>
        <v>1943.333333333333</v>
      </c>
    </row>
    <row r="47" spans="1:130" ht="14.45" customHeight="1" x14ac:dyDescent="0.25">
      <c r="A47" s="67">
        <v>10</v>
      </c>
      <c r="B47" t="s">
        <v>94</v>
      </c>
      <c r="C47" t="s">
        <v>31</v>
      </c>
      <c r="E47">
        <v>9765</v>
      </c>
      <c r="F47">
        <f>april2025!E47</f>
        <v>9410</v>
      </c>
      <c r="G47">
        <f>Tabel24256789101112131415171618192120222326141516[[#This Row],[Stand Coffee einde maand]]-Tabel24256789101112131415171618192120222326141516[[#This Row],[Coffee vorige maand]]</f>
        <v>355</v>
      </c>
      <c r="H47" s="53">
        <v>7812</v>
      </c>
      <c r="I47">
        <f>april2025!H47</f>
        <v>7467</v>
      </c>
      <c r="J47">
        <f>Tabel24256789101112131415171618192120222326141516[[#This Row],[Stand Espresso Einde maand]]-Tabel24256789101112131415171618192120222326141516[[#This Row],[Espresso vorige maand]]</f>
        <v>345</v>
      </c>
      <c r="K47" s="53">
        <v>1270</v>
      </c>
      <c r="L47">
        <f>april2025!K47</f>
        <v>1223</v>
      </c>
      <c r="M47">
        <f>Tabel24256789101112131415171618192120222326141516[[#This Row],[Stand Latte Macchiato einde maand]]-Tabel24256789101112131415171618192120222326141516[[#This Row],[Latte Macchiato vorige maand]]</f>
        <v>47</v>
      </c>
      <c r="N47" s="53">
        <v>914</v>
      </c>
      <c r="O47">
        <f>april2025!N47</f>
        <v>898</v>
      </c>
      <c r="P47">
        <f>Tabel24256789101112131415171618192120222326141516[[#This Row],[Stand Coffee Latte einde maand]]-Tabel24256789101112131415171618192120222326141516[[#This Row],[Coffee Latte vorige maand]]</f>
        <v>16</v>
      </c>
      <c r="Q47" s="53">
        <v>19901</v>
      </c>
      <c r="R47">
        <f>april2025!Q47</f>
        <v>19238</v>
      </c>
      <c r="S47">
        <f>Tabel24256789101112131415171618192120222326141516[[#This Row],[Stand Hot Water einde maand]]-Tabel24256789101112131415171618192120222326141516[[#This Row],[Hot Water vorige maand]]</f>
        <v>663</v>
      </c>
      <c r="T47" s="53">
        <v>7659</v>
      </c>
      <c r="U47">
        <f>april2025!T47</f>
        <v>7479</v>
      </c>
      <c r="V47">
        <f>Tabel24256789101112131415171618192120222326141516[[#This Row],[Stand Cappucino einde maand]]-Tabel24256789101112131415171618192120222326141516[[#This Row],[Stand Cappucino vorige maand]]</f>
        <v>180</v>
      </c>
      <c r="W47" s="53">
        <v>1057</v>
      </c>
      <c r="X47">
        <f>april2025!W47</f>
        <v>1026</v>
      </c>
      <c r="Y47">
        <f>Tabel24256789101112131415171618192120222326141516[[#This Row],[Stand Cappucino Plantaardig einde maand]]-Tabel24256789101112131415171618192120222326141516[[#This Row],[Stand Cappucino Plantaardig vorige maand]]</f>
        <v>31</v>
      </c>
      <c r="Z47" s="53">
        <v>201</v>
      </c>
      <c r="AA47">
        <f>april2025!Z47</f>
        <v>195</v>
      </c>
      <c r="AB47">
        <f>Tabel24256789101112131415171618192120222326141516[[#This Row],[Stand Latte Macchiato Plantaardig einde maand]]-Tabel24256789101112131415171618192120222326141516[[#This Row],[Stand Latte Macchiato Plantaardig vorige maand]]</f>
        <v>6</v>
      </c>
      <c r="AC47" s="71">
        <f>Tabel24256789101112131415171618192120222326141516[[#This Row],[Verbruik Stand Latte Macchiato Plantaardig deze maand]]+Tabel24256789101112131415171618192120222326141516[[#This Row],[Verbruik  Cappucino Plantaardig deze maand]]+Tabel24256789101112131415171618192120222326141516[[#This Row],[Verbruik Cappucino deze maand]]+Tabel24256789101112131415171618192120222326141516[[#This Row],[Verbruik Hot Water deze maand]]+Tabel24256789101112131415171618192120222326141516[[#This Row],[Verbruik Coffee Latte deze maand]]+Tabel24256789101112131415171618192120222326141516[[#This Row],[Verbruik Latte Macchiato deze maand]]+Tabel24256789101112131415171618192120222326141516[[#This Row],[Verbruik Espresso deze maand]]+Tabel24256789101112131415171618192120222326141516[[#This Row],[Verbruik Coffee deze maand]]</f>
        <v>1643</v>
      </c>
      <c r="AD47" s="69"/>
      <c r="AE47" s="41"/>
      <c r="AF47" s="5"/>
      <c r="AG47" s="5"/>
      <c r="AH47" s="75"/>
      <c r="AI47" s="41"/>
      <c r="AJ47" s="5"/>
      <c r="AK47" s="5"/>
      <c r="AL47" s="75"/>
      <c r="AM47" s="41"/>
      <c r="AN47" s="5"/>
      <c r="AO47" s="5"/>
      <c r="AP47" s="75"/>
      <c r="AQ47" s="41"/>
      <c r="AR47" s="5"/>
      <c r="AS47" s="5"/>
      <c r="AT47" s="75"/>
      <c r="AU47" s="41"/>
      <c r="AV47" s="5"/>
      <c r="AW47" s="5"/>
      <c r="AX47" s="79"/>
      <c r="AY47" s="95">
        <f>Tabel24256789101112131415171618192120222326141516[[#This Row],[Subtotaal waterbar in consumpties]]+Tabel24256789101112131415171618192120222326141516[[#This Row],[Subtotaal koffieautomaten]]</f>
        <v>1643</v>
      </c>
    </row>
    <row r="48" spans="1:130" ht="14.45" customHeight="1" x14ac:dyDescent="0.25">
      <c r="A48" s="65" t="s">
        <v>54</v>
      </c>
      <c r="B48" t="s">
        <v>95</v>
      </c>
      <c r="C48" t="s">
        <v>47</v>
      </c>
      <c r="E48">
        <v>11951</v>
      </c>
      <c r="F48">
        <f>april2025!E48</f>
        <v>11607</v>
      </c>
      <c r="G48">
        <f>Tabel24256789101112131415171618192120222326141516[[#This Row],[Stand Coffee einde maand]]-Tabel24256789101112131415171618192120222326141516[[#This Row],[Coffee vorige maand]]</f>
        <v>344</v>
      </c>
      <c r="H48" s="53">
        <v>3693</v>
      </c>
      <c r="I48">
        <f>april2025!H48</f>
        <v>3577</v>
      </c>
      <c r="J48">
        <f>Tabel24256789101112131415171618192120222326141516[[#This Row],[Stand Espresso Einde maand]]-Tabel24256789101112131415171618192120222326141516[[#This Row],[Espresso vorige maand]]</f>
        <v>116</v>
      </c>
      <c r="K48" s="53">
        <v>1153</v>
      </c>
      <c r="L48">
        <f>april2025!K48</f>
        <v>1105</v>
      </c>
      <c r="M48">
        <f>Tabel24256789101112131415171618192120222326141516[[#This Row],[Stand Latte Macchiato einde maand]]-Tabel24256789101112131415171618192120222326141516[[#This Row],[Latte Macchiato vorige maand]]</f>
        <v>48</v>
      </c>
      <c r="N48" s="53">
        <v>601</v>
      </c>
      <c r="O48">
        <f>april2025!N48</f>
        <v>575</v>
      </c>
      <c r="P48">
        <f>Tabel24256789101112131415171618192120222326141516[[#This Row],[Stand Coffee Latte einde maand]]-Tabel24256789101112131415171618192120222326141516[[#This Row],[Coffee Latte vorige maand]]</f>
        <v>26</v>
      </c>
      <c r="Q48" s="53">
        <v>0</v>
      </c>
      <c r="R48">
        <f>april2025!Q48</f>
        <v>0</v>
      </c>
      <c r="S48">
        <v>0</v>
      </c>
      <c r="T48" s="53">
        <v>5525</v>
      </c>
      <c r="U48">
        <f>april2025!T48</f>
        <v>5346</v>
      </c>
      <c r="V48">
        <f>Tabel24256789101112131415171618192120222326141516[[#This Row],[Stand Cappucino einde maand]]-Tabel24256789101112131415171618192120222326141516[[#This Row],[Stand Cappucino vorige maand]]</f>
        <v>179</v>
      </c>
      <c r="W48" s="53">
        <v>1309</v>
      </c>
      <c r="X48">
        <f>april2025!W48</f>
        <v>1279</v>
      </c>
      <c r="Y48">
        <f>Tabel24256789101112131415171618192120222326141516[[#This Row],[Stand Cappucino Plantaardig einde maand]]-Tabel24256789101112131415171618192120222326141516[[#This Row],[Stand Cappucino Plantaardig vorige maand]]</f>
        <v>30</v>
      </c>
      <c r="Z48" s="53">
        <v>761</v>
      </c>
      <c r="AA48">
        <f>april2025!Z48</f>
        <v>738</v>
      </c>
      <c r="AB48">
        <f>Tabel24256789101112131415171618192120222326141516[[#This Row],[Stand Latte Macchiato Plantaardig einde maand]]-Tabel24256789101112131415171618192120222326141516[[#This Row],[Stand Latte Macchiato Plantaardig vorige maand]]</f>
        <v>23</v>
      </c>
      <c r="AC48" s="71">
        <f>Tabel24256789101112131415171618192120222326141516[[#This Row],[Verbruik Stand Latte Macchiato Plantaardig deze maand]]+Tabel24256789101112131415171618192120222326141516[[#This Row],[Verbruik  Cappucino Plantaardig deze maand]]+Tabel24256789101112131415171618192120222326141516[[#This Row],[Verbruik Cappucino deze maand]]+Tabel24256789101112131415171618192120222326141516[[#This Row],[Verbruik Hot Water deze maand]]+Tabel24256789101112131415171618192120222326141516[[#This Row],[Verbruik Coffee Latte deze maand]]+Tabel24256789101112131415171618192120222326141516[[#This Row],[Verbruik Latte Macchiato deze maand]]+Tabel24256789101112131415171618192120222326141516[[#This Row],[Verbruik Espresso deze maand]]+Tabel24256789101112131415171618192120222326141516[[#This Row],[Verbruik Coffee deze maand]]</f>
        <v>766</v>
      </c>
      <c r="AD48" s="53">
        <v>163.4</v>
      </c>
      <c r="AE48">
        <f>april2025!AD48</f>
        <v>144.4</v>
      </c>
      <c r="AF48">
        <f>Tabel24256789101112131415171618192120222326141516[[#This Row],[Stand Kamertemp liter einde maand]]-Tabel24256789101112131415171618192120222326141516[[#This Row],[Stand Kamertemp liter vorige maand]]</f>
        <v>19</v>
      </c>
      <c r="AG48" s="2">
        <f>Tabel24256789101112131415171618192120222326141516[[#This Row],[Verbruik Kamertemp liter deze maand]]/0.15</f>
        <v>126.66666666666667</v>
      </c>
      <c r="AH48" s="53">
        <v>1349.5</v>
      </c>
      <c r="AI48">
        <f>april2025!AH48</f>
        <v>1225.5</v>
      </c>
      <c r="AJ48">
        <f>Tabel24256789101112131415171618192120222326141516[[#This Row],[Stand Gekoeld liter einde maand]]-Tabel24256789101112131415171618192120222326141516[[#This Row],[Stand Gekoeld liter vorige maand]]</f>
        <v>124</v>
      </c>
      <c r="AK48" s="2">
        <f>Tabel24256789101112131415171618192120222326141516[[#This Row],[Verbruik Gekoeld liter deze maand]]/0.15</f>
        <v>826.66666666666674</v>
      </c>
      <c r="AL48" s="53">
        <v>668.1</v>
      </c>
      <c r="AM48">
        <f>april2025!AL48</f>
        <v>597.9</v>
      </c>
      <c r="AN48">
        <f>Tabel24256789101112131415171618192120222326141516[[#This Row],[Stand Bruisend liter einde maand]]-Tabel24256789101112131415171618192120222326141516[[#This Row],[Stand Bruisend liter vorige maand]]</f>
        <v>70.200000000000045</v>
      </c>
      <c r="AO48" s="2">
        <f>Tabel24256789101112131415171618192120222326141516[[#This Row],[Verbruik Bruisend liter deze maand]]/0.15</f>
        <v>468.00000000000034</v>
      </c>
      <c r="AP48" s="53">
        <v>262.89999999999998</v>
      </c>
      <c r="AQ48">
        <f>april2025!AP48</f>
        <v>237.4</v>
      </c>
      <c r="AR48">
        <f>Tabel24256789101112131415171618192120222326141516[[#This Row],[Stand licht bruisend liter einde maand]]-Tabel24256789101112131415171618192120222326141516[[#This Row],[Stand licht bruisend liter vorige maand]]</f>
        <v>25.499999999999972</v>
      </c>
      <c r="AS48" s="2">
        <f>Tabel24256789101112131415171618192120222326141516[[#This Row],[Verbruik licht bruisend liter deze maand]]/0.15</f>
        <v>169.99999999999983</v>
      </c>
      <c r="AT48" s="53">
        <v>2562.8000000000002</v>
      </c>
      <c r="AU48">
        <f>april2025!AT48</f>
        <v>2327.1</v>
      </c>
      <c r="AV48">
        <f>Tabel24256789101112131415171618192120222326141516[[#This Row],[Stand heet water liter einde maand]]-Tabel24256789101112131415171618192120222326141516[[#This Row],[Stand heet water liter vorige maand]]</f>
        <v>235.70000000000027</v>
      </c>
      <c r="AW48" s="2">
        <f>Tabel24256789101112131415171618192120222326141516[[#This Row],[Verbruik heet Water liter deze maand ]]/0.15</f>
        <v>1571.3333333333353</v>
      </c>
      <c r="AX48" s="77">
        <f>Tabel24256789101112131415171618192120222326141516[[#This Row],[Aantal consumpties heet water deze maand]]+Tabel24256789101112131415171618192120222326141516[[#This Row],[Aantal consumpties licht bruisend water deze maand]]+Tabel24256789101112131415171618192120222326141516[[#This Row],[aantal consumpties Bruisend water deze maand]]+Tabel24256789101112131415171618192120222326141516[[#This Row],[Aantal consumpties gekoeld water deze maand]]+Tabel24256789101112131415171618192120222326141516[[#This Row],[Aantal consumpties Kamertemp deze maand]]</f>
        <v>3162.6666666666683</v>
      </c>
      <c r="AY48" s="95">
        <f>Tabel24256789101112131415171618192120222326141516[[#This Row],[Subtotaal waterbar in consumpties]]+Tabel24256789101112131415171618192120222326141516[[#This Row],[Subtotaal koffieautomaten]]</f>
        <v>3928.6666666666683</v>
      </c>
    </row>
    <row r="49" spans="1:130" ht="14.45" customHeight="1" x14ac:dyDescent="0.25">
      <c r="A49" s="65" t="s">
        <v>56</v>
      </c>
      <c r="B49" t="s">
        <v>96</v>
      </c>
      <c r="C49" t="s">
        <v>36</v>
      </c>
      <c r="E49" s="46"/>
      <c r="F49" s="46"/>
      <c r="G49" s="47"/>
      <c r="H49" s="54"/>
      <c r="I49" s="46"/>
      <c r="J49" s="47"/>
      <c r="K49" s="54"/>
      <c r="L49" s="46"/>
      <c r="M49" s="47"/>
      <c r="N49" s="54"/>
      <c r="O49" s="46"/>
      <c r="P49" s="47"/>
      <c r="Q49" s="54"/>
      <c r="R49" s="46"/>
      <c r="S49" s="47"/>
      <c r="T49" s="54"/>
      <c r="U49" s="46"/>
      <c r="V49" s="47"/>
      <c r="W49" s="54"/>
      <c r="X49" s="46"/>
      <c r="Y49" s="47"/>
      <c r="Z49" s="54"/>
      <c r="AA49" s="46"/>
      <c r="AB49" s="47"/>
      <c r="AC49" s="72"/>
      <c r="AD49" s="53">
        <v>139.80000000000001</v>
      </c>
      <c r="AE49">
        <f>april2025!AD49</f>
        <v>117.2</v>
      </c>
      <c r="AF49">
        <f>Tabel24256789101112131415171618192120222326141516[[#This Row],[Stand Kamertemp liter einde maand]]-Tabel24256789101112131415171618192120222326141516[[#This Row],[Stand Kamertemp liter vorige maand]]</f>
        <v>22.600000000000009</v>
      </c>
      <c r="AG49" s="2">
        <f>Tabel24256789101112131415171618192120222326141516[[#This Row],[Verbruik Kamertemp liter deze maand]]/0.15</f>
        <v>150.66666666666674</v>
      </c>
      <c r="AH49" s="53">
        <v>953.6</v>
      </c>
      <c r="AI49">
        <f>april2025!AH49</f>
        <v>749.6</v>
      </c>
      <c r="AJ49">
        <f>Tabel24256789101112131415171618192120222326141516[[#This Row],[Stand Gekoeld liter einde maand]]-Tabel24256789101112131415171618192120222326141516[[#This Row],[Stand Gekoeld liter vorige maand]]</f>
        <v>204</v>
      </c>
      <c r="AK49" s="2">
        <f>Tabel24256789101112131415171618192120222326141516[[#This Row],[Verbruik Gekoeld liter deze maand]]/0.15</f>
        <v>1360</v>
      </c>
      <c r="AL49" s="53">
        <v>387.4</v>
      </c>
      <c r="AM49">
        <f>april2025!AL49</f>
        <v>327.3</v>
      </c>
      <c r="AN49">
        <f>Tabel24256789101112131415171618192120222326141516[[#This Row],[Stand Bruisend liter einde maand]]-Tabel24256789101112131415171618192120222326141516[[#This Row],[Stand Bruisend liter vorige maand]]</f>
        <v>60.099999999999966</v>
      </c>
      <c r="AO49" s="2">
        <f>Tabel24256789101112131415171618192120222326141516[[#This Row],[Verbruik Bruisend liter deze maand]]/0.15</f>
        <v>400.66666666666646</v>
      </c>
      <c r="AP49" s="53">
        <v>219.6</v>
      </c>
      <c r="AQ49">
        <f>april2025!AP49</f>
        <v>191.7</v>
      </c>
      <c r="AR49">
        <f>Tabel24256789101112131415171618192120222326141516[[#This Row],[Stand licht bruisend liter einde maand]]-Tabel24256789101112131415171618192120222326141516[[#This Row],[Stand licht bruisend liter vorige maand]]</f>
        <v>27.900000000000006</v>
      </c>
      <c r="AS49" s="2">
        <f>Tabel24256789101112131415171618192120222326141516[[#This Row],[Verbruik licht bruisend liter deze maand]]/0.15</f>
        <v>186.00000000000006</v>
      </c>
      <c r="AT49" s="53">
        <v>2278.9</v>
      </c>
      <c r="AU49">
        <f>april2025!AT49</f>
        <v>2034.1</v>
      </c>
      <c r="AV49">
        <f>Tabel24256789101112131415171618192120222326141516[[#This Row],[Stand heet water liter einde maand]]-Tabel24256789101112131415171618192120222326141516[[#This Row],[Stand heet water liter vorige maand]]</f>
        <v>244.80000000000018</v>
      </c>
      <c r="AW49" s="2">
        <f>Tabel24256789101112131415171618192120222326141516[[#This Row],[Verbruik heet Water liter deze maand ]]/0.15</f>
        <v>1632.0000000000014</v>
      </c>
      <c r="AX49" s="77">
        <f>Tabel24256789101112131415171618192120222326141516[[#This Row],[Aantal consumpties heet water deze maand]]+Tabel24256789101112131415171618192120222326141516[[#This Row],[Aantal consumpties licht bruisend water deze maand]]+Tabel24256789101112131415171618192120222326141516[[#This Row],[aantal consumpties Bruisend water deze maand]]+Tabel24256789101112131415171618192120222326141516[[#This Row],[Aantal consumpties gekoeld water deze maand]]+Tabel24256789101112131415171618192120222326141516[[#This Row],[Aantal consumpties Kamertemp deze maand]]</f>
        <v>3729.3333333333348</v>
      </c>
      <c r="AY49" s="95">
        <f>Tabel24256789101112131415171618192120222326141516[[#This Row],[Subtotaal waterbar in consumpties]]+Tabel24256789101112131415171618192120222326141516[[#This Row],[Subtotaal koffieautomaten]]</f>
        <v>3729.3333333333348</v>
      </c>
    </row>
    <row r="50" spans="1:130" ht="14.45" customHeight="1" x14ac:dyDescent="0.25">
      <c r="A50" s="65" t="s">
        <v>58</v>
      </c>
      <c r="B50" t="s">
        <v>97</v>
      </c>
      <c r="C50" t="s">
        <v>31</v>
      </c>
      <c r="E50">
        <v>14663</v>
      </c>
      <c r="F50">
        <f>april2025!E50</f>
        <v>14034</v>
      </c>
      <c r="G50">
        <f>Tabel24256789101112131415171618192120222326141516[[#This Row],[Stand Coffee einde maand]]-Tabel24256789101112131415171618192120222326141516[[#This Row],[Coffee vorige maand]]</f>
        <v>629</v>
      </c>
      <c r="H50" s="53">
        <v>3961</v>
      </c>
      <c r="I50">
        <f>april2025!H50</f>
        <v>3828</v>
      </c>
      <c r="J50">
        <f>Tabel24256789101112131415171618192120222326141516[[#This Row],[Stand Espresso Einde maand]]-Tabel24256789101112131415171618192120222326141516[[#This Row],[Espresso vorige maand]]</f>
        <v>133</v>
      </c>
      <c r="K50" s="53">
        <v>1570</v>
      </c>
      <c r="L50">
        <f>april2025!K50</f>
        <v>1517</v>
      </c>
      <c r="M50">
        <f>Tabel24256789101112131415171618192120222326141516[[#This Row],[Stand Latte Macchiato einde maand]]-Tabel24256789101112131415171618192120222326141516[[#This Row],[Latte Macchiato vorige maand]]</f>
        <v>53</v>
      </c>
      <c r="N50" s="53">
        <v>1405</v>
      </c>
      <c r="O50">
        <f>april2025!N50</f>
        <v>1373</v>
      </c>
      <c r="P50">
        <f>Tabel24256789101112131415171618192120222326141516[[#This Row],[Stand Coffee Latte einde maand]]-Tabel24256789101112131415171618192120222326141516[[#This Row],[Coffee Latte vorige maand]]</f>
        <v>32</v>
      </c>
      <c r="Q50" s="53">
        <v>13811</v>
      </c>
      <c r="R50">
        <f>april2025!Q50</f>
        <v>13228</v>
      </c>
      <c r="S50">
        <f>Tabel24256789101112131415171618192120222326141516[[#This Row],[Stand Hot Water einde maand]]-Tabel24256789101112131415171618192120222326141516[[#This Row],[Hot Water vorige maand]]</f>
        <v>583</v>
      </c>
      <c r="T50" s="53">
        <v>8614</v>
      </c>
      <c r="U50">
        <f>april2025!T50</f>
        <v>8379</v>
      </c>
      <c r="V50">
        <f>Tabel24256789101112131415171618192120222326141516[[#This Row],[Stand Cappucino einde maand]]-Tabel24256789101112131415171618192120222326141516[[#This Row],[Stand Cappucino vorige maand]]</f>
        <v>235</v>
      </c>
      <c r="W50" s="53">
        <v>1626</v>
      </c>
      <c r="X50">
        <f>april2025!W50</f>
        <v>1569</v>
      </c>
      <c r="Y50">
        <f>Tabel24256789101112131415171618192120222326141516[[#This Row],[Stand Cappucino Plantaardig einde maand]]-Tabel24256789101112131415171618192120222326141516[[#This Row],[Stand Cappucino Plantaardig vorige maand]]</f>
        <v>57</v>
      </c>
      <c r="Z50" s="53">
        <v>470</v>
      </c>
      <c r="AA50">
        <f>april2025!Z50</f>
        <v>377</v>
      </c>
      <c r="AB50">
        <f>Tabel24256789101112131415171618192120222326141516[[#This Row],[Stand Latte Macchiato Plantaardig einde maand]]-Tabel24256789101112131415171618192120222326141516[[#This Row],[Stand Latte Macchiato Plantaardig vorige maand]]</f>
        <v>93</v>
      </c>
      <c r="AC50" s="71">
        <f>Tabel24256789101112131415171618192120222326141516[[#This Row],[Verbruik Stand Latte Macchiato Plantaardig deze maand]]+Tabel24256789101112131415171618192120222326141516[[#This Row],[Verbruik  Cappucino Plantaardig deze maand]]+Tabel24256789101112131415171618192120222326141516[[#This Row],[Verbruik Cappucino deze maand]]+Tabel24256789101112131415171618192120222326141516[[#This Row],[Verbruik Hot Water deze maand]]+Tabel24256789101112131415171618192120222326141516[[#This Row],[Verbruik Coffee Latte deze maand]]+Tabel24256789101112131415171618192120222326141516[[#This Row],[Verbruik Latte Macchiato deze maand]]+Tabel24256789101112131415171618192120222326141516[[#This Row],[Verbruik Espresso deze maand]]+Tabel24256789101112131415171618192120222326141516[[#This Row],[Verbruik Coffee deze maand]]</f>
        <v>1815</v>
      </c>
      <c r="AD50" s="69"/>
      <c r="AE50" s="41"/>
      <c r="AF50" s="5"/>
      <c r="AG50" s="5"/>
      <c r="AH50" s="75"/>
      <c r="AI50" s="41"/>
      <c r="AJ50" s="5"/>
      <c r="AK50" s="5"/>
      <c r="AL50" s="75"/>
      <c r="AM50" s="41"/>
      <c r="AN50" s="5"/>
      <c r="AO50" s="5"/>
      <c r="AP50" s="75"/>
      <c r="AQ50" s="41"/>
      <c r="AR50" s="5"/>
      <c r="AS50" s="5"/>
      <c r="AT50" s="75"/>
      <c r="AU50" s="41"/>
      <c r="AV50" s="5"/>
      <c r="AW50" s="5"/>
      <c r="AX50" s="79"/>
      <c r="AY50" s="95">
        <f>Tabel24256789101112131415171618192120222326141516[[#This Row],[Subtotaal waterbar in consumpties]]+Tabel24256789101112131415171618192120222326141516[[#This Row],[Subtotaal koffieautomaten]]</f>
        <v>1815</v>
      </c>
    </row>
    <row r="51" spans="1:130" ht="14.45" customHeight="1" x14ac:dyDescent="0.25">
      <c r="A51" s="65" t="s">
        <v>60</v>
      </c>
      <c r="B51" t="s">
        <v>98</v>
      </c>
      <c r="C51" t="s">
        <v>47</v>
      </c>
      <c r="E51">
        <v>8964</v>
      </c>
      <c r="F51">
        <f>april2025!E51</f>
        <v>8650</v>
      </c>
      <c r="G51">
        <f>Tabel24256789101112131415171618192120222326141516[[#This Row],[Stand Coffee einde maand]]-Tabel24256789101112131415171618192120222326141516[[#This Row],[Coffee vorige maand]]</f>
        <v>314</v>
      </c>
      <c r="H51" s="53">
        <v>2931</v>
      </c>
      <c r="I51">
        <f>april2025!H51</f>
        <v>2804</v>
      </c>
      <c r="J51">
        <f>Tabel24256789101112131415171618192120222326141516[[#This Row],[Stand Espresso Einde maand]]-Tabel24256789101112131415171618192120222326141516[[#This Row],[Espresso vorige maand]]</f>
        <v>127</v>
      </c>
      <c r="K51" s="53">
        <v>866</v>
      </c>
      <c r="L51">
        <f>april2025!K51</f>
        <v>843</v>
      </c>
      <c r="M51">
        <f>Tabel24256789101112131415171618192120222326141516[[#This Row],[Stand Latte Macchiato einde maand]]-Tabel24256789101112131415171618192120222326141516[[#This Row],[Latte Macchiato vorige maand]]</f>
        <v>23</v>
      </c>
      <c r="N51" s="53">
        <v>1164</v>
      </c>
      <c r="O51">
        <f>april2025!N51</f>
        <v>1117</v>
      </c>
      <c r="P51">
        <f>Tabel24256789101112131415171618192120222326141516[[#This Row],[Stand Coffee Latte einde maand]]-Tabel24256789101112131415171618192120222326141516[[#This Row],[Coffee Latte vorige maand]]</f>
        <v>47</v>
      </c>
      <c r="Q51" s="53">
        <v>1</v>
      </c>
      <c r="R51">
        <f>april2025!Q51</f>
        <v>1</v>
      </c>
      <c r="S51">
        <f>Tabel24256789101112131415171618192120222326141516[[#This Row],[Stand Hot Water einde maand]]-Tabel24256789101112131415171618192120222326141516[[#This Row],[Hot Water vorige maand]]</f>
        <v>0</v>
      </c>
      <c r="T51" s="53">
        <v>5918</v>
      </c>
      <c r="U51">
        <f>april2025!T51</f>
        <v>5656</v>
      </c>
      <c r="V51">
        <f>Tabel24256789101112131415171618192120222326141516[[#This Row],[Stand Cappucino einde maand]]-Tabel24256789101112131415171618192120222326141516[[#This Row],[Stand Cappucino vorige maand]]</f>
        <v>262</v>
      </c>
      <c r="W51" s="53">
        <v>823</v>
      </c>
      <c r="X51">
        <f>april2025!W51</f>
        <v>781</v>
      </c>
      <c r="Y51">
        <f>Tabel24256789101112131415171618192120222326141516[[#This Row],[Stand Cappucino Plantaardig einde maand]]-Tabel24256789101112131415171618192120222326141516[[#This Row],[Stand Cappucino Plantaardig vorige maand]]</f>
        <v>42</v>
      </c>
      <c r="Z51" s="53">
        <v>187</v>
      </c>
      <c r="AA51">
        <f>april2025!Z51</f>
        <v>178</v>
      </c>
      <c r="AB51">
        <f>Tabel24256789101112131415171618192120222326141516[[#This Row],[Stand Latte Macchiato Plantaardig einde maand]]-Tabel24256789101112131415171618192120222326141516[[#This Row],[Stand Latte Macchiato Plantaardig vorige maand]]</f>
        <v>9</v>
      </c>
      <c r="AC51" s="71">
        <f>Tabel24256789101112131415171618192120222326141516[[#This Row],[Verbruik Stand Latte Macchiato Plantaardig deze maand]]+Tabel24256789101112131415171618192120222326141516[[#This Row],[Verbruik  Cappucino Plantaardig deze maand]]+Tabel24256789101112131415171618192120222326141516[[#This Row],[Verbruik Cappucino deze maand]]+Tabel24256789101112131415171618192120222326141516[[#This Row],[Verbruik Hot Water deze maand]]+Tabel24256789101112131415171618192120222326141516[[#This Row],[Verbruik Coffee Latte deze maand]]+Tabel24256789101112131415171618192120222326141516[[#This Row],[Verbruik Latte Macchiato deze maand]]+Tabel24256789101112131415171618192120222326141516[[#This Row],[Verbruik Espresso deze maand]]+Tabel24256789101112131415171618192120222326141516[[#This Row],[Verbruik Coffee deze maand]]</f>
        <v>824</v>
      </c>
      <c r="AD51" s="53">
        <v>40.1</v>
      </c>
      <c r="AE51">
        <f>april2025!AD51</f>
        <v>35.700000000000003</v>
      </c>
      <c r="AF51">
        <f>Tabel24256789101112131415171618192120222326141516[[#This Row],[Stand Kamertemp liter einde maand]]-Tabel24256789101112131415171618192120222326141516[[#This Row],[Stand Kamertemp liter vorige maand]]</f>
        <v>4.3999999999999986</v>
      </c>
      <c r="AG51" s="2">
        <f>Tabel24256789101112131415171618192120222326141516[[#This Row],[Verbruik Kamertemp liter deze maand]]/0.15</f>
        <v>29.333333333333325</v>
      </c>
      <c r="AH51" s="53">
        <v>571.9</v>
      </c>
      <c r="AI51">
        <f>april2025!AH51</f>
        <v>466</v>
      </c>
      <c r="AJ51">
        <f>Tabel24256789101112131415171618192120222326141516[[#This Row],[Stand Gekoeld liter einde maand]]-Tabel24256789101112131415171618192120222326141516[[#This Row],[Stand Gekoeld liter vorige maand]]</f>
        <v>105.89999999999998</v>
      </c>
      <c r="AK51" s="2">
        <f>Tabel24256789101112131415171618192120222326141516[[#This Row],[Verbruik Gekoeld liter deze maand]]/0.15</f>
        <v>705.99999999999989</v>
      </c>
      <c r="AL51" s="53">
        <v>440.1</v>
      </c>
      <c r="AM51">
        <f>april2025!AL51</f>
        <v>357.8</v>
      </c>
      <c r="AN51">
        <f>Tabel24256789101112131415171618192120222326141516[[#This Row],[Stand Bruisend liter einde maand]]-Tabel24256789101112131415171618192120222326141516[[#This Row],[Stand Bruisend liter vorige maand]]</f>
        <v>82.300000000000011</v>
      </c>
      <c r="AO51" s="2">
        <f>Tabel24256789101112131415171618192120222326141516[[#This Row],[Verbruik Bruisend liter deze maand]]/0.15</f>
        <v>548.66666666666674</v>
      </c>
      <c r="AP51" s="53">
        <v>70</v>
      </c>
      <c r="AQ51">
        <f>april2025!AP51</f>
        <v>63.8</v>
      </c>
      <c r="AR51">
        <f>Tabel24256789101112131415171618192120222326141516[[#This Row],[Stand licht bruisend liter einde maand]]-Tabel24256789101112131415171618192120222326141516[[#This Row],[Stand licht bruisend liter vorige maand]]</f>
        <v>6.2000000000000028</v>
      </c>
      <c r="AS51" s="2">
        <f>Tabel24256789101112131415171618192120222326141516[[#This Row],[Verbruik licht bruisend liter deze maand]]/0.15</f>
        <v>41.333333333333357</v>
      </c>
      <c r="AT51" s="53">
        <v>1140.2</v>
      </c>
      <c r="AU51">
        <f>april2025!AT51</f>
        <v>991</v>
      </c>
      <c r="AV51">
        <f>Tabel24256789101112131415171618192120222326141516[[#This Row],[Stand heet water liter einde maand]]-Tabel24256789101112131415171618192120222326141516[[#This Row],[Stand heet water liter vorige maand]]</f>
        <v>149.20000000000005</v>
      </c>
      <c r="AW51" s="2">
        <f>Tabel24256789101112131415171618192120222326141516[[#This Row],[Verbruik heet Water liter deze maand ]]/0.15</f>
        <v>994.66666666666697</v>
      </c>
      <c r="AX51" s="77">
        <f>Tabel24256789101112131415171618192120222326141516[[#This Row],[Aantal consumpties heet water deze maand]]+Tabel24256789101112131415171618192120222326141516[[#This Row],[Aantal consumpties licht bruisend water deze maand]]+Tabel24256789101112131415171618192120222326141516[[#This Row],[aantal consumpties Bruisend water deze maand]]+Tabel24256789101112131415171618192120222326141516[[#This Row],[Aantal consumpties gekoeld water deze maand]]+Tabel24256789101112131415171618192120222326141516[[#This Row],[Aantal consumpties Kamertemp deze maand]]</f>
        <v>2320.0000000000005</v>
      </c>
      <c r="AY51" s="95">
        <f>Tabel24256789101112131415171618192120222326141516[[#This Row],[Subtotaal waterbar in consumpties]]+Tabel24256789101112131415171618192120222326141516[[#This Row],[Subtotaal koffieautomaten]]</f>
        <v>3144.0000000000005</v>
      </c>
    </row>
    <row r="52" spans="1:130" s="81" customFormat="1" ht="14.45" customHeight="1" x14ac:dyDescent="0.25">
      <c r="A52" s="80" t="s">
        <v>99</v>
      </c>
      <c r="D52" s="82"/>
      <c r="H52" s="86"/>
      <c r="K52" s="86"/>
      <c r="N52" s="86"/>
      <c r="Q52" s="86"/>
      <c r="T52" s="86"/>
      <c r="W52" s="86"/>
      <c r="Z52" s="86"/>
      <c r="AC52" s="85"/>
      <c r="AD52" s="86"/>
      <c r="AG52" s="87"/>
      <c r="AH52" s="86"/>
      <c r="AK52" s="87"/>
      <c r="AL52" s="86"/>
      <c r="AO52" s="87"/>
      <c r="AP52" s="86"/>
      <c r="AS52" s="87"/>
      <c r="AT52" s="86"/>
      <c r="AW52" s="87"/>
      <c r="AX52" s="88"/>
      <c r="AY52" s="94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</row>
    <row r="53" spans="1:130" ht="14.45" customHeight="1" x14ac:dyDescent="0.25">
      <c r="A53" s="65" t="s">
        <v>43</v>
      </c>
      <c r="B53" t="s">
        <v>100</v>
      </c>
      <c r="C53" t="s">
        <v>31</v>
      </c>
      <c r="E53">
        <v>13192</v>
      </c>
      <c r="F53">
        <f>april2025!E53</f>
        <v>12713</v>
      </c>
      <c r="G53">
        <f>Tabel24256789101112131415171618192120222326141516[[#This Row],[Stand Coffee einde maand]]-Tabel24256789101112131415171618192120222326141516[[#This Row],[Coffee vorige maand]]</f>
        <v>479</v>
      </c>
      <c r="H53" s="97">
        <f>824+3836</f>
        <v>4660</v>
      </c>
      <c r="I53">
        <f>april2025!H53</f>
        <v>4556</v>
      </c>
      <c r="J53">
        <f>Tabel24256789101112131415171618192120222326141516[[#This Row],[Stand Espresso Einde maand]]-Tabel24256789101112131415171618192120222326141516[[#This Row],[Espresso vorige maand]]</f>
        <v>104</v>
      </c>
      <c r="K53" s="53">
        <v>1345</v>
      </c>
      <c r="L53">
        <f>april2025!K53</f>
        <v>1294</v>
      </c>
      <c r="M53">
        <f>Tabel24256789101112131415171618192120222326141516[[#This Row],[Stand Latte Macchiato einde maand]]-Tabel24256789101112131415171618192120222326141516[[#This Row],[Latte Macchiato vorige maand]]</f>
        <v>51</v>
      </c>
      <c r="N53" s="53">
        <v>601</v>
      </c>
      <c r="O53">
        <f>april2025!N53</f>
        <v>565</v>
      </c>
      <c r="P53">
        <f>Tabel24256789101112131415171618192120222326141516[[#This Row],[Stand Coffee Latte einde maand]]-Tabel24256789101112131415171618192120222326141516[[#This Row],[Coffee Latte vorige maand]]</f>
        <v>36</v>
      </c>
      <c r="Q53" s="53">
        <v>32639</v>
      </c>
      <c r="R53">
        <f>april2025!Q53</f>
        <v>31397</v>
      </c>
      <c r="S53">
        <f>Tabel24256789101112131415171618192120222326141516[[#This Row],[Stand Hot Water einde maand]]-Tabel24256789101112131415171618192120222326141516[[#This Row],[Hot Water vorige maand]]</f>
        <v>1242</v>
      </c>
      <c r="T53" s="53">
        <v>3829</v>
      </c>
      <c r="U53">
        <f>april2025!T53</f>
        <v>3756</v>
      </c>
      <c r="V53">
        <f>Tabel24256789101112131415171618192120222326141516[[#This Row],[Stand Cappucino einde maand]]-Tabel24256789101112131415171618192120222326141516[[#This Row],[Stand Cappucino vorige maand]]</f>
        <v>73</v>
      </c>
      <c r="W53" s="53">
        <v>1146</v>
      </c>
      <c r="X53">
        <f>april2025!W53</f>
        <v>1107</v>
      </c>
      <c r="Y53">
        <f>Tabel24256789101112131415171618192120222326141516[[#This Row],[Stand Cappucino Plantaardig einde maand]]-Tabel24256789101112131415171618192120222326141516[[#This Row],[Stand Cappucino Plantaardig vorige maand]]</f>
        <v>39</v>
      </c>
      <c r="Z53" s="53">
        <v>241</v>
      </c>
      <c r="AA53">
        <f>april2025!Z53</f>
        <v>235</v>
      </c>
      <c r="AB53">
        <f>Tabel24256789101112131415171618192120222326141516[[#This Row],[Stand Latte Macchiato Plantaardig einde maand]]-Tabel24256789101112131415171618192120222326141516[[#This Row],[Stand Latte Macchiato Plantaardig vorige maand]]</f>
        <v>6</v>
      </c>
      <c r="AC53" s="71">
        <f>Tabel24256789101112131415171618192120222326141516[[#This Row],[Verbruik Stand Latte Macchiato Plantaardig deze maand]]+Tabel24256789101112131415171618192120222326141516[[#This Row],[Verbruik  Cappucino Plantaardig deze maand]]+Tabel24256789101112131415171618192120222326141516[[#This Row],[Verbruik Cappucino deze maand]]+Tabel24256789101112131415171618192120222326141516[[#This Row],[Verbruik Hot Water deze maand]]+Tabel24256789101112131415171618192120222326141516[[#This Row],[Verbruik Coffee Latte deze maand]]+Tabel24256789101112131415171618192120222326141516[[#This Row],[Verbruik Latte Macchiato deze maand]]+Tabel24256789101112131415171618192120222326141516[[#This Row],[Verbruik Espresso deze maand]]+Tabel24256789101112131415171618192120222326141516[[#This Row],[Verbruik Coffee deze maand]]</f>
        <v>2030</v>
      </c>
      <c r="AD53" s="69"/>
      <c r="AE53" s="41"/>
      <c r="AF53" s="5"/>
      <c r="AG53" s="5"/>
      <c r="AH53" s="75"/>
      <c r="AI53" s="41"/>
      <c r="AJ53" s="5"/>
      <c r="AK53" s="5"/>
      <c r="AL53" s="75"/>
      <c r="AM53" s="41"/>
      <c r="AN53" s="5"/>
      <c r="AO53" s="5"/>
      <c r="AP53" s="75"/>
      <c r="AQ53" s="41"/>
      <c r="AR53" s="5"/>
      <c r="AS53" s="5"/>
      <c r="AT53" s="75"/>
      <c r="AU53" s="41"/>
      <c r="AV53" s="5"/>
      <c r="AW53" s="5"/>
      <c r="AX53" s="79"/>
      <c r="AY53" s="95">
        <f>Tabel24256789101112131415171618192120222326141516[[#This Row],[Subtotaal waterbar in consumpties]]+Tabel24256789101112131415171618192120222326141516[[#This Row],[Subtotaal koffieautomaten]]</f>
        <v>2030</v>
      </c>
    </row>
    <row r="54" spans="1:130" ht="14.45" customHeight="1" x14ac:dyDescent="0.25">
      <c r="A54" s="65" t="s">
        <v>45</v>
      </c>
      <c r="B54" t="s">
        <v>101</v>
      </c>
      <c r="C54" t="s">
        <v>47</v>
      </c>
      <c r="E54">
        <v>9915</v>
      </c>
      <c r="F54">
        <f>april2025!E54</f>
        <v>9569</v>
      </c>
      <c r="G54">
        <f>Tabel24256789101112131415171618192120222326141516[[#This Row],[Stand Coffee einde maand]]-Tabel24256789101112131415171618192120222326141516[[#This Row],[Coffee vorige maand]]</f>
        <v>346</v>
      </c>
      <c r="H54" s="53">
        <v>4845</v>
      </c>
      <c r="I54">
        <f>april2025!H54</f>
        <v>4711</v>
      </c>
      <c r="J54">
        <f>Tabel24256789101112131415171618192120222326141516[[#This Row],[Stand Espresso Einde maand]]-Tabel24256789101112131415171618192120222326141516[[#This Row],[Espresso vorige maand]]</f>
        <v>134</v>
      </c>
      <c r="K54" s="53">
        <v>696</v>
      </c>
      <c r="L54">
        <f>april2025!K54</f>
        <v>691</v>
      </c>
      <c r="M54">
        <f>Tabel24256789101112131415171618192120222326141516[[#This Row],[Stand Latte Macchiato einde maand]]-Tabel24256789101112131415171618192120222326141516[[#This Row],[Latte Macchiato vorige maand]]</f>
        <v>5</v>
      </c>
      <c r="N54" s="53">
        <v>555</v>
      </c>
      <c r="O54">
        <f>april2025!N54</f>
        <v>546</v>
      </c>
      <c r="P54">
        <f>Tabel24256789101112131415171618192120222326141516[[#This Row],[Stand Coffee Latte einde maand]]-Tabel24256789101112131415171618192120222326141516[[#This Row],[Coffee Latte vorige maand]]</f>
        <v>9</v>
      </c>
      <c r="Q54" s="53">
        <v>1</v>
      </c>
      <c r="R54">
        <f>april2025!Q54</f>
        <v>1</v>
      </c>
      <c r="S54">
        <f>Tabel24256789101112131415171618192120222326141516[[#This Row],[Stand Hot Water einde maand]]-Tabel24256789101112131415171618192120222326141516[[#This Row],[Hot Water vorige maand]]</f>
        <v>0</v>
      </c>
      <c r="T54" s="53">
        <v>4590</v>
      </c>
      <c r="U54">
        <f>april2025!T54</f>
        <v>4534</v>
      </c>
      <c r="V54">
        <f>Tabel24256789101112131415171618192120222326141516[[#This Row],[Stand Cappucino einde maand]]-Tabel24256789101112131415171618192120222326141516[[#This Row],[Stand Cappucino vorige maand]]</f>
        <v>56</v>
      </c>
      <c r="W54" s="53">
        <v>933</v>
      </c>
      <c r="X54">
        <f>april2025!W54</f>
        <v>918</v>
      </c>
      <c r="Y54">
        <f>Tabel24256789101112131415171618192120222326141516[[#This Row],[Stand Cappucino Plantaardig einde maand]]-Tabel24256789101112131415171618192120222326141516[[#This Row],[Stand Cappucino Plantaardig vorige maand]]</f>
        <v>15</v>
      </c>
      <c r="Z54" s="53">
        <v>253</v>
      </c>
      <c r="AA54">
        <f>april2025!Z54</f>
        <v>252</v>
      </c>
      <c r="AB54">
        <f>Tabel24256789101112131415171618192120222326141516[[#This Row],[Stand Latte Macchiato Plantaardig einde maand]]-Tabel24256789101112131415171618192120222326141516[[#This Row],[Stand Latte Macchiato Plantaardig vorige maand]]</f>
        <v>1</v>
      </c>
      <c r="AC54" s="71">
        <f>Tabel24256789101112131415171618192120222326141516[[#This Row],[Verbruik Stand Latte Macchiato Plantaardig deze maand]]+Tabel24256789101112131415171618192120222326141516[[#This Row],[Verbruik  Cappucino Plantaardig deze maand]]+Tabel24256789101112131415171618192120222326141516[[#This Row],[Verbruik Cappucino deze maand]]+Tabel24256789101112131415171618192120222326141516[[#This Row],[Verbruik Hot Water deze maand]]+Tabel24256789101112131415171618192120222326141516[[#This Row],[Verbruik Coffee Latte deze maand]]+Tabel24256789101112131415171618192120222326141516[[#This Row],[Verbruik Latte Macchiato deze maand]]+Tabel24256789101112131415171618192120222326141516[[#This Row],[Verbruik Espresso deze maand]]+Tabel24256789101112131415171618192120222326141516[[#This Row],[Verbruik Coffee deze maand]]</f>
        <v>566</v>
      </c>
      <c r="AD54" s="53">
        <v>36.5</v>
      </c>
      <c r="AE54">
        <f>april2025!AD54</f>
        <v>16.899999999999999</v>
      </c>
      <c r="AF54">
        <f>Tabel24256789101112131415171618192120222326141516[[#This Row],[Stand Kamertemp liter einde maand]]-Tabel24256789101112131415171618192120222326141516[[#This Row],[Stand Kamertemp liter vorige maand]]</f>
        <v>19.600000000000001</v>
      </c>
      <c r="AG54" s="2">
        <f>Tabel24256789101112131415171618192120222326141516[[#This Row],[Verbruik Kamertemp liter deze maand]]/0.15</f>
        <v>130.66666666666669</v>
      </c>
      <c r="AH54" s="53">
        <v>194.4</v>
      </c>
      <c r="AI54">
        <f>april2025!AH54</f>
        <v>62.6</v>
      </c>
      <c r="AJ54">
        <f>Tabel24256789101112131415171618192120222326141516[[#This Row],[Stand Gekoeld liter einde maand]]-Tabel24256789101112131415171618192120222326141516[[#This Row],[Stand Gekoeld liter vorige maand]]</f>
        <v>131.80000000000001</v>
      </c>
      <c r="AK54" s="2">
        <f>Tabel24256789101112131415171618192120222326141516[[#This Row],[Verbruik Gekoeld liter deze maand]]/0.15</f>
        <v>878.66666666666674</v>
      </c>
      <c r="AL54" s="53">
        <v>193.8</v>
      </c>
      <c r="AM54">
        <f>april2025!AL54</f>
        <v>72.900000000000006</v>
      </c>
      <c r="AN54">
        <f>Tabel24256789101112131415171618192120222326141516[[#This Row],[Stand Bruisend liter einde maand]]-Tabel24256789101112131415171618192120222326141516[[#This Row],[Stand Bruisend liter vorige maand]]</f>
        <v>120.9</v>
      </c>
      <c r="AO54" s="2">
        <f>Tabel24256789101112131415171618192120222326141516[[#This Row],[Verbruik Bruisend liter deze maand]]/0.15</f>
        <v>806.00000000000011</v>
      </c>
      <c r="AP54" s="53">
        <v>22.6</v>
      </c>
      <c r="AQ54">
        <f>april2025!AP54</f>
        <v>12.8</v>
      </c>
      <c r="AR54">
        <f>Tabel24256789101112131415171618192120222326141516[[#This Row],[Stand licht bruisend liter einde maand]]-Tabel24256789101112131415171618192120222326141516[[#This Row],[Stand licht bruisend liter vorige maand]]</f>
        <v>9.8000000000000007</v>
      </c>
      <c r="AS54" s="2">
        <f>Tabel24256789101112131415171618192120222326141516[[#This Row],[Verbruik licht bruisend liter deze maand]]/0.15</f>
        <v>65.333333333333343</v>
      </c>
      <c r="AT54" s="53">
        <v>439.2</v>
      </c>
      <c r="AU54">
        <f>april2025!AT54</f>
        <v>172.9</v>
      </c>
      <c r="AV54">
        <f>Tabel24256789101112131415171618192120222326141516[[#This Row],[Stand heet water liter einde maand]]-Tabel24256789101112131415171618192120222326141516[[#This Row],[Stand heet water liter vorige maand]]</f>
        <v>266.29999999999995</v>
      </c>
      <c r="AW54" s="2">
        <f>Tabel24256789101112131415171618192120222326141516[[#This Row],[Verbruik heet Water liter deze maand ]]/0.15</f>
        <v>1775.333333333333</v>
      </c>
      <c r="AX54" s="77">
        <f>Tabel24256789101112131415171618192120222326141516[[#This Row],[Aantal consumpties heet water deze maand]]+Tabel24256789101112131415171618192120222326141516[[#This Row],[Aantal consumpties licht bruisend water deze maand]]+Tabel24256789101112131415171618192120222326141516[[#This Row],[aantal consumpties Bruisend water deze maand]]+Tabel24256789101112131415171618192120222326141516[[#This Row],[Aantal consumpties gekoeld water deze maand]]+Tabel24256789101112131415171618192120222326141516[[#This Row],[Aantal consumpties Kamertemp deze maand]]</f>
        <v>3655.9999999999995</v>
      </c>
      <c r="AY54" s="95">
        <f>Tabel24256789101112131415171618192120222326141516[[#This Row],[Subtotaal waterbar in consumpties]]+Tabel24256789101112131415171618192120222326141516[[#This Row],[Subtotaal koffieautomaten]]</f>
        <v>4222</v>
      </c>
    </row>
    <row r="55" spans="1:130" ht="14.45" customHeight="1" x14ac:dyDescent="0.25">
      <c r="A55" s="65" t="s">
        <v>48</v>
      </c>
      <c r="B55" t="s">
        <v>102</v>
      </c>
      <c r="C55" t="s">
        <v>31</v>
      </c>
      <c r="E55">
        <v>8452</v>
      </c>
      <c r="F55">
        <f>april2025!E55</f>
        <v>8258</v>
      </c>
      <c r="G55">
        <f>Tabel24256789101112131415171618192120222326141516[[#This Row],[Stand Coffee einde maand]]-Tabel24256789101112131415171618192120222326141516[[#This Row],[Coffee vorige maand]]</f>
        <v>194</v>
      </c>
      <c r="H55" s="53">
        <v>2260</v>
      </c>
      <c r="I55">
        <f>april2025!H55</f>
        <v>2256</v>
      </c>
      <c r="J55">
        <f>Tabel24256789101112131415171618192120222326141516[[#This Row],[Stand Espresso Einde maand]]-Tabel24256789101112131415171618192120222326141516[[#This Row],[Espresso vorige maand]]</f>
        <v>4</v>
      </c>
      <c r="K55" s="53">
        <v>768</v>
      </c>
      <c r="L55">
        <f>april2025!K55</f>
        <v>711</v>
      </c>
      <c r="M55">
        <f>Tabel24256789101112131415171618192120222326141516[[#This Row],[Stand Latte Macchiato einde maand]]-Tabel24256789101112131415171618192120222326141516[[#This Row],[Latte Macchiato vorige maand]]</f>
        <v>57</v>
      </c>
      <c r="N55" s="53">
        <v>451</v>
      </c>
      <c r="O55">
        <f>april2025!N55</f>
        <v>446</v>
      </c>
      <c r="P55">
        <f>Tabel24256789101112131415171618192120222326141516[[#This Row],[Stand Coffee Latte einde maand]]-Tabel24256789101112131415171618192120222326141516[[#This Row],[Coffee Latte vorige maand]]</f>
        <v>5</v>
      </c>
      <c r="Q55" s="53">
        <v>21733</v>
      </c>
      <c r="R55">
        <f>april2025!Q55</f>
        <v>21160</v>
      </c>
      <c r="S55">
        <f>Tabel24256789101112131415171618192120222326141516[[#This Row],[Stand Hot Water einde maand]]-Tabel24256789101112131415171618192120222326141516[[#This Row],[Hot Water vorige maand]]</f>
        <v>573</v>
      </c>
      <c r="T55" s="53">
        <v>3828</v>
      </c>
      <c r="U55">
        <f>april2025!T55</f>
        <v>3681</v>
      </c>
      <c r="V55">
        <f>Tabel24256789101112131415171618192120222326141516[[#This Row],[Stand Cappucino einde maand]]-Tabel24256789101112131415171618192120222326141516[[#This Row],[Stand Cappucino vorige maand]]</f>
        <v>147</v>
      </c>
      <c r="W55" s="53">
        <v>1856</v>
      </c>
      <c r="X55">
        <f>april2025!W55</f>
        <v>1814</v>
      </c>
      <c r="Y55">
        <f>Tabel24256789101112131415171618192120222326141516[[#This Row],[Stand Cappucino Plantaardig einde maand]]-Tabel24256789101112131415171618192120222326141516[[#This Row],[Stand Cappucino Plantaardig vorige maand]]</f>
        <v>42</v>
      </c>
      <c r="Z55" s="53">
        <v>198</v>
      </c>
      <c r="AA55">
        <f>april2025!Z55</f>
        <v>194</v>
      </c>
      <c r="AB55">
        <f>Tabel24256789101112131415171618192120222326141516[[#This Row],[Stand Latte Macchiato Plantaardig einde maand]]-Tabel24256789101112131415171618192120222326141516[[#This Row],[Stand Latte Macchiato Plantaardig vorige maand]]</f>
        <v>4</v>
      </c>
      <c r="AC55" s="71">
        <f>Tabel24256789101112131415171618192120222326141516[[#This Row],[Verbruik Stand Latte Macchiato Plantaardig deze maand]]+Tabel24256789101112131415171618192120222326141516[[#This Row],[Verbruik  Cappucino Plantaardig deze maand]]+Tabel24256789101112131415171618192120222326141516[[#This Row],[Verbruik Cappucino deze maand]]+Tabel24256789101112131415171618192120222326141516[[#This Row],[Verbruik Hot Water deze maand]]+Tabel24256789101112131415171618192120222326141516[[#This Row],[Verbruik Coffee Latte deze maand]]+Tabel24256789101112131415171618192120222326141516[[#This Row],[Verbruik Latte Macchiato deze maand]]+Tabel24256789101112131415171618192120222326141516[[#This Row],[Verbruik Espresso deze maand]]+Tabel24256789101112131415171618192120222326141516[[#This Row],[Verbruik Coffee deze maand]]</f>
        <v>1026</v>
      </c>
      <c r="AD55" s="69"/>
      <c r="AE55" s="41"/>
      <c r="AF55" s="5"/>
      <c r="AG55" s="5"/>
      <c r="AH55" s="75"/>
      <c r="AI55" s="41"/>
      <c r="AJ55" s="5"/>
      <c r="AK55" s="5"/>
      <c r="AL55" s="75"/>
      <c r="AM55" s="41"/>
      <c r="AN55" s="5"/>
      <c r="AO55" s="5"/>
      <c r="AP55" s="75"/>
      <c r="AQ55" s="41"/>
      <c r="AR55" s="5"/>
      <c r="AS55" s="5"/>
      <c r="AT55" s="75"/>
      <c r="AU55" s="41"/>
      <c r="AV55" s="5"/>
      <c r="AW55" s="5"/>
      <c r="AX55" s="79"/>
      <c r="AY55" s="95">
        <f>Tabel24256789101112131415171618192120222326141516[[#This Row],[Subtotaal waterbar in consumpties]]+Tabel24256789101112131415171618192120222326141516[[#This Row],[Subtotaal koffieautomaten]]</f>
        <v>1026</v>
      </c>
    </row>
    <row r="56" spans="1:130" ht="14.45" customHeight="1" x14ac:dyDescent="0.25">
      <c r="A56" s="65" t="s">
        <v>50</v>
      </c>
      <c r="B56" t="s">
        <v>103</v>
      </c>
      <c r="C56" t="s">
        <v>47</v>
      </c>
      <c r="E56">
        <v>9079</v>
      </c>
      <c r="F56">
        <f>april2025!E56</f>
        <v>8936</v>
      </c>
      <c r="G56">
        <f>Tabel24256789101112131415171618192120222326141516[[#This Row],[Stand Coffee einde maand]]-Tabel24256789101112131415171618192120222326141516[[#This Row],[Coffee vorige maand]]</f>
        <v>143</v>
      </c>
      <c r="H56" s="53">
        <v>3835</v>
      </c>
      <c r="I56">
        <f>april2025!H56</f>
        <v>3792</v>
      </c>
      <c r="J56">
        <f>Tabel24256789101112131415171618192120222326141516[[#This Row],[Stand Espresso Einde maand]]-Tabel24256789101112131415171618192120222326141516[[#This Row],[Espresso vorige maand]]</f>
        <v>43</v>
      </c>
      <c r="K56" s="53">
        <v>307</v>
      </c>
      <c r="L56">
        <f>april2025!K56</f>
        <v>307</v>
      </c>
      <c r="M56">
        <f>Tabel24256789101112131415171618192120222326141516[[#This Row],[Stand Latte Macchiato einde maand]]-Tabel24256789101112131415171618192120222326141516[[#This Row],[Latte Macchiato vorige maand]]</f>
        <v>0</v>
      </c>
      <c r="N56" s="53">
        <v>130</v>
      </c>
      <c r="O56">
        <f>april2025!N56</f>
        <v>128</v>
      </c>
      <c r="P56">
        <f>Tabel24256789101112131415171618192120222326141516[[#This Row],[Stand Coffee Latte einde maand]]-Tabel24256789101112131415171618192120222326141516[[#This Row],[Coffee Latte vorige maand]]</f>
        <v>2</v>
      </c>
      <c r="Q56" s="53">
        <v>1</v>
      </c>
      <c r="R56">
        <f>april2025!Q56</f>
        <v>1</v>
      </c>
      <c r="S56">
        <f>Tabel24256789101112131415171618192120222326141516[[#This Row],[Stand Hot Water einde maand]]-Tabel24256789101112131415171618192120222326141516[[#This Row],[Hot Water vorige maand]]</f>
        <v>0</v>
      </c>
      <c r="T56" s="53">
        <v>6950</v>
      </c>
      <c r="U56">
        <f>april2025!T56</f>
        <v>6831</v>
      </c>
      <c r="V56">
        <f>Tabel24256789101112131415171618192120222326141516[[#This Row],[Stand Cappucino einde maand]]-Tabel24256789101112131415171618192120222326141516[[#This Row],[Stand Cappucino vorige maand]]</f>
        <v>119</v>
      </c>
      <c r="W56" s="53">
        <v>608</v>
      </c>
      <c r="X56">
        <f>april2025!W56</f>
        <v>607</v>
      </c>
      <c r="Y56">
        <f>Tabel24256789101112131415171618192120222326141516[[#This Row],[Stand Cappucino Plantaardig einde maand]]-Tabel24256789101112131415171618192120222326141516[[#This Row],[Stand Cappucino Plantaardig vorige maand]]</f>
        <v>1</v>
      </c>
      <c r="Z56" s="53">
        <v>125</v>
      </c>
      <c r="AA56">
        <f>april2025!Z56</f>
        <v>125</v>
      </c>
      <c r="AB56">
        <f>Tabel24256789101112131415171618192120222326141516[[#This Row],[Stand Latte Macchiato Plantaardig einde maand]]-Tabel24256789101112131415171618192120222326141516[[#This Row],[Stand Latte Macchiato Plantaardig vorige maand]]</f>
        <v>0</v>
      </c>
      <c r="AC56" s="71">
        <f>Tabel24256789101112131415171618192120222326141516[[#This Row],[Verbruik Stand Latte Macchiato Plantaardig deze maand]]+Tabel24256789101112131415171618192120222326141516[[#This Row],[Verbruik  Cappucino Plantaardig deze maand]]+Tabel24256789101112131415171618192120222326141516[[#This Row],[Verbruik Cappucino deze maand]]+Tabel24256789101112131415171618192120222326141516[[#This Row],[Verbruik Hot Water deze maand]]+Tabel24256789101112131415171618192120222326141516[[#This Row],[Verbruik Coffee Latte deze maand]]+Tabel24256789101112131415171618192120222326141516[[#This Row],[Verbruik Latte Macchiato deze maand]]+Tabel24256789101112131415171618192120222326141516[[#This Row],[Verbruik Espresso deze maand]]+Tabel24256789101112131415171618192120222326141516[[#This Row],[Verbruik Coffee deze maand]]</f>
        <v>308</v>
      </c>
      <c r="AD56" s="53">
        <v>70.599999999999994</v>
      </c>
      <c r="AE56">
        <f>april2025!AD56</f>
        <v>61.4</v>
      </c>
      <c r="AF56">
        <f>Tabel24256789101112131415171618192120222326141516[[#This Row],[Stand Kamertemp liter einde maand]]-Tabel24256789101112131415171618192120222326141516[[#This Row],[Stand Kamertemp liter vorige maand]]</f>
        <v>9.1999999999999957</v>
      </c>
      <c r="AG56" s="2">
        <f>Tabel24256789101112131415171618192120222326141516[[#This Row],[Verbruik Kamertemp liter deze maand]]/0.15</f>
        <v>61.333333333333307</v>
      </c>
      <c r="AH56" s="53">
        <v>467.1</v>
      </c>
      <c r="AI56">
        <f>april2025!AH56</f>
        <v>401.2</v>
      </c>
      <c r="AJ56">
        <f>Tabel24256789101112131415171618192120222326141516[[#This Row],[Stand Gekoeld liter einde maand]]-Tabel24256789101112131415171618192120222326141516[[#This Row],[Stand Gekoeld liter vorige maand]]</f>
        <v>65.900000000000034</v>
      </c>
      <c r="AK56" s="2">
        <f>Tabel24256789101112131415171618192120222326141516[[#This Row],[Verbruik Gekoeld liter deze maand]]/0.15</f>
        <v>439.3333333333336</v>
      </c>
      <c r="AL56" s="53">
        <v>496.9</v>
      </c>
      <c r="AM56">
        <f>april2025!AL56</f>
        <v>422.6</v>
      </c>
      <c r="AN56">
        <f>Tabel24256789101112131415171618192120222326141516[[#This Row],[Stand Bruisend liter einde maand]]-Tabel24256789101112131415171618192120222326141516[[#This Row],[Stand Bruisend liter vorige maand]]</f>
        <v>74.299999999999955</v>
      </c>
      <c r="AO56" s="2">
        <f>Tabel24256789101112131415171618192120222326141516[[#This Row],[Verbruik Bruisend liter deze maand]]/0.15</f>
        <v>495.33333333333303</v>
      </c>
      <c r="AP56" s="53">
        <v>180.8</v>
      </c>
      <c r="AQ56">
        <f>april2025!AP56</f>
        <v>151.30000000000001</v>
      </c>
      <c r="AR56">
        <f>Tabel24256789101112131415171618192120222326141516[[#This Row],[Stand licht bruisend liter einde maand]]-Tabel24256789101112131415171618192120222326141516[[#This Row],[Stand licht bruisend liter vorige maand]]</f>
        <v>29.5</v>
      </c>
      <c r="AS56" s="2">
        <f>Tabel24256789101112131415171618192120222326141516[[#This Row],[Verbruik licht bruisend liter deze maand]]/0.15</f>
        <v>196.66666666666669</v>
      </c>
      <c r="AT56" s="53">
        <v>1775.5</v>
      </c>
      <c r="AU56">
        <f>april2025!AT56</f>
        <v>1546.7</v>
      </c>
      <c r="AV56">
        <f>Tabel24256789101112131415171618192120222326141516[[#This Row],[Stand heet water liter einde maand]]-Tabel24256789101112131415171618192120222326141516[[#This Row],[Stand heet water liter vorige maand]]</f>
        <v>228.79999999999995</v>
      </c>
      <c r="AW56" s="2">
        <f>Tabel24256789101112131415171618192120222326141516[[#This Row],[Verbruik heet Water liter deze maand ]]/0.15</f>
        <v>1525.333333333333</v>
      </c>
      <c r="AX56" s="77">
        <f>Tabel24256789101112131415171618192120222326141516[[#This Row],[Aantal consumpties heet water deze maand]]+Tabel24256789101112131415171618192120222326141516[[#This Row],[Aantal consumpties licht bruisend water deze maand]]+Tabel24256789101112131415171618192120222326141516[[#This Row],[aantal consumpties Bruisend water deze maand]]+Tabel24256789101112131415171618192120222326141516[[#This Row],[Aantal consumpties gekoeld water deze maand]]+Tabel24256789101112131415171618192120222326141516[[#This Row],[Aantal consumpties Kamertemp deze maand]]</f>
        <v>2718</v>
      </c>
      <c r="AY56" s="95">
        <f>Tabel24256789101112131415171618192120222326141516[[#This Row],[Subtotaal waterbar in consumpties]]+Tabel24256789101112131415171618192120222326141516[[#This Row],[Subtotaal koffieautomaten]]</f>
        <v>3026</v>
      </c>
    </row>
    <row r="57" spans="1:130" ht="14.45" customHeight="1" x14ac:dyDescent="0.25">
      <c r="A57" s="65" t="s">
        <v>52</v>
      </c>
      <c r="B57" t="s">
        <v>104</v>
      </c>
      <c r="C57" t="s">
        <v>47</v>
      </c>
      <c r="E57">
        <v>4353</v>
      </c>
      <c r="F57">
        <f>april2025!E57</f>
        <v>4107</v>
      </c>
      <c r="G57">
        <f>Tabel24256789101112131415171618192120222326141516[[#This Row],[Stand Coffee einde maand]]-Tabel24256789101112131415171618192120222326141516[[#This Row],[Coffee vorige maand]]</f>
        <v>246</v>
      </c>
      <c r="H57" s="53">
        <v>731</v>
      </c>
      <c r="I57">
        <f>april2025!H57</f>
        <v>714</v>
      </c>
      <c r="J57">
        <f>Tabel24256789101112131415171618192120222326141516[[#This Row],[Stand Espresso Einde maand]]-Tabel24256789101112131415171618192120222326141516[[#This Row],[Espresso vorige maand]]</f>
        <v>17</v>
      </c>
      <c r="K57" s="53">
        <v>408</v>
      </c>
      <c r="L57">
        <f>april2025!K57</f>
        <v>386</v>
      </c>
      <c r="M57">
        <f>Tabel24256789101112131415171618192120222326141516[[#This Row],[Stand Latte Macchiato einde maand]]-Tabel24256789101112131415171618192120222326141516[[#This Row],[Latte Macchiato vorige maand]]</f>
        <v>22</v>
      </c>
      <c r="N57" s="53">
        <v>889</v>
      </c>
      <c r="O57">
        <f>april2025!N57</f>
        <v>816</v>
      </c>
      <c r="P57">
        <f>Tabel24256789101112131415171618192120222326141516[[#This Row],[Stand Coffee Latte einde maand]]-Tabel24256789101112131415171618192120222326141516[[#This Row],[Coffee Latte vorige maand]]</f>
        <v>73</v>
      </c>
      <c r="Q57" s="53">
        <v>825</v>
      </c>
      <c r="R57">
        <f>april2025!Q57</f>
        <v>776</v>
      </c>
      <c r="S57">
        <f>Tabel24256789101112131415171618192120222326141516[[#This Row],[Stand Hot Water einde maand]]-Tabel24256789101112131415171618192120222326141516[[#This Row],[Hot Water vorige maand]]</f>
        <v>49</v>
      </c>
      <c r="T57" s="53">
        <v>4230</v>
      </c>
      <c r="U57">
        <f>april2025!T57</f>
        <v>4012</v>
      </c>
      <c r="V57">
        <f>Tabel24256789101112131415171618192120222326141516[[#This Row],[Stand Cappucino einde maand]]-Tabel24256789101112131415171618192120222326141516[[#This Row],[Stand Cappucino vorige maand]]</f>
        <v>218</v>
      </c>
      <c r="W57" s="53">
        <v>774</v>
      </c>
      <c r="X57">
        <f>april2025!W57</f>
        <v>734</v>
      </c>
      <c r="Y57">
        <f>Tabel24256789101112131415171618192120222326141516[[#This Row],[Stand Cappucino Plantaardig einde maand]]-Tabel24256789101112131415171618192120222326141516[[#This Row],[Stand Cappucino Plantaardig vorige maand]]</f>
        <v>40</v>
      </c>
      <c r="Z57" s="53">
        <v>86</v>
      </c>
      <c r="AA57">
        <f>april2025!Z57</f>
        <v>77</v>
      </c>
      <c r="AB57">
        <f>Tabel24256789101112131415171618192120222326141516[[#This Row],[Stand Latte Macchiato Plantaardig einde maand]]-Tabel24256789101112131415171618192120222326141516[[#This Row],[Stand Latte Macchiato Plantaardig vorige maand]]</f>
        <v>9</v>
      </c>
      <c r="AC57" s="71">
        <f>Tabel24256789101112131415171618192120222326141516[[#This Row],[Verbruik Stand Latte Macchiato Plantaardig deze maand]]+Tabel24256789101112131415171618192120222326141516[[#This Row],[Verbruik  Cappucino Plantaardig deze maand]]+Tabel24256789101112131415171618192120222326141516[[#This Row],[Verbruik Cappucino deze maand]]+Tabel24256789101112131415171618192120222326141516[[#This Row],[Verbruik Hot Water deze maand]]+Tabel24256789101112131415171618192120222326141516[[#This Row],[Verbruik Coffee Latte deze maand]]+Tabel24256789101112131415171618192120222326141516[[#This Row],[Verbruik Latte Macchiato deze maand]]+Tabel24256789101112131415171618192120222326141516[[#This Row],[Verbruik Espresso deze maand]]+Tabel24256789101112131415171618192120222326141516[[#This Row],[Verbruik Coffee deze maand]]</f>
        <v>674</v>
      </c>
      <c r="AD57" s="53">
        <v>16.399999999999999</v>
      </c>
      <c r="AE57">
        <f>april2025!AD57</f>
        <v>15.1</v>
      </c>
      <c r="AF57">
        <f>Tabel24256789101112131415171618192120222326141516[[#This Row],[Stand Kamertemp liter einde maand]]-Tabel24256789101112131415171618192120222326141516[[#This Row],[Stand Kamertemp liter vorige maand]]</f>
        <v>1.2999999999999989</v>
      </c>
      <c r="AG57" s="2">
        <f>Tabel24256789101112131415171618192120222326141516[[#This Row],[Verbruik Kamertemp liter deze maand]]/0.15</f>
        <v>8.6666666666666607</v>
      </c>
      <c r="AH57" s="53">
        <v>281.39999999999998</v>
      </c>
      <c r="AI57">
        <f>april2025!AH57</f>
        <v>208.8</v>
      </c>
      <c r="AJ57">
        <f>Tabel24256789101112131415171618192120222326141516[[#This Row],[Stand Gekoeld liter einde maand]]-Tabel24256789101112131415171618192120222326141516[[#This Row],[Stand Gekoeld liter vorige maand]]</f>
        <v>72.599999999999966</v>
      </c>
      <c r="AK57" s="2">
        <f>Tabel24256789101112131415171618192120222326141516[[#This Row],[Verbruik Gekoeld liter deze maand]]/0.15</f>
        <v>483.99999999999977</v>
      </c>
      <c r="AL57" s="53">
        <v>148.30000000000001</v>
      </c>
      <c r="AM57">
        <f>april2025!AL57</f>
        <v>101.2</v>
      </c>
      <c r="AN57">
        <f>Tabel24256789101112131415171618192120222326141516[[#This Row],[Stand Bruisend liter einde maand]]-Tabel24256789101112131415171618192120222326141516[[#This Row],[Stand Bruisend liter vorige maand]]</f>
        <v>47.100000000000009</v>
      </c>
      <c r="AO57" s="2">
        <f>Tabel24256789101112131415171618192120222326141516[[#This Row],[Verbruik Bruisend liter deze maand]]/0.15</f>
        <v>314.00000000000006</v>
      </c>
      <c r="AP57" s="53">
        <v>42.5</v>
      </c>
      <c r="AQ57">
        <f>april2025!AP57</f>
        <v>28.6</v>
      </c>
      <c r="AR57">
        <f>Tabel24256789101112131415171618192120222326141516[[#This Row],[Stand licht bruisend liter einde maand]]-Tabel24256789101112131415171618192120222326141516[[#This Row],[Stand licht bruisend liter vorige maand]]</f>
        <v>13.899999999999999</v>
      </c>
      <c r="AS57" s="2">
        <f>Tabel24256789101112131415171618192120222326141516[[#This Row],[Verbruik licht bruisend liter deze maand]]/0.15</f>
        <v>92.666666666666657</v>
      </c>
      <c r="AT57" s="53">
        <v>935.9</v>
      </c>
      <c r="AU57">
        <f>april2025!AT57</f>
        <v>711</v>
      </c>
      <c r="AV57">
        <f>Tabel24256789101112131415171618192120222326141516[[#This Row],[Stand heet water liter einde maand]]-Tabel24256789101112131415171618192120222326141516[[#This Row],[Stand heet water liter vorige maand]]</f>
        <v>224.89999999999998</v>
      </c>
      <c r="AW57" s="2">
        <f>Tabel24256789101112131415171618192120222326141516[[#This Row],[Verbruik heet Water liter deze maand ]]/0.15</f>
        <v>1499.3333333333333</v>
      </c>
      <c r="AX57" s="77">
        <f>Tabel24256789101112131415171618192120222326141516[[#This Row],[Aantal consumpties heet water deze maand]]+Tabel24256789101112131415171618192120222326141516[[#This Row],[Aantal consumpties licht bruisend water deze maand]]+Tabel24256789101112131415171618192120222326141516[[#This Row],[aantal consumpties Bruisend water deze maand]]+Tabel24256789101112131415171618192120222326141516[[#This Row],[Aantal consumpties gekoeld water deze maand]]+Tabel24256789101112131415171618192120222326141516[[#This Row],[Aantal consumpties Kamertemp deze maand]]</f>
        <v>2398.6666666666665</v>
      </c>
      <c r="AY57" s="95">
        <f>Tabel24256789101112131415171618192120222326141516[[#This Row],[Subtotaal waterbar in consumpties]]+Tabel24256789101112131415171618192120222326141516[[#This Row],[Subtotaal koffieautomaten]]</f>
        <v>3072.6666666666665</v>
      </c>
    </row>
    <row r="58" spans="1:130" ht="14.45" customHeight="1" x14ac:dyDescent="0.25">
      <c r="A58" s="65" t="s">
        <v>54</v>
      </c>
      <c r="B58" t="s">
        <v>105</v>
      </c>
      <c r="C58" t="s">
        <v>31</v>
      </c>
      <c r="E58">
        <v>7889</v>
      </c>
      <c r="F58">
        <f>april2025!E58</f>
        <v>7711</v>
      </c>
      <c r="G58">
        <f>Tabel24256789101112131415171618192120222326141516[[#This Row],[Stand Coffee einde maand]]-Tabel24256789101112131415171618192120222326141516[[#This Row],[Coffee vorige maand]]</f>
        <v>178</v>
      </c>
      <c r="H58" s="53">
        <v>3464</v>
      </c>
      <c r="I58">
        <f>april2025!H58</f>
        <v>3362</v>
      </c>
      <c r="J58">
        <f>Tabel24256789101112131415171618192120222326141516[[#This Row],[Stand Espresso Einde maand]]-Tabel24256789101112131415171618192120222326141516[[#This Row],[Espresso vorige maand]]</f>
        <v>102</v>
      </c>
      <c r="K58" s="53">
        <v>3316</v>
      </c>
      <c r="L58">
        <f>april2025!K58</f>
        <v>3265</v>
      </c>
      <c r="M58">
        <f>Tabel24256789101112131415171618192120222326141516[[#This Row],[Stand Latte Macchiato einde maand]]-Tabel24256789101112131415171618192120222326141516[[#This Row],[Latte Macchiato vorige maand]]</f>
        <v>51</v>
      </c>
      <c r="N58" s="53">
        <v>974</v>
      </c>
      <c r="O58">
        <f>april2025!N58</f>
        <v>945</v>
      </c>
      <c r="P58">
        <f>Tabel24256789101112131415171618192120222326141516[[#This Row],[Stand Coffee Latte einde maand]]-Tabel24256789101112131415171618192120222326141516[[#This Row],[Coffee Latte vorige maand]]</f>
        <v>29</v>
      </c>
      <c r="Q58" s="53">
        <v>34555</v>
      </c>
      <c r="R58">
        <f>april2025!Q58</f>
        <v>33833</v>
      </c>
      <c r="S58">
        <f>Tabel24256789101112131415171618192120222326141516[[#This Row],[Stand Hot Water einde maand]]-Tabel24256789101112131415171618192120222326141516[[#This Row],[Hot Water vorige maand]]</f>
        <v>722</v>
      </c>
      <c r="T58" s="53">
        <v>6304</v>
      </c>
      <c r="U58">
        <f>april2025!T58</f>
        <v>6126</v>
      </c>
      <c r="V58">
        <f>Tabel24256789101112131415171618192120222326141516[[#This Row],[Stand Cappucino einde maand]]-Tabel24256789101112131415171618192120222326141516[[#This Row],[Stand Cappucino vorige maand]]</f>
        <v>178</v>
      </c>
      <c r="W58" s="53">
        <v>1084</v>
      </c>
      <c r="X58">
        <f>april2025!W58</f>
        <v>1068</v>
      </c>
      <c r="Y58">
        <f>Tabel24256789101112131415171618192120222326141516[[#This Row],[Stand Cappucino Plantaardig einde maand]]-Tabel24256789101112131415171618192120222326141516[[#This Row],[Stand Cappucino Plantaardig vorige maand]]</f>
        <v>16</v>
      </c>
      <c r="Z58" s="53">
        <v>254</v>
      </c>
      <c r="AA58">
        <f>april2025!Z58</f>
        <v>248</v>
      </c>
      <c r="AB58">
        <f>Tabel24256789101112131415171618192120222326141516[[#This Row],[Stand Latte Macchiato Plantaardig einde maand]]-Tabel24256789101112131415171618192120222326141516[[#This Row],[Stand Latte Macchiato Plantaardig vorige maand]]</f>
        <v>6</v>
      </c>
      <c r="AC58" s="71">
        <f>Tabel24256789101112131415171618192120222326141516[[#This Row],[Verbruik Stand Latte Macchiato Plantaardig deze maand]]+Tabel24256789101112131415171618192120222326141516[[#This Row],[Verbruik  Cappucino Plantaardig deze maand]]+Tabel24256789101112131415171618192120222326141516[[#This Row],[Verbruik Cappucino deze maand]]+Tabel24256789101112131415171618192120222326141516[[#This Row],[Verbruik Hot Water deze maand]]+Tabel24256789101112131415171618192120222326141516[[#This Row],[Verbruik Coffee Latte deze maand]]+Tabel24256789101112131415171618192120222326141516[[#This Row],[Verbruik Latte Macchiato deze maand]]+Tabel24256789101112131415171618192120222326141516[[#This Row],[Verbruik Espresso deze maand]]+Tabel24256789101112131415171618192120222326141516[[#This Row],[Verbruik Coffee deze maand]]</f>
        <v>1282</v>
      </c>
      <c r="AD58" s="69"/>
      <c r="AE58" s="41"/>
      <c r="AF58" s="5"/>
      <c r="AG58" s="5"/>
      <c r="AH58" s="75"/>
      <c r="AI58" s="41"/>
      <c r="AJ58" s="5"/>
      <c r="AK58" s="5"/>
      <c r="AL58" s="75"/>
      <c r="AM58" s="41"/>
      <c r="AN58" s="5"/>
      <c r="AO58" s="5"/>
      <c r="AP58" s="75"/>
      <c r="AQ58" s="41"/>
      <c r="AR58" s="5"/>
      <c r="AS58" s="5"/>
      <c r="AT58" s="75"/>
      <c r="AU58" s="41"/>
      <c r="AV58" s="5"/>
      <c r="AW58" s="5"/>
      <c r="AX58" s="79"/>
      <c r="AY58" s="95">
        <f>Tabel24256789101112131415171618192120222326141516[[#This Row],[Subtotaal waterbar in consumpties]]+Tabel24256789101112131415171618192120222326141516[[#This Row],[Subtotaal koffieautomaten]]</f>
        <v>1282</v>
      </c>
    </row>
    <row r="59" spans="1:130" ht="14.45" customHeight="1" x14ac:dyDescent="0.25">
      <c r="A59" s="65" t="s">
        <v>56</v>
      </c>
      <c r="B59" t="s">
        <v>106</v>
      </c>
      <c r="C59" t="s">
        <v>47</v>
      </c>
      <c r="E59">
        <v>12038</v>
      </c>
      <c r="F59">
        <f>april2025!E59</f>
        <v>11701</v>
      </c>
      <c r="G59">
        <f>Tabel24256789101112131415171618192120222326141516[[#This Row],[Stand Coffee einde maand]]-Tabel24256789101112131415171618192120222326141516[[#This Row],[Coffee vorige maand]]</f>
        <v>337</v>
      </c>
      <c r="H59" s="53">
        <v>3435</v>
      </c>
      <c r="I59">
        <f>april2025!H59</f>
        <v>3288</v>
      </c>
      <c r="J59">
        <f>Tabel24256789101112131415171618192120222326141516[[#This Row],[Stand Espresso Einde maand]]-Tabel24256789101112131415171618192120222326141516[[#This Row],[Espresso vorige maand]]</f>
        <v>147</v>
      </c>
      <c r="K59" s="53">
        <v>3307</v>
      </c>
      <c r="L59">
        <f>april2025!K59</f>
        <v>3221</v>
      </c>
      <c r="M59">
        <f>Tabel24256789101112131415171618192120222326141516[[#This Row],[Stand Latte Macchiato einde maand]]-Tabel24256789101112131415171618192120222326141516[[#This Row],[Latte Macchiato vorige maand]]</f>
        <v>86</v>
      </c>
      <c r="N59" s="53">
        <v>363</v>
      </c>
      <c r="O59">
        <f>april2025!N59</f>
        <v>355</v>
      </c>
      <c r="P59">
        <f>Tabel24256789101112131415171618192120222326141516[[#This Row],[Stand Coffee Latte einde maand]]-Tabel24256789101112131415171618192120222326141516[[#This Row],[Coffee Latte vorige maand]]</f>
        <v>8</v>
      </c>
      <c r="Q59" s="53">
        <v>1</v>
      </c>
      <c r="R59">
        <f>april2025!Q59</f>
        <v>1</v>
      </c>
      <c r="S59">
        <f>Tabel24256789101112131415171618192120222326141516[[#This Row],[Stand Hot Water einde maand]]-Tabel24256789101112131415171618192120222326141516[[#This Row],[Hot Water vorige maand]]</f>
        <v>0</v>
      </c>
      <c r="T59" s="53">
        <v>6559</v>
      </c>
      <c r="U59">
        <f>april2025!T59</f>
        <v>6380</v>
      </c>
      <c r="V59">
        <f>Tabel24256789101112131415171618192120222326141516[[#This Row],[Stand Cappucino einde maand]]-Tabel24256789101112131415171618192120222326141516[[#This Row],[Stand Cappucino vorige maand]]</f>
        <v>179</v>
      </c>
      <c r="W59" s="53">
        <v>1285</v>
      </c>
      <c r="X59">
        <f>april2025!W59</f>
        <v>1268</v>
      </c>
      <c r="Y59">
        <f>Tabel24256789101112131415171618192120222326141516[[#This Row],[Stand Cappucino Plantaardig einde maand]]-Tabel24256789101112131415171618192120222326141516[[#This Row],[Stand Cappucino Plantaardig vorige maand]]</f>
        <v>17</v>
      </c>
      <c r="Z59" s="53">
        <v>177</v>
      </c>
      <c r="AA59">
        <f>april2025!Z59</f>
        <v>173</v>
      </c>
      <c r="AB59">
        <f>Tabel24256789101112131415171618192120222326141516[[#This Row],[Stand Latte Macchiato Plantaardig einde maand]]-Tabel24256789101112131415171618192120222326141516[[#This Row],[Stand Latte Macchiato Plantaardig vorige maand]]</f>
        <v>4</v>
      </c>
      <c r="AC59" s="71">
        <f>Tabel24256789101112131415171618192120222326141516[[#This Row],[Verbruik Stand Latte Macchiato Plantaardig deze maand]]+Tabel24256789101112131415171618192120222326141516[[#This Row],[Verbruik  Cappucino Plantaardig deze maand]]+Tabel24256789101112131415171618192120222326141516[[#This Row],[Verbruik Cappucino deze maand]]+Tabel24256789101112131415171618192120222326141516[[#This Row],[Verbruik Hot Water deze maand]]+Tabel24256789101112131415171618192120222326141516[[#This Row],[Verbruik Coffee Latte deze maand]]+Tabel24256789101112131415171618192120222326141516[[#This Row],[Verbruik Latte Macchiato deze maand]]+Tabel24256789101112131415171618192120222326141516[[#This Row],[Verbruik Espresso deze maand]]+Tabel24256789101112131415171618192120222326141516[[#This Row],[Verbruik Coffee deze maand]]</f>
        <v>778</v>
      </c>
      <c r="AD59" s="53">
        <v>365.6</v>
      </c>
      <c r="AE59">
        <f>april2025!AD59</f>
        <v>353.9</v>
      </c>
      <c r="AF59">
        <f>Tabel24256789101112131415171618192120222326141516[[#This Row],[Stand Kamertemp liter einde maand]]-Tabel24256789101112131415171618192120222326141516[[#This Row],[Stand Kamertemp liter vorige maand]]</f>
        <v>11.700000000000045</v>
      </c>
      <c r="AG59" s="2">
        <f>Tabel24256789101112131415171618192120222326141516[[#This Row],[Verbruik Kamertemp liter deze maand]]/0.15</f>
        <v>78.000000000000313</v>
      </c>
      <c r="AH59" s="53">
        <v>3203</v>
      </c>
      <c r="AI59">
        <f>april2025!AH59</f>
        <v>3078.2</v>
      </c>
      <c r="AJ59">
        <f>Tabel24256789101112131415171618192120222326141516[[#This Row],[Stand Gekoeld liter einde maand]]-Tabel24256789101112131415171618192120222326141516[[#This Row],[Stand Gekoeld liter vorige maand]]</f>
        <v>124.80000000000018</v>
      </c>
      <c r="AK59" s="2">
        <f>Tabel24256789101112131415171618192120222326141516[[#This Row],[Verbruik Gekoeld liter deze maand]]/0.15</f>
        <v>832.00000000000125</v>
      </c>
      <c r="AL59" s="53">
        <v>2281.1999999999998</v>
      </c>
      <c r="AM59">
        <f>april2025!AL59</f>
        <v>2159.3000000000002</v>
      </c>
      <c r="AN59">
        <f>Tabel24256789101112131415171618192120222326141516[[#This Row],[Stand Bruisend liter einde maand]]-Tabel24256789101112131415171618192120222326141516[[#This Row],[Stand Bruisend liter vorige maand]]</f>
        <v>121.89999999999964</v>
      </c>
      <c r="AO59" s="2">
        <f>Tabel24256789101112131415171618192120222326141516[[#This Row],[Verbruik Bruisend liter deze maand]]/0.15</f>
        <v>812.66666666666424</v>
      </c>
      <c r="AP59" s="53">
        <v>1276</v>
      </c>
      <c r="AQ59">
        <f>april2025!AP59</f>
        <v>1226.9000000000001</v>
      </c>
      <c r="AR59">
        <f>Tabel24256789101112131415171618192120222326141516[[#This Row],[Stand licht bruisend liter einde maand]]-Tabel24256789101112131415171618192120222326141516[[#This Row],[Stand licht bruisend liter vorige maand]]</f>
        <v>49.099999999999909</v>
      </c>
      <c r="AS59" s="2">
        <f>Tabel24256789101112131415171618192120222326141516[[#This Row],[Verbruik licht bruisend liter deze maand]]/0.15</f>
        <v>327.33333333333275</v>
      </c>
      <c r="AT59" s="53">
        <v>8418.4</v>
      </c>
      <c r="AU59">
        <f>april2025!AT59</f>
        <v>8221.7000000000007</v>
      </c>
      <c r="AV59">
        <f>Tabel24256789101112131415171618192120222326141516[[#This Row],[Stand heet water liter einde maand]]-Tabel24256789101112131415171618192120222326141516[[#This Row],[Stand heet water liter vorige maand]]</f>
        <v>196.69999999999891</v>
      </c>
      <c r="AW59" s="2">
        <f>Tabel24256789101112131415171618192120222326141516[[#This Row],[Verbruik heet Water liter deze maand ]]/0.15</f>
        <v>1311.3333333333262</v>
      </c>
      <c r="AX59" s="77">
        <f>Tabel24256789101112131415171618192120222326141516[[#This Row],[Aantal consumpties heet water deze maand]]+Tabel24256789101112131415171618192120222326141516[[#This Row],[Aantal consumpties licht bruisend water deze maand]]+Tabel24256789101112131415171618192120222326141516[[#This Row],[aantal consumpties Bruisend water deze maand]]+Tabel24256789101112131415171618192120222326141516[[#This Row],[Aantal consumpties gekoeld water deze maand]]+Tabel24256789101112131415171618192120222326141516[[#This Row],[Aantal consumpties Kamertemp deze maand]]</f>
        <v>3361.3333333333248</v>
      </c>
      <c r="AY59" s="95">
        <f>Tabel24256789101112131415171618192120222326141516[[#This Row],[Subtotaal waterbar in consumpties]]+Tabel24256789101112131415171618192120222326141516[[#This Row],[Subtotaal koffieautomaten]]</f>
        <v>4139.3333333333248</v>
      </c>
    </row>
    <row r="60" spans="1:130" ht="14.45" customHeight="1" x14ac:dyDescent="0.25">
      <c r="A60" s="65" t="s">
        <v>58</v>
      </c>
      <c r="B60" t="s">
        <v>107</v>
      </c>
      <c r="C60" t="s">
        <v>31</v>
      </c>
      <c r="E60">
        <v>12869</v>
      </c>
      <c r="F60">
        <f>april2025!E60</f>
        <v>12406</v>
      </c>
      <c r="G60">
        <f>Tabel24256789101112131415171618192120222326141516[[#This Row],[Stand Coffee einde maand]]-Tabel24256789101112131415171618192120222326141516[[#This Row],[Coffee vorige maand]]</f>
        <v>463</v>
      </c>
      <c r="H60" s="53">
        <v>2449</v>
      </c>
      <c r="I60">
        <f>april2025!H60</f>
        <v>2365</v>
      </c>
      <c r="J60">
        <f>Tabel24256789101112131415171618192120222326141516[[#This Row],[Stand Espresso Einde maand]]-Tabel24256789101112131415171618192120222326141516[[#This Row],[Espresso vorige maand]]</f>
        <v>84</v>
      </c>
      <c r="K60" s="53">
        <v>2003</v>
      </c>
      <c r="L60">
        <f>april2025!K60</f>
        <v>1972</v>
      </c>
      <c r="M60">
        <f>Tabel24256789101112131415171618192120222326141516[[#This Row],[Stand Latte Macchiato einde maand]]-Tabel24256789101112131415171618192120222326141516[[#This Row],[Latte Macchiato vorige maand]]</f>
        <v>31</v>
      </c>
      <c r="N60" s="53">
        <v>347</v>
      </c>
      <c r="O60">
        <f>april2025!N60</f>
        <v>337</v>
      </c>
      <c r="P60">
        <f>Tabel24256789101112131415171618192120222326141516[[#This Row],[Stand Coffee Latte einde maand]]-Tabel24256789101112131415171618192120222326141516[[#This Row],[Coffee Latte vorige maand]]</f>
        <v>10</v>
      </c>
      <c r="Q60" s="53">
        <v>24979</v>
      </c>
      <c r="R60">
        <f>april2025!Q60</f>
        <v>24194</v>
      </c>
      <c r="S60">
        <f>Tabel24256789101112131415171618192120222326141516[[#This Row],[Stand Hot Water einde maand]]-Tabel24256789101112131415171618192120222326141516[[#This Row],[Hot Water vorige maand]]</f>
        <v>785</v>
      </c>
      <c r="T60" s="53">
        <v>3540</v>
      </c>
      <c r="U60">
        <f>april2025!T60</f>
        <v>3450</v>
      </c>
      <c r="V60">
        <f>Tabel24256789101112131415171618192120222326141516[[#This Row],[Stand Cappucino einde maand]]-Tabel24256789101112131415171618192120222326141516[[#This Row],[Stand Cappucino vorige maand]]</f>
        <v>90</v>
      </c>
      <c r="W60" s="53">
        <v>2297</v>
      </c>
      <c r="X60">
        <f>april2025!W60</f>
        <v>2203</v>
      </c>
      <c r="Y60">
        <f>Tabel24256789101112131415171618192120222326141516[[#This Row],[Stand Cappucino Plantaardig einde maand]]-Tabel24256789101112131415171618192120222326141516[[#This Row],[Stand Cappucino Plantaardig vorige maand]]</f>
        <v>94</v>
      </c>
      <c r="Z60" s="53">
        <v>479</v>
      </c>
      <c r="AA60">
        <f>april2025!Z60</f>
        <v>463</v>
      </c>
      <c r="AB60">
        <f>Tabel24256789101112131415171618192120222326141516[[#This Row],[Stand Latte Macchiato Plantaardig einde maand]]-Tabel24256789101112131415171618192120222326141516[[#This Row],[Stand Latte Macchiato Plantaardig vorige maand]]</f>
        <v>16</v>
      </c>
      <c r="AC60" s="71">
        <f>Tabel24256789101112131415171618192120222326141516[[#This Row],[Verbruik Stand Latte Macchiato Plantaardig deze maand]]+Tabel24256789101112131415171618192120222326141516[[#This Row],[Verbruik  Cappucino Plantaardig deze maand]]+Tabel24256789101112131415171618192120222326141516[[#This Row],[Verbruik Cappucino deze maand]]+Tabel24256789101112131415171618192120222326141516[[#This Row],[Verbruik Hot Water deze maand]]+Tabel24256789101112131415171618192120222326141516[[#This Row],[Verbruik Coffee Latte deze maand]]+Tabel24256789101112131415171618192120222326141516[[#This Row],[Verbruik Latte Macchiato deze maand]]+Tabel24256789101112131415171618192120222326141516[[#This Row],[Verbruik Espresso deze maand]]+Tabel24256789101112131415171618192120222326141516[[#This Row],[Verbruik Coffee deze maand]]</f>
        <v>1573</v>
      </c>
      <c r="AD60" s="69"/>
      <c r="AE60" s="41"/>
      <c r="AF60" s="5"/>
      <c r="AG60" s="5"/>
      <c r="AH60" s="75"/>
      <c r="AI60" s="41"/>
      <c r="AJ60" s="5"/>
      <c r="AK60" s="5"/>
      <c r="AL60" s="75"/>
      <c r="AM60" s="41"/>
      <c r="AN60" s="5"/>
      <c r="AO60" s="5"/>
      <c r="AP60" s="75"/>
      <c r="AQ60" s="41"/>
      <c r="AR60" s="5"/>
      <c r="AS60" s="5"/>
      <c r="AT60" s="75"/>
      <c r="AU60" s="41"/>
      <c r="AV60" s="5"/>
      <c r="AW60" s="5"/>
      <c r="AX60" s="79"/>
      <c r="AY60" s="95">
        <f>Tabel24256789101112131415171618192120222326141516[[#This Row],[Subtotaal waterbar in consumpties]]+Tabel24256789101112131415171618192120222326141516[[#This Row],[Subtotaal koffieautomaten]]</f>
        <v>1573</v>
      </c>
    </row>
    <row r="61" spans="1:130" ht="14.45" customHeight="1" x14ac:dyDescent="0.25">
      <c r="A61" s="65" t="s">
        <v>60</v>
      </c>
      <c r="B61" t="s">
        <v>108</v>
      </c>
      <c r="C61" t="s">
        <v>36</v>
      </c>
      <c r="E61" s="46"/>
      <c r="F61" s="46"/>
      <c r="G61" s="47"/>
      <c r="H61" s="54"/>
      <c r="I61" s="46"/>
      <c r="J61" s="47"/>
      <c r="K61" s="54"/>
      <c r="L61" s="46"/>
      <c r="M61" s="47"/>
      <c r="N61" s="54"/>
      <c r="O61" s="46"/>
      <c r="P61" s="47"/>
      <c r="Q61" s="54"/>
      <c r="R61" s="46"/>
      <c r="S61" s="47"/>
      <c r="T61" s="54"/>
      <c r="U61" s="46"/>
      <c r="V61" s="47"/>
      <c r="W61" s="54"/>
      <c r="X61" s="46"/>
      <c r="Y61" s="47"/>
      <c r="Z61" s="54"/>
      <c r="AA61" s="46"/>
      <c r="AB61" s="47"/>
      <c r="AC61" s="72"/>
      <c r="AD61" s="53">
        <v>329.2</v>
      </c>
      <c r="AE61">
        <f>april2025!AD61</f>
        <v>312</v>
      </c>
      <c r="AF61">
        <f>Tabel24256789101112131415171618192120222326141516[[#This Row],[Stand Kamertemp liter einde maand]]-Tabel24256789101112131415171618192120222326141516[[#This Row],[Stand Kamertemp liter vorige maand]]</f>
        <v>17.199999999999989</v>
      </c>
      <c r="AG61" s="2">
        <f>Tabel24256789101112131415171618192120222326141516[[#This Row],[Verbruik Kamertemp liter deze maand]]/0.15</f>
        <v>114.6666666666666</v>
      </c>
      <c r="AH61" s="53">
        <v>1668.2</v>
      </c>
      <c r="AI61">
        <f>april2025!AH61</f>
        <v>1582.4</v>
      </c>
      <c r="AJ61">
        <f>Tabel24256789101112131415171618192120222326141516[[#This Row],[Stand Gekoeld liter einde maand]]-Tabel24256789101112131415171618192120222326141516[[#This Row],[Stand Gekoeld liter vorige maand]]</f>
        <v>85.799999999999955</v>
      </c>
      <c r="AK61" s="2">
        <f>Tabel24256789101112131415171618192120222326141516[[#This Row],[Verbruik Gekoeld liter deze maand]]/0.15</f>
        <v>571.99999999999977</v>
      </c>
      <c r="AL61" s="53">
        <v>882.7</v>
      </c>
      <c r="AM61">
        <f>april2025!AL61</f>
        <v>861.1</v>
      </c>
      <c r="AN61">
        <f>Tabel24256789101112131415171618192120222326141516[[#This Row],[Stand Bruisend liter einde maand]]-Tabel24256789101112131415171618192120222326141516[[#This Row],[Stand Bruisend liter vorige maand]]</f>
        <v>21.600000000000023</v>
      </c>
      <c r="AO61" s="2">
        <f>Tabel24256789101112131415171618192120222326141516[[#This Row],[Verbruik Bruisend liter deze maand]]/0.15</f>
        <v>144.00000000000017</v>
      </c>
      <c r="AP61" s="53">
        <v>1234.8</v>
      </c>
      <c r="AQ61">
        <f>april2025!AP61</f>
        <v>1195.9000000000001</v>
      </c>
      <c r="AR61">
        <f>Tabel24256789101112131415171618192120222326141516[[#This Row],[Stand licht bruisend liter einde maand]]-Tabel24256789101112131415171618192120222326141516[[#This Row],[Stand licht bruisend liter vorige maand]]</f>
        <v>38.899999999999864</v>
      </c>
      <c r="AS61" s="2">
        <f>Tabel24256789101112131415171618192120222326141516[[#This Row],[Verbruik licht bruisend liter deze maand]]/0.15</f>
        <v>259.33333333333246</v>
      </c>
      <c r="AT61" s="53">
        <v>4389.5</v>
      </c>
      <c r="AU61">
        <f>april2025!AT61</f>
        <v>4230.3999999999996</v>
      </c>
      <c r="AV61">
        <f>Tabel24256789101112131415171618192120222326141516[[#This Row],[Stand heet water liter einde maand]]-Tabel24256789101112131415171618192120222326141516[[#This Row],[Stand heet water liter vorige maand]]</f>
        <v>159.10000000000036</v>
      </c>
      <c r="AW61" s="2">
        <f>Tabel24256789101112131415171618192120222326141516[[#This Row],[Verbruik heet Water liter deze maand ]]/0.15</f>
        <v>1060.6666666666692</v>
      </c>
      <c r="AX61" s="77">
        <f>Tabel24256789101112131415171618192120222326141516[[#This Row],[Aantal consumpties heet water deze maand]]+Tabel24256789101112131415171618192120222326141516[[#This Row],[Aantal consumpties licht bruisend water deze maand]]+Tabel24256789101112131415171618192120222326141516[[#This Row],[aantal consumpties Bruisend water deze maand]]+Tabel24256789101112131415171618192120222326141516[[#This Row],[Aantal consumpties gekoeld water deze maand]]+Tabel24256789101112131415171618192120222326141516[[#This Row],[Aantal consumpties Kamertemp deze maand]]</f>
        <v>2150.6666666666683</v>
      </c>
      <c r="AY61" s="95">
        <f>Tabel24256789101112131415171618192120222326141516[[#This Row],[Subtotaal waterbar in consumpties]]+Tabel24256789101112131415171618192120222326141516[[#This Row],[Subtotaal koffieautomaten]]</f>
        <v>2150.6666666666683</v>
      </c>
    </row>
    <row r="62" spans="1:130" s="81" customFormat="1" x14ac:dyDescent="0.25">
      <c r="A62" s="165" t="s">
        <v>109</v>
      </c>
      <c r="B62" s="151"/>
      <c r="C62" s="151"/>
      <c r="D62" s="166"/>
      <c r="E62" s="151"/>
      <c r="F62" s="151"/>
      <c r="G62" s="151"/>
      <c r="H62" s="167"/>
      <c r="I62" s="151"/>
      <c r="J62" s="151"/>
      <c r="K62" s="167"/>
      <c r="L62" s="151"/>
      <c r="M62" s="151"/>
      <c r="N62" s="167"/>
      <c r="O62" s="151"/>
      <c r="P62" s="151"/>
      <c r="Q62" s="167"/>
      <c r="R62" s="151"/>
      <c r="S62" s="151"/>
      <c r="T62" s="167"/>
      <c r="U62" s="151"/>
      <c r="V62" s="151"/>
      <c r="W62" s="167"/>
      <c r="X62" s="151"/>
      <c r="Y62" s="151"/>
      <c r="Z62" s="167"/>
      <c r="AA62" s="151"/>
      <c r="AB62" s="151"/>
      <c r="AC62" s="168"/>
      <c r="AD62" s="169"/>
      <c r="AE62" s="154"/>
      <c r="AF62" s="151"/>
      <c r="AG62" s="155"/>
      <c r="AH62" s="169"/>
      <c r="AI62" s="154"/>
      <c r="AJ62" s="151"/>
      <c r="AK62" s="155"/>
      <c r="AL62" s="169"/>
      <c r="AM62" s="154"/>
      <c r="AN62" s="151"/>
      <c r="AO62" s="155"/>
      <c r="AP62" s="169"/>
      <c r="AQ62" s="154"/>
      <c r="AR62" s="151"/>
      <c r="AS62" s="155"/>
      <c r="AT62" s="169"/>
      <c r="AU62" s="154"/>
      <c r="AV62" s="151"/>
      <c r="AW62" s="155"/>
      <c r="AX62" s="170"/>
      <c r="AY62" s="171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</row>
    <row r="63" spans="1:130" x14ac:dyDescent="0.25">
      <c r="A63" s="67">
        <v>1</v>
      </c>
      <c r="B63" t="s">
        <v>110</v>
      </c>
      <c r="C63" t="s">
        <v>31</v>
      </c>
      <c r="E63">
        <v>11477</v>
      </c>
      <c r="F63">
        <f>april2025!E63</f>
        <v>11071</v>
      </c>
      <c r="G63">
        <f>Tabel24256789101112131415171618192120222326141516[[#This Row],[Stand Coffee einde maand]]-Tabel24256789101112131415171618192120222326141516[[#This Row],[Coffee vorige maand]]</f>
        <v>406</v>
      </c>
      <c r="H63" s="53">
        <v>1602</v>
      </c>
      <c r="I63">
        <f>april2025!H63</f>
        <v>1572</v>
      </c>
      <c r="J63">
        <f>Tabel24256789101112131415171618192120222326141516[[#This Row],[Stand Espresso Einde maand]]-Tabel24256789101112131415171618192120222326141516[[#This Row],[Espresso vorige maand]]</f>
        <v>30</v>
      </c>
      <c r="K63" s="53">
        <v>1091</v>
      </c>
      <c r="L63">
        <f>april2025!K63</f>
        <v>1061</v>
      </c>
      <c r="M63">
        <f>Tabel24256789101112131415171618192120222326141516[[#This Row],[Stand Latte Macchiato einde maand]]-Tabel24256789101112131415171618192120222326141516[[#This Row],[Latte Macchiato vorige maand]]</f>
        <v>30</v>
      </c>
      <c r="N63" s="53">
        <v>521</v>
      </c>
      <c r="O63">
        <f>april2025!N63</f>
        <v>516</v>
      </c>
      <c r="P63">
        <f>Tabel24256789101112131415171618192120222326141516[[#This Row],[Stand Coffee Latte einde maand]]-Tabel24256789101112131415171618192120222326141516[[#This Row],[Coffee Latte vorige maand]]</f>
        <v>5</v>
      </c>
      <c r="Q63" s="53">
        <v>9813</v>
      </c>
      <c r="R63">
        <f>april2025!Q63</f>
        <v>9417</v>
      </c>
      <c r="S63">
        <f>Tabel24256789101112131415171618192120222326141516[[#This Row],[Stand Hot Water einde maand]]-Tabel24256789101112131415171618192120222326141516[[#This Row],[Hot Water vorige maand]]</f>
        <v>396</v>
      </c>
      <c r="T63" s="53">
        <v>3922</v>
      </c>
      <c r="U63">
        <f>april2025!T63</f>
        <v>3797</v>
      </c>
      <c r="V63">
        <f>Tabel24256789101112131415171618192120222326141516[[#This Row],[Stand Cappucino einde maand]]-Tabel24256789101112131415171618192120222326141516[[#This Row],[Stand Cappucino vorige maand]]</f>
        <v>125</v>
      </c>
      <c r="W63" s="53">
        <v>57</v>
      </c>
      <c r="X63">
        <f>april2025!W63</f>
        <v>55</v>
      </c>
      <c r="Y63">
        <f>Tabel24256789101112131415171618192120222326141516[[#This Row],[Stand Cappucino Plantaardig einde maand]]-Tabel24256789101112131415171618192120222326141516[[#This Row],[Stand Cappucino Plantaardig vorige maand]]</f>
        <v>2</v>
      </c>
      <c r="Z63" s="53">
        <v>245</v>
      </c>
      <c r="AA63">
        <f>april2025!Z63</f>
        <v>245</v>
      </c>
      <c r="AB63">
        <f>Tabel24256789101112131415171618192120222326141516[[#This Row],[Stand Latte Macchiato Plantaardig einde maand]]-Tabel24256789101112131415171618192120222326141516[[#This Row],[Stand Latte Macchiato Plantaardig vorige maand]]</f>
        <v>0</v>
      </c>
      <c r="AC63" s="71">
        <f>Tabel24256789101112131415171618192120222326141516[[#This Row],[Verbruik Stand Latte Macchiato Plantaardig deze maand]]+Tabel24256789101112131415171618192120222326141516[[#This Row],[Verbruik  Cappucino Plantaardig deze maand]]+Tabel24256789101112131415171618192120222326141516[[#This Row],[Verbruik Cappucino deze maand]]+Tabel24256789101112131415171618192120222326141516[[#This Row],[Verbruik Hot Water deze maand]]+Tabel24256789101112131415171618192120222326141516[[#This Row],[Verbruik Coffee Latte deze maand]]+Tabel24256789101112131415171618192120222326141516[[#This Row],[Verbruik Latte Macchiato deze maand]]+Tabel24256789101112131415171618192120222326141516[[#This Row],[Verbruik Espresso deze maand]]+Tabel24256789101112131415171618192120222326141516[[#This Row],[Verbruik Coffee deze maand]]</f>
        <v>994</v>
      </c>
      <c r="AD63" s="69"/>
      <c r="AE63" s="41"/>
      <c r="AF63" s="5"/>
      <c r="AG63" s="5"/>
      <c r="AH63" s="69"/>
      <c r="AI63" s="41"/>
      <c r="AJ63" s="5"/>
      <c r="AK63" s="5"/>
      <c r="AL63" s="69"/>
      <c r="AM63" s="41"/>
      <c r="AN63" s="5"/>
      <c r="AO63" s="5"/>
      <c r="AP63" s="69"/>
      <c r="AQ63" s="41"/>
      <c r="AR63" s="5"/>
      <c r="AS63" s="5"/>
      <c r="AT63" s="69"/>
      <c r="AU63" s="41"/>
      <c r="AV63" s="5"/>
      <c r="AW63" s="7"/>
      <c r="AX63" s="78"/>
      <c r="AY63" s="95">
        <f>Tabel24256789101112131415171618192120222326141516[[#This Row],[Subtotaal waterbar in consumpties]]+Tabel24256789101112131415171618192120222326141516[[#This Row],[Subtotaal koffieautomaten]]</f>
        <v>994</v>
      </c>
    </row>
    <row r="64" spans="1:130" x14ac:dyDescent="0.25">
      <c r="A64" s="67">
        <v>1</v>
      </c>
      <c r="B64" t="s">
        <v>111</v>
      </c>
      <c r="C64" t="s">
        <v>31</v>
      </c>
      <c r="E64">
        <v>12261</v>
      </c>
      <c r="F64">
        <f>april2025!E64</f>
        <v>12051</v>
      </c>
      <c r="G64">
        <f>Tabel24256789101112131415171618192120222326141516[[#This Row],[Stand Coffee einde maand]]-Tabel24256789101112131415171618192120222326141516[[#This Row],[Coffee vorige maand]]</f>
        <v>210</v>
      </c>
      <c r="H64" s="53">
        <v>615</v>
      </c>
      <c r="I64">
        <f>april2025!H64</f>
        <v>586</v>
      </c>
      <c r="J64">
        <f>Tabel24256789101112131415171618192120222326141516[[#This Row],[Stand Espresso Einde maand]]-Tabel24256789101112131415171618192120222326141516[[#This Row],[Espresso vorige maand]]</f>
        <v>29</v>
      </c>
      <c r="K64" s="53">
        <v>2193</v>
      </c>
      <c r="L64">
        <f>april2025!K64</f>
        <v>2176</v>
      </c>
      <c r="M64">
        <f>Tabel24256789101112131415171618192120222326141516[[#This Row],[Stand Latte Macchiato einde maand]]-Tabel24256789101112131415171618192120222326141516[[#This Row],[Latte Macchiato vorige maand]]</f>
        <v>17</v>
      </c>
      <c r="N64" s="53">
        <v>1323</v>
      </c>
      <c r="O64">
        <f>april2025!N64</f>
        <v>1319</v>
      </c>
      <c r="P64">
        <f>Tabel24256789101112131415171618192120222326141516[[#This Row],[Stand Coffee Latte einde maand]]-Tabel24256789101112131415171618192120222326141516[[#This Row],[Coffee Latte vorige maand]]</f>
        <v>4</v>
      </c>
      <c r="Q64" s="53">
        <v>10045</v>
      </c>
      <c r="R64">
        <f>april2025!Q64</f>
        <v>9839</v>
      </c>
      <c r="S64">
        <f>Tabel24256789101112131415171618192120222326141516[[#This Row],[Stand Hot Water einde maand]]-Tabel24256789101112131415171618192120222326141516[[#This Row],[Hot Water vorige maand]]</f>
        <v>206</v>
      </c>
      <c r="T64" s="53">
        <v>3344</v>
      </c>
      <c r="U64">
        <f>april2025!T64</f>
        <v>3163</v>
      </c>
      <c r="V64">
        <f>Tabel24256789101112131415171618192120222326141516[[#This Row],[Stand Cappucino einde maand]]-Tabel24256789101112131415171618192120222326141516[[#This Row],[Stand Cappucino vorige maand]]</f>
        <v>181</v>
      </c>
      <c r="W64" s="53">
        <v>288</v>
      </c>
      <c r="X64">
        <f>april2025!W64</f>
        <v>288</v>
      </c>
      <c r="Y64">
        <f>Tabel24256789101112131415171618192120222326141516[[#This Row],[Stand Cappucino Plantaardig einde maand]]-Tabel24256789101112131415171618192120222326141516[[#This Row],[Stand Cappucino Plantaardig vorige maand]]</f>
        <v>0</v>
      </c>
      <c r="Z64" s="53">
        <v>337</v>
      </c>
      <c r="AA64">
        <f>april2025!Z64</f>
        <v>337</v>
      </c>
      <c r="AB64">
        <f>Tabel24256789101112131415171618192120222326141516[[#This Row],[Stand Latte Macchiato Plantaardig einde maand]]-Tabel24256789101112131415171618192120222326141516[[#This Row],[Stand Latte Macchiato Plantaardig vorige maand]]</f>
        <v>0</v>
      </c>
      <c r="AC64" s="71">
        <f>Tabel24256789101112131415171618192120222326141516[[#This Row],[Verbruik Stand Latte Macchiato Plantaardig deze maand]]+Tabel24256789101112131415171618192120222326141516[[#This Row],[Verbruik  Cappucino Plantaardig deze maand]]+Tabel24256789101112131415171618192120222326141516[[#This Row],[Verbruik Cappucino deze maand]]+Tabel24256789101112131415171618192120222326141516[[#This Row],[Verbruik Hot Water deze maand]]+Tabel24256789101112131415171618192120222326141516[[#This Row],[Verbruik Coffee Latte deze maand]]+Tabel24256789101112131415171618192120222326141516[[#This Row],[Verbruik Latte Macchiato deze maand]]+Tabel24256789101112131415171618192120222326141516[[#This Row],[Verbruik Espresso deze maand]]+Tabel24256789101112131415171618192120222326141516[[#This Row],[Verbruik Coffee deze maand]]</f>
        <v>647</v>
      </c>
      <c r="AD64" s="69"/>
      <c r="AE64" s="41"/>
      <c r="AF64" s="5"/>
      <c r="AG64" s="5"/>
      <c r="AH64" s="69"/>
      <c r="AI64" s="41"/>
      <c r="AJ64" s="5"/>
      <c r="AK64" s="5"/>
      <c r="AL64" s="69"/>
      <c r="AM64" s="41"/>
      <c r="AN64" s="5"/>
      <c r="AO64" s="5"/>
      <c r="AP64" s="69"/>
      <c r="AQ64" s="41"/>
      <c r="AR64" s="5"/>
      <c r="AS64" s="5"/>
      <c r="AT64" s="69"/>
      <c r="AU64" s="41"/>
      <c r="AV64" s="5"/>
      <c r="AW64" s="7"/>
      <c r="AX64" s="78"/>
      <c r="AY64" s="95">
        <f>Tabel24256789101112131415171618192120222326141516[[#This Row],[Subtotaal waterbar in consumpties]]+Tabel24256789101112131415171618192120222326141516[[#This Row],[Subtotaal koffieautomaten]]</f>
        <v>647</v>
      </c>
    </row>
    <row r="65" spans="1:53" x14ac:dyDescent="0.25">
      <c r="A65" s="66" t="s">
        <v>112</v>
      </c>
      <c r="E65" s="3">
        <f>SUM(E5:E64)</f>
        <v>720531</v>
      </c>
      <c r="F65" s="3">
        <f>SUM(F5:F64)</f>
        <v>696274</v>
      </c>
      <c r="G65" s="3">
        <f>SUM(G4:G64)</f>
        <v>24257</v>
      </c>
      <c r="H65" s="55">
        <f>SUM(H5:H64)</f>
        <v>186393</v>
      </c>
      <c r="I65" s="3">
        <f>SUM(I5:I64)</f>
        <v>179575</v>
      </c>
      <c r="J65" s="3">
        <f>SUM(J4:J64)</f>
        <v>6818</v>
      </c>
      <c r="K65" s="55">
        <f>SUM(K5:K64)</f>
        <v>84894</v>
      </c>
      <c r="L65" s="3">
        <f>SUM(L5:L64)</f>
        <v>82471</v>
      </c>
      <c r="M65" s="3">
        <f>SUM(M4:M64)</f>
        <v>2423</v>
      </c>
      <c r="N65" s="55">
        <f>SUM(N5:N64)</f>
        <v>49953</v>
      </c>
      <c r="O65" s="3">
        <f>SUM(O5:O64)</f>
        <v>48218</v>
      </c>
      <c r="P65" s="3">
        <f>SUM(P4:P64)</f>
        <v>1735</v>
      </c>
      <c r="Q65" s="55">
        <f>SUM(Q5:Q64)</f>
        <v>872642</v>
      </c>
      <c r="R65" s="3">
        <f>SUM(R5:R64)</f>
        <v>843410</v>
      </c>
      <c r="S65" s="3">
        <f>SUM(S4:S64)</f>
        <v>29232</v>
      </c>
      <c r="T65" s="55">
        <f>SUM(T5:T64)</f>
        <v>391928</v>
      </c>
      <c r="U65" s="3">
        <f>SUM(U5:U64)</f>
        <v>379919</v>
      </c>
      <c r="V65" s="3">
        <f>SUM(V4:V64)</f>
        <v>12009</v>
      </c>
      <c r="W65" s="55">
        <f>SUM(W5:W64)</f>
        <v>71256</v>
      </c>
      <c r="X65" s="3">
        <f>SUM(X5:X64)</f>
        <v>69250</v>
      </c>
      <c r="Y65" s="3">
        <f>SUM(Y4:Y64)</f>
        <v>2006</v>
      </c>
      <c r="Z65" s="55">
        <f>SUM(Z5:Z64)</f>
        <v>26062</v>
      </c>
      <c r="AA65" s="3">
        <f>SUM(AA5:AA64)</f>
        <v>25183</v>
      </c>
      <c r="AB65" s="3">
        <f t="shared" ref="AB65:AQ65" si="0">SUM(AB4:AB64)</f>
        <v>879</v>
      </c>
      <c r="AC65" s="71">
        <f t="shared" si="0"/>
        <v>79359</v>
      </c>
      <c r="AD65" s="55">
        <f t="shared" si="0"/>
        <v>4899.2</v>
      </c>
      <c r="AE65" s="3">
        <f t="shared" si="0"/>
        <v>4453.7999999999993</v>
      </c>
      <c r="AF65" s="4">
        <f t="shared" si="0"/>
        <v>445.40000000000009</v>
      </c>
      <c r="AG65" s="4">
        <f t="shared" si="0"/>
        <v>2969.3333333333339</v>
      </c>
      <c r="AH65" s="76"/>
      <c r="AI65" s="4">
        <f t="shared" si="0"/>
        <v>25349.1</v>
      </c>
      <c r="AJ65" s="4">
        <f t="shared" si="0"/>
        <v>3232.9000000000005</v>
      </c>
      <c r="AK65" s="4">
        <f t="shared" si="0"/>
        <v>21552.666666666668</v>
      </c>
      <c r="AL65" s="76">
        <f t="shared" si="0"/>
        <v>20509.7</v>
      </c>
      <c r="AM65" s="4">
        <f t="shared" si="0"/>
        <v>18431.5</v>
      </c>
      <c r="AN65" s="4">
        <f t="shared" si="0"/>
        <v>2078.1999999999989</v>
      </c>
      <c r="AO65" s="4">
        <f t="shared" si="0"/>
        <v>13854.666666666661</v>
      </c>
      <c r="AP65" s="76">
        <f t="shared" si="0"/>
        <v>8777.5999999999985</v>
      </c>
      <c r="AQ65" s="4">
        <f t="shared" si="0"/>
        <v>8013.7000000000007</v>
      </c>
      <c r="AR65" s="3">
        <f>SUM(AR5:AR64)</f>
        <v>763.89999999999964</v>
      </c>
      <c r="AS65" s="4">
        <f>SUM(AS4:AS64)</f>
        <v>5092.6666666666642</v>
      </c>
      <c r="AT65" s="76">
        <f>SUM(AT4:AT64)</f>
        <v>69845.399999999994</v>
      </c>
      <c r="AU65" s="4">
        <f>SUM(AU4:AU64)</f>
        <v>64310.9</v>
      </c>
      <c r="AV65" s="3">
        <f>SUM(AV5:AV64)</f>
        <v>5534.4999999999991</v>
      </c>
      <c r="AW65" s="4">
        <f>SUM(AW4:AW64)</f>
        <v>36896.666666666672</v>
      </c>
      <c r="AX65" s="77">
        <f>SUM(AX4:AX64)</f>
        <v>80366.000000000015</v>
      </c>
      <c r="AY65" s="95">
        <f>Tabel24256789101112131415171618192120222326141516[[#This Row],[Subtotaal waterbar in consumpties]]+Tabel24256789101112131415171618192120222326141516[[#This Row],[Subtotaal koffieautomaten]]</f>
        <v>159725</v>
      </c>
    </row>
    <row r="66" spans="1:53" x14ac:dyDescent="0.25">
      <c r="A66" s="91"/>
      <c r="B66" s="57"/>
      <c r="C66" s="57"/>
      <c r="D66" s="58"/>
      <c r="E66" s="57"/>
      <c r="F66" s="57"/>
      <c r="G66" s="57"/>
      <c r="H66" s="56"/>
      <c r="I66" s="57"/>
      <c r="J66" s="57"/>
      <c r="K66" s="56"/>
      <c r="L66" s="57"/>
      <c r="M66" s="57"/>
      <c r="N66" s="56"/>
      <c r="O66" s="57"/>
      <c r="P66" s="57"/>
      <c r="Q66" s="56"/>
      <c r="R66" s="57"/>
      <c r="S66" s="57"/>
      <c r="T66" s="56"/>
      <c r="U66" s="57"/>
      <c r="V66" s="57"/>
      <c r="W66" s="56"/>
      <c r="X66" s="57"/>
      <c r="Y66" s="57"/>
      <c r="Z66" s="56"/>
      <c r="AA66" s="57"/>
      <c r="AB66" s="57"/>
      <c r="AC66" s="90"/>
      <c r="AD66" s="56"/>
      <c r="AE66" s="57"/>
      <c r="AF66" s="57"/>
      <c r="AG66" s="57"/>
      <c r="AH66" s="56"/>
      <c r="AI66" s="57"/>
      <c r="AJ66" s="57"/>
      <c r="AK66" s="57"/>
      <c r="AL66" s="56"/>
      <c r="AM66" s="57"/>
      <c r="AN66" s="57"/>
      <c r="AO66" s="57"/>
      <c r="AP66" s="56"/>
      <c r="AQ66" s="57"/>
      <c r="AR66" s="57"/>
      <c r="AS66" s="57"/>
      <c r="AT66" s="56"/>
      <c r="AU66" s="57"/>
      <c r="AV66" s="57"/>
      <c r="AW66" s="57"/>
      <c r="AX66" s="92"/>
      <c r="AY66" s="96"/>
    </row>
    <row r="67" spans="1:53" x14ac:dyDescent="0.25">
      <c r="A67"/>
      <c r="D67"/>
      <c r="K67"/>
      <c r="N67"/>
      <c r="Q67"/>
      <c r="T67"/>
      <c r="W67"/>
      <c r="Z67"/>
      <c r="AC67"/>
      <c r="AD67"/>
      <c r="AH67"/>
      <c r="AL67"/>
      <c r="AP67"/>
      <c r="AT67"/>
      <c r="AX67"/>
      <c r="AY67"/>
    </row>
    <row r="68" spans="1:53" x14ac:dyDescent="0.25">
      <c r="A68"/>
      <c r="D68"/>
      <c r="K68"/>
      <c r="N68"/>
      <c r="Q68"/>
      <c r="T68"/>
      <c r="W68"/>
      <c r="Z68"/>
      <c r="AC68"/>
      <c r="AD68"/>
      <c r="AH68"/>
      <c r="AL68"/>
      <c r="AP68"/>
      <c r="AT68"/>
      <c r="AX68"/>
      <c r="AY68" s="2"/>
      <c r="AZ68" s="2"/>
    </row>
    <row r="69" spans="1:53" x14ac:dyDescent="0.25">
      <c r="A69" s="49"/>
      <c r="B69" t="s">
        <v>166</v>
      </c>
      <c r="D69"/>
      <c r="K69"/>
      <c r="N69"/>
      <c r="Q69"/>
      <c r="T69"/>
      <c r="W69"/>
      <c r="Z69"/>
      <c r="AC69"/>
      <c r="AD69"/>
      <c r="AH69"/>
      <c r="AL69"/>
      <c r="AP69"/>
      <c r="AT69"/>
      <c r="AX69"/>
      <c r="AY69" s="4"/>
      <c r="AZ69" s="4"/>
      <c r="BA69" s="48"/>
    </row>
    <row r="70" spans="1:53" x14ac:dyDescent="0.25">
      <c r="A70" s="50"/>
      <c r="B70" t="s">
        <v>167</v>
      </c>
      <c r="D70"/>
      <c r="K70"/>
      <c r="N70"/>
      <c r="Q70"/>
      <c r="T70"/>
      <c r="W70"/>
      <c r="Z70"/>
      <c r="AC70"/>
      <c r="AD70"/>
      <c r="AH70"/>
      <c r="AL70"/>
      <c r="AP70"/>
      <c r="AT70"/>
      <c r="AX70"/>
      <c r="AY70" s="3"/>
      <c r="AZ70" s="4"/>
      <c r="BA70" s="48"/>
    </row>
    <row r="71" spans="1:53" x14ac:dyDescent="0.25">
      <c r="A71"/>
      <c r="D71"/>
      <c r="K71"/>
      <c r="N71"/>
      <c r="Q71"/>
      <c r="T71"/>
      <c r="W71"/>
      <c r="Z71"/>
      <c r="AC71"/>
      <c r="AD71"/>
      <c r="AH71"/>
      <c r="AL71"/>
      <c r="AP71"/>
      <c r="AT71"/>
      <c r="AX71"/>
      <c r="AY71"/>
      <c r="AZ71" s="2"/>
    </row>
    <row r="72" spans="1:53" x14ac:dyDescent="0.25">
      <c r="A72"/>
      <c r="D72"/>
      <c r="K72"/>
      <c r="N72"/>
      <c r="Q72"/>
      <c r="T72"/>
      <c r="W72"/>
      <c r="Z72"/>
      <c r="AC72"/>
      <c r="AD72"/>
      <c r="AH72"/>
      <c r="AL72"/>
      <c r="AP72"/>
      <c r="AT72"/>
      <c r="AX72"/>
      <c r="AY72"/>
    </row>
    <row r="73" spans="1:53" x14ac:dyDescent="0.25">
      <c r="A73"/>
      <c r="D73"/>
      <c r="K73"/>
      <c r="N73"/>
      <c r="Q73"/>
      <c r="T73"/>
      <c r="W73"/>
      <c r="Z73"/>
      <c r="AC73"/>
      <c r="AD73"/>
      <c r="AH73"/>
      <c r="AL73"/>
      <c r="AP73"/>
      <c r="AT73"/>
      <c r="AX73"/>
      <c r="AY73"/>
    </row>
    <row r="74" spans="1:53" x14ac:dyDescent="0.25">
      <c r="A74"/>
      <c r="D74"/>
      <c r="K74"/>
      <c r="N74"/>
      <c r="Q74"/>
      <c r="T74"/>
      <c r="W74"/>
      <c r="Z74"/>
      <c r="AC74"/>
      <c r="AD74"/>
      <c r="AH74"/>
      <c r="AL74"/>
      <c r="AP74"/>
      <c r="AT74"/>
      <c r="AX74"/>
      <c r="AY74"/>
    </row>
    <row r="75" spans="1:53" x14ac:dyDescent="0.25">
      <c r="A75"/>
      <c r="D75"/>
      <c r="K75"/>
      <c r="N75"/>
      <c r="Q75"/>
      <c r="T75"/>
      <c r="W75"/>
      <c r="Z75"/>
      <c r="AC75"/>
      <c r="AD75"/>
      <c r="AH75"/>
      <c r="AL75"/>
      <c r="AP75"/>
      <c r="AT75"/>
      <c r="AX75"/>
      <c r="AY75"/>
    </row>
    <row r="76" spans="1:53" x14ac:dyDescent="0.25">
      <c r="A76"/>
      <c r="D76"/>
      <c r="K76"/>
      <c r="N76"/>
      <c r="Q76"/>
      <c r="T76"/>
      <c r="W76"/>
      <c r="Z76"/>
      <c r="AC76"/>
      <c r="AD76"/>
      <c r="AH76"/>
      <c r="AL76"/>
      <c r="AP76"/>
      <c r="AT76"/>
      <c r="AX76"/>
      <c r="AY76"/>
    </row>
    <row r="77" spans="1:53" x14ac:dyDescent="0.25">
      <c r="A77"/>
      <c r="D77"/>
      <c r="K77"/>
      <c r="N77"/>
      <c r="Q77"/>
      <c r="T77"/>
      <c r="W77"/>
      <c r="Z77"/>
      <c r="AC77"/>
      <c r="AD77"/>
      <c r="AH77"/>
      <c r="AL77"/>
      <c r="AP77"/>
      <c r="AT77"/>
      <c r="AX77"/>
      <c r="AY77"/>
    </row>
    <row r="78" spans="1:53" x14ac:dyDescent="0.25">
      <c r="A78"/>
      <c r="D78"/>
      <c r="K78"/>
      <c r="N78"/>
      <c r="Q78"/>
      <c r="T78"/>
      <c r="W78"/>
      <c r="Z78"/>
      <c r="AC78"/>
      <c r="AD78"/>
      <c r="AH78"/>
      <c r="AL78"/>
      <c r="AP78"/>
      <c r="AT78"/>
      <c r="AX78"/>
      <c r="AY78"/>
    </row>
    <row r="79" spans="1:53" x14ac:dyDescent="0.25">
      <c r="A79"/>
      <c r="D79"/>
      <c r="K79"/>
      <c r="N79"/>
      <c r="Q79"/>
      <c r="T79"/>
      <c r="W79"/>
      <c r="Z79"/>
      <c r="AC79"/>
      <c r="AD79"/>
      <c r="AH79"/>
      <c r="AL79"/>
      <c r="AP79"/>
      <c r="AT79"/>
      <c r="AX79"/>
      <c r="AY79"/>
    </row>
    <row r="80" spans="1:53" x14ac:dyDescent="0.25">
      <c r="A80"/>
      <c r="D80"/>
      <c r="K80"/>
      <c r="N80"/>
      <c r="Q80"/>
      <c r="T80"/>
      <c r="W80"/>
      <c r="Z80"/>
      <c r="AC80"/>
      <c r="AD80"/>
      <c r="AH80"/>
      <c r="AL80"/>
      <c r="AP80"/>
      <c r="AT80"/>
      <c r="AX80"/>
      <c r="AY80"/>
    </row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</sheetData>
  <mergeCells count="2">
    <mergeCell ref="E1:AC1"/>
    <mergeCell ref="AD1:AY1"/>
  </mergeCells>
  <pageMargins left="0.7" right="0.7" top="0.75" bottom="0.75" header="0.3" footer="0.3"/>
  <legacyDrawing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EE62F-AF7B-4BE7-98A4-50EB951CEFF1}">
  <dimension ref="A1:DZ147"/>
  <sheetViews>
    <sheetView topLeftCell="W1" zoomScale="130" zoomScaleNormal="130" workbookViewId="0">
      <pane ySplit="2" topLeftCell="A56" activePane="bottomLeft" state="frozen"/>
      <selection pane="bottomLeft" activeCell="A3" sqref="A3:XFD3"/>
    </sheetView>
  </sheetViews>
  <sheetFormatPr defaultRowHeight="15" x14ac:dyDescent="0.25"/>
  <cols>
    <col min="1" max="1" width="32.140625" style="65" bestFit="1" customWidth="1"/>
    <col min="2" max="2" width="21.42578125" bestFit="1" customWidth="1"/>
    <col min="3" max="3" width="25.42578125" bestFit="1" customWidth="1"/>
    <col min="4" max="4" width="18.5703125" style="52" customWidth="1"/>
    <col min="5" max="5" width="10.140625" customWidth="1"/>
    <col min="6" max="6" width="10.42578125" customWidth="1"/>
    <col min="7" max="7" width="10.5703125" customWidth="1"/>
    <col min="8" max="8" width="11.85546875" customWidth="1"/>
    <col min="9" max="9" width="11.7109375" customWidth="1"/>
    <col min="10" max="10" width="12.42578125" customWidth="1"/>
    <col min="11" max="11" width="17.140625" style="53" customWidth="1"/>
    <col min="12" max="12" width="13.5703125" customWidth="1"/>
    <col min="13" max="13" width="13.42578125" bestFit="1" customWidth="1"/>
    <col min="14" max="14" width="14" style="53" customWidth="1"/>
    <col min="15" max="16" width="14" customWidth="1"/>
    <col min="17" max="17" width="14.140625" style="53" customWidth="1"/>
    <col min="18" max="19" width="12.28515625" customWidth="1"/>
    <col min="20" max="20" width="12.42578125" style="53" customWidth="1"/>
    <col min="21" max="22" width="12.42578125" customWidth="1"/>
    <col min="23" max="23" width="17" style="53" customWidth="1"/>
    <col min="24" max="25" width="17" customWidth="1"/>
    <col min="26" max="26" width="20.7109375" style="53" customWidth="1"/>
    <col min="27" max="28" width="20.7109375" customWidth="1"/>
    <col min="29" max="29" width="14.7109375" style="74" customWidth="1"/>
    <col min="30" max="30" width="17.5703125" style="53" customWidth="1"/>
    <col min="31" max="32" width="17.5703125" customWidth="1"/>
    <col min="33" max="33" width="20.28515625" customWidth="1"/>
    <col min="34" max="34" width="14.42578125" style="53" customWidth="1"/>
    <col min="35" max="36" width="14.42578125" customWidth="1"/>
    <col min="37" max="37" width="21.28515625" customWidth="1"/>
    <col min="38" max="38" width="15.140625" style="53" customWidth="1"/>
    <col min="39" max="40" width="15.140625" customWidth="1"/>
    <col min="41" max="41" width="21.28515625" customWidth="1"/>
    <col min="42" max="42" width="19.42578125" style="53" customWidth="1"/>
    <col min="43" max="44" width="19.42578125" customWidth="1"/>
    <col min="45" max="45" width="21.28515625" customWidth="1"/>
    <col min="46" max="46" width="17" style="53" customWidth="1"/>
    <col min="47" max="48" width="17" customWidth="1"/>
    <col min="49" max="49" width="21.28515625" customWidth="1"/>
    <col min="50" max="50" width="20" style="74" customWidth="1"/>
    <col min="51" max="51" width="23.5703125" style="68" bestFit="1" customWidth="1"/>
    <col min="52" max="52" width="10" bestFit="1" customWidth="1"/>
    <col min="53" max="53" width="14.28515625" bestFit="1" customWidth="1"/>
  </cols>
  <sheetData>
    <row r="1" spans="1:130" ht="14.45" customHeight="1" x14ac:dyDescent="0.25">
      <c r="A1" s="61" t="s">
        <v>0</v>
      </c>
      <c r="B1" s="62"/>
      <c r="C1" s="62"/>
      <c r="D1" s="63"/>
      <c r="E1" s="174" t="s">
        <v>1</v>
      </c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3" t="s">
        <v>2</v>
      </c>
      <c r="AE1" s="174"/>
      <c r="AF1" s="174"/>
      <c r="AG1" s="174"/>
      <c r="AH1" s="174"/>
      <c r="AI1" s="174"/>
      <c r="AJ1" s="174"/>
      <c r="AK1" s="174"/>
      <c r="AL1" s="174"/>
      <c r="AM1" s="174"/>
      <c r="AN1" s="174"/>
      <c r="AO1" s="174"/>
      <c r="AP1" s="174"/>
      <c r="AQ1" s="174"/>
      <c r="AR1" s="174"/>
      <c r="AS1" s="174"/>
      <c r="AT1" s="174"/>
      <c r="AU1" s="174"/>
      <c r="AV1" s="174"/>
      <c r="AW1" s="174"/>
      <c r="AX1" s="174"/>
      <c r="AY1" s="174"/>
    </row>
    <row r="2" spans="1:130" ht="120" customHeight="1" x14ac:dyDescent="0.25">
      <c r="A2" s="65" t="s">
        <v>3</v>
      </c>
      <c r="B2" t="s">
        <v>4</v>
      </c>
      <c r="C2" t="s">
        <v>5</v>
      </c>
      <c r="D2" s="52" t="s">
        <v>6</v>
      </c>
      <c r="E2" s="1" t="s">
        <v>113</v>
      </c>
      <c r="F2" s="1" t="s">
        <v>114</v>
      </c>
      <c r="G2" s="60" t="s">
        <v>115</v>
      </c>
      <c r="H2" s="1" t="s">
        <v>116</v>
      </c>
      <c r="I2" s="1" t="s">
        <v>117</v>
      </c>
      <c r="J2" s="1" t="s">
        <v>118</v>
      </c>
      <c r="K2" s="59" t="s">
        <v>119</v>
      </c>
      <c r="L2" s="1" t="s">
        <v>120</v>
      </c>
      <c r="M2" s="1" t="s">
        <v>121</v>
      </c>
      <c r="N2" s="59" t="s">
        <v>122</v>
      </c>
      <c r="O2" s="1" t="s">
        <v>123</v>
      </c>
      <c r="P2" s="1" t="s">
        <v>124</v>
      </c>
      <c r="Q2" s="59" t="s">
        <v>125</v>
      </c>
      <c r="R2" s="1" t="s">
        <v>126</v>
      </c>
      <c r="S2" s="1" t="s">
        <v>127</v>
      </c>
      <c r="T2" s="59" t="s">
        <v>128</v>
      </c>
      <c r="U2" s="1" t="s">
        <v>129</v>
      </c>
      <c r="V2" s="1" t="s">
        <v>130</v>
      </c>
      <c r="W2" s="59" t="s">
        <v>131</v>
      </c>
      <c r="X2" s="1" t="s">
        <v>132</v>
      </c>
      <c r="Y2" s="1" t="s">
        <v>133</v>
      </c>
      <c r="Z2" s="59" t="s">
        <v>134</v>
      </c>
      <c r="AA2" s="1" t="s">
        <v>135</v>
      </c>
      <c r="AB2" s="1" t="s">
        <v>136</v>
      </c>
      <c r="AC2" s="70" t="s">
        <v>15</v>
      </c>
      <c r="AD2" s="59" t="s">
        <v>137</v>
      </c>
      <c r="AE2" s="1" t="s">
        <v>138</v>
      </c>
      <c r="AF2" s="1" t="s">
        <v>139</v>
      </c>
      <c r="AG2" s="1" t="s">
        <v>140</v>
      </c>
      <c r="AH2" s="59" t="s">
        <v>141</v>
      </c>
      <c r="AI2" s="1" t="s">
        <v>142</v>
      </c>
      <c r="AJ2" s="1" t="s">
        <v>143</v>
      </c>
      <c r="AK2" s="1" t="s">
        <v>144</v>
      </c>
      <c r="AL2" s="59" t="s">
        <v>145</v>
      </c>
      <c r="AM2" s="1" t="s">
        <v>146</v>
      </c>
      <c r="AN2" s="1" t="s">
        <v>147</v>
      </c>
      <c r="AO2" s="1" t="s">
        <v>148</v>
      </c>
      <c r="AP2" s="59" t="s">
        <v>149</v>
      </c>
      <c r="AQ2" s="1" t="s">
        <v>150</v>
      </c>
      <c r="AR2" s="1" t="s">
        <v>151</v>
      </c>
      <c r="AS2" s="1" t="s">
        <v>152</v>
      </c>
      <c r="AT2" s="59" t="s">
        <v>153</v>
      </c>
      <c r="AU2" s="1" t="s">
        <v>154</v>
      </c>
      <c r="AV2" s="1" t="s">
        <v>155</v>
      </c>
      <c r="AW2" s="1" t="s">
        <v>156</v>
      </c>
      <c r="AX2" s="70" t="s">
        <v>157</v>
      </c>
      <c r="AY2" s="93" t="s">
        <v>27</v>
      </c>
    </row>
    <row r="3" spans="1:130" s="146" customFormat="1" x14ac:dyDescent="0.25">
      <c r="A3" s="158" t="s">
        <v>168</v>
      </c>
      <c r="B3" s="147"/>
      <c r="C3" s="147"/>
      <c r="D3" s="159"/>
      <c r="E3" s="149"/>
      <c r="F3" s="147"/>
      <c r="G3" s="147"/>
      <c r="H3" s="149"/>
      <c r="I3" s="147"/>
      <c r="J3" s="147"/>
      <c r="K3" s="160"/>
      <c r="L3" s="147"/>
      <c r="M3" s="147"/>
      <c r="N3" s="160"/>
      <c r="O3" s="147"/>
      <c r="P3" s="147"/>
      <c r="Q3" s="160"/>
      <c r="R3" s="147"/>
      <c r="S3" s="147"/>
      <c r="T3" s="160"/>
      <c r="U3" s="147"/>
      <c r="V3" s="147"/>
      <c r="W3" s="160"/>
      <c r="X3" s="147"/>
      <c r="Y3" s="147"/>
      <c r="Z3" s="160"/>
      <c r="AA3" s="147"/>
      <c r="AB3" s="147"/>
      <c r="AC3" s="161"/>
      <c r="AD3" s="162"/>
      <c r="AE3" s="147"/>
      <c r="AF3" s="147"/>
      <c r="AG3" s="148"/>
      <c r="AH3" s="160"/>
      <c r="AI3" s="147"/>
      <c r="AJ3" s="147"/>
      <c r="AK3" s="148"/>
      <c r="AL3" s="160"/>
      <c r="AM3" s="147"/>
      <c r="AN3" s="147"/>
      <c r="AO3" s="148"/>
      <c r="AP3" s="160"/>
      <c r="AQ3" s="147"/>
      <c r="AR3" s="147"/>
      <c r="AS3" s="148"/>
      <c r="AT3" s="160"/>
      <c r="AU3" s="147"/>
      <c r="AV3" s="147"/>
      <c r="AW3" s="148"/>
      <c r="AX3" s="163"/>
      <c r="AY3" s="164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</row>
    <row r="4" spans="1:130" s="81" customFormat="1" ht="14.45" customHeight="1" x14ac:dyDescent="0.25">
      <c r="A4" s="80" t="s">
        <v>28</v>
      </c>
      <c r="D4" s="82"/>
      <c r="E4" s="83"/>
      <c r="H4" s="84"/>
      <c r="K4" s="84"/>
      <c r="N4" s="84"/>
      <c r="Q4" s="84"/>
      <c r="T4" s="84"/>
      <c r="W4" s="84"/>
      <c r="Z4" s="84"/>
      <c r="AC4" s="85"/>
      <c r="AD4" s="86"/>
      <c r="AG4" s="87"/>
      <c r="AH4" s="84"/>
      <c r="AK4" s="87"/>
      <c r="AL4" s="84"/>
      <c r="AO4" s="87"/>
      <c r="AP4" s="84"/>
      <c r="AS4" s="87"/>
      <c r="AT4" s="84"/>
      <c r="AW4" s="87"/>
      <c r="AX4" s="88"/>
      <c r="AY4" s="9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</row>
    <row r="5" spans="1:130" ht="14.45" customHeight="1" x14ac:dyDescent="0.25">
      <c r="A5" s="65" t="s">
        <v>29</v>
      </c>
      <c r="B5" t="s">
        <v>30</v>
      </c>
      <c r="C5" t="s">
        <v>31</v>
      </c>
      <c r="E5">
        <v>8690</v>
      </c>
      <c r="F5">
        <f>'mei2025'!E5</f>
        <v>8318</v>
      </c>
      <c r="G5">
        <f>Tabel2425678910111213141517161819212022232614151617[[#This Row],[Stand Coffee einde maand]]-Tabel2425678910111213141517161819212022232614151617[[#This Row],[Coffee vorige maand]]</f>
        <v>372</v>
      </c>
      <c r="H5" s="53">
        <v>3953</v>
      </c>
      <c r="I5">
        <f>'mei2025'!H5</f>
        <v>3852</v>
      </c>
      <c r="J5">
        <f>Tabel2425678910111213141517161819212022232614151617[[#This Row],[Stand Espresso Einde maand]]-Tabel2425678910111213141517161819212022232614151617[[#This Row],[Espresso vorige maand]]</f>
        <v>101</v>
      </c>
      <c r="K5" s="53">
        <v>2446</v>
      </c>
      <c r="L5">
        <f>'mei2025'!K5</f>
        <v>2393</v>
      </c>
      <c r="M5">
        <f>Tabel2425678910111213141517161819212022232614151617[[#This Row],[Stand Latte Macchiato einde maand]]-Tabel2425678910111213141517161819212022232614151617[[#This Row],[Latte Macchiato vorige maand]]</f>
        <v>53</v>
      </c>
      <c r="N5" s="53">
        <v>1224</v>
      </c>
      <c r="O5">
        <f>'mei2025'!N5</f>
        <v>1190</v>
      </c>
      <c r="P5">
        <f>Tabel2425678910111213141517161819212022232614151617[[#This Row],[Stand Coffee Latte einde maand]]-Tabel2425678910111213141517161819212022232614151617[[#This Row],[Coffee Latte vorige maand]]</f>
        <v>34</v>
      </c>
      <c r="Q5" s="53">
        <v>7372</v>
      </c>
      <c r="R5">
        <f>'mei2025'!Q5</f>
        <v>7173</v>
      </c>
      <c r="S5">
        <f>Tabel2425678910111213141517161819212022232614151617[[#This Row],[Stand Hot Water einde maand]]-Tabel2425678910111213141517161819212022232614151617[[#This Row],[Hot Water vorige maand]]</f>
        <v>199</v>
      </c>
      <c r="T5" s="53">
        <v>9353</v>
      </c>
      <c r="U5">
        <f>'mei2025'!T5</f>
        <v>9085</v>
      </c>
      <c r="V5">
        <f>Tabel2425678910111213141517161819212022232614151617[[#This Row],[Stand Cappucino einde maand]]-Tabel2425678910111213141517161819212022232614151617[[#This Row],[Stand Cappucino vorige maand]]</f>
        <v>268</v>
      </c>
      <c r="W5" s="53">
        <v>203</v>
      </c>
      <c r="X5">
        <f>'mei2025'!W5</f>
        <v>198</v>
      </c>
      <c r="Y5">
        <f>Tabel2425678910111213141517161819212022232614151617[[#This Row],[Stand Cappucino Plantaardig einde maand]]-Tabel2425678910111213141517161819212022232614151617[[#This Row],[Stand Cappucino Plantaardig vorige maand]]</f>
        <v>5</v>
      </c>
      <c r="Z5" s="53">
        <v>369</v>
      </c>
      <c r="AA5">
        <f>'mei2025'!Z5</f>
        <v>368</v>
      </c>
      <c r="AB5">
        <f>Tabel2425678910111213141517161819212022232614151617[[#This Row],[Stand Latte Macchiato Plantaardig einde maand]]-Tabel2425678910111213141517161819212022232614151617[[#This Row],[Stand Latte Macchiato Plantaardig vorige maand]]</f>
        <v>1</v>
      </c>
      <c r="AC5" s="71">
        <f>Tabel2425678910111213141517161819212022232614151617[[#This Row],[Verbruik Stand Latte Macchiato Plantaardig deze maand]]+Tabel2425678910111213141517161819212022232614151617[[#This Row],[Verbruik  Cappucino Plantaardig deze maand]]+Tabel2425678910111213141517161819212022232614151617[[#This Row],[Verbruik Cappucino deze maand]]+Tabel2425678910111213141517161819212022232614151617[[#This Row],[Verbruik Hot Water deze maand]]+Tabel2425678910111213141517161819212022232614151617[[#This Row],[Verbruik Coffee Latte deze maand]]+Tabel2425678910111213141517161819212022232614151617[[#This Row],[Verbruik Latte Macchiato deze maand]]+Tabel2425678910111213141517161819212022232614151617[[#This Row],[Verbruik Espresso deze maand]]+Tabel2425678910111213141517161819212022232614151617[[#This Row],[Verbruik Coffee deze maand]]</f>
        <v>1033</v>
      </c>
      <c r="AD5" s="69"/>
      <c r="AE5" s="41"/>
      <c r="AF5" s="5"/>
      <c r="AG5" s="5"/>
      <c r="AH5" s="69"/>
      <c r="AI5" s="41"/>
      <c r="AJ5" s="5"/>
      <c r="AK5" s="5"/>
      <c r="AL5" s="69"/>
      <c r="AM5" s="41"/>
      <c r="AN5" s="5"/>
      <c r="AO5" s="5"/>
      <c r="AP5" s="69"/>
      <c r="AQ5" s="41"/>
      <c r="AR5" s="5"/>
      <c r="AS5" s="5"/>
      <c r="AT5" s="69"/>
      <c r="AU5" s="41"/>
      <c r="AV5" s="5"/>
      <c r="AW5" s="7"/>
      <c r="AX5" s="78"/>
      <c r="AY5" s="95">
        <f>Tabel2425678910111213141517161819212022232614151617[[#This Row],[Subtotaal waterbar in consumpties]]+Tabel2425678910111213141517161819212022232614151617[[#This Row],[Subtotaal koffieautomaten]]</f>
        <v>1033</v>
      </c>
    </row>
    <row r="6" spans="1:130" ht="14.45" customHeight="1" x14ac:dyDescent="0.25">
      <c r="A6" s="65" t="s">
        <v>32</v>
      </c>
      <c r="B6" t="s">
        <v>33</v>
      </c>
      <c r="C6" t="s">
        <v>31</v>
      </c>
      <c r="E6">
        <v>13266</v>
      </c>
      <c r="F6">
        <f>'mei2025'!E6</f>
        <v>12930</v>
      </c>
      <c r="G6">
        <f>Tabel2425678910111213141517161819212022232614151617[[#This Row],[Stand Coffee einde maand]]-Tabel2425678910111213141517161819212022232614151617[[#This Row],[Coffee vorige maand]]</f>
        <v>336</v>
      </c>
      <c r="H6" s="53">
        <v>3746</v>
      </c>
      <c r="I6">
        <f>'mei2025'!H6</f>
        <v>3634</v>
      </c>
      <c r="J6">
        <f>Tabel2425678910111213141517161819212022232614151617[[#This Row],[Stand Espresso Einde maand]]-Tabel2425678910111213141517161819212022232614151617[[#This Row],[Espresso vorige maand]]</f>
        <v>112</v>
      </c>
      <c r="K6" s="53">
        <v>2518</v>
      </c>
      <c r="L6">
        <f>'mei2025'!K6</f>
        <v>2487</v>
      </c>
      <c r="M6">
        <f>Tabel2425678910111213141517161819212022232614151617[[#This Row],[Stand Latte Macchiato einde maand]]-Tabel2425678910111213141517161819212022232614151617[[#This Row],[Latte Macchiato vorige maand]]</f>
        <v>31</v>
      </c>
      <c r="N6" s="53">
        <v>2061</v>
      </c>
      <c r="O6">
        <f>'mei2025'!N6</f>
        <v>2046</v>
      </c>
      <c r="P6">
        <f>Tabel2425678910111213141517161819212022232614151617[[#This Row],[Stand Coffee Latte einde maand]]-Tabel2425678910111213141517161819212022232614151617[[#This Row],[Coffee Latte vorige maand]]</f>
        <v>15</v>
      </c>
      <c r="Q6" s="53">
        <v>29158</v>
      </c>
      <c r="R6">
        <f>'mei2025'!Q6</f>
        <v>28484</v>
      </c>
      <c r="S6">
        <f>Tabel2425678910111213141517161819212022232614151617[[#This Row],[Stand Hot Water einde maand]]-Tabel2425678910111213141517161819212022232614151617[[#This Row],[Hot Water vorige maand]]</f>
        <v>674</v>
      </c>
      <c r="T6" s="53">
        <v>12434</v>
      </c>
      <c r="U6">
        <f>'mei2025'!T6</f>
        <v>12184</v>
      </c>
      <c r="V6">
        <f>Tabel2425678910111213141517161819212022232614151617[[#This Row],[Stand Cappucino einde maand]]-Tabel2425678910111213141517161819212022232614151617[[#This Row],[Stand Cappucino vorige maand]]</f>
        <v>250</v>
      </c>
      <c r="W6" s="53">
        <v>1724</v>
      </c>
      <c r="X6">
        <f>'mei2025'!W6</f>
        <v>1679</v>
      </c>
      <c r="Y6">
        <f>Tabel2425678910111213141517161819212022232614151617[[#This Row],[Stand Cappucino Plantaardig einde maand]]-Tabel2425678910111213141517161819212022232614151617[[#This Row],[Stand Cappucino Plantaardig vorige maand]]</f>
        <v>45</v>
      </c>
      <c r="Z6" s="53">
        <v>766</v>
      </c>
      <c r="AA6">
        <f>'mei2025'!Z6</f>
        <v>752</v>
      </c>
      <c r="AB6">
        <f>Tabel2425678910111213141517161819212022232614151617[[#This Row],[Stand Latte Macchiato Plantaardig einde maand]]-Tabel2425678910111213141517161819212022232614151617[[#This Row],[Stand Latte Macchiato Plantaardig vorige maand]]</f>
        <v>14</v>
      </c>
      <c r="AC6" s="71">
        <f>Tabel2425678910111213141517161819212022232614151617[[#This Row],[Verbruik Stand Latte Macchiato Plantaardig deze maand]]+Tabel2425678910111213141517161819212022232614151617[[#This Row],[Verbruik  Cappucino Plantaardig deze maand]]+Tabel2425678910111213141517161819212022232614151617[[#This Row],[Verbruik Cappucino deze maand]]+Tabel2425678910111213141517161819212022232614151617[[#This Row],[Verbruik Hot Water deze maand]]+Tabel2425678910111213141517161819212022232614151617[[#This Row],[Verbruik Coffee Latte deze maand]]+Tabel2425678910111213141517161819212022232614151617[[#This Row],[Verbruik Latte Macchiato deze maand]]+Tabel2425678910111213141517161819212022232614151617[[#This Row],[Verbruik Espresso deze maand]]+Tabel2425678910111213141517161819212022232614151617[[#This Row],[Verbruik Coffee deze maand]]</f>
        <v>1477</v>
      </c>
      <c r="AD6" s="69"/>
      <c r="AE6" s="41"/>
      <c r="AF6" s="5"/>
      <c r="AG6" s="5"/>
      <c r="AH6" s="69"/>
      <c r="AI6" s="41"/>
      <c r="AJ6" s="5"/>
      <c r="AK6" s="5"/>
      <c r="AL6" s="69"/>
      <c r="AM6" s="41"/>
      <c r="AN6" s="5"/>
      <c r="AO6" s="5"/>
      <c r="AP6" s="69"/>
      <c r="AQ6" s="41"/>
      <c r="AR6" s="5"/>
      <c r="AS6" s="5"/>
      <c r="AT6" s="69"/>
      <c r="AU6" s="41"/>
      <c r="AV6" s="5"/>
      <c r="AW6" s="7"/>
      <c r="AX6" s="78"/>
      <c r="AY6" s="95">
        <f>Tabel2425678910111213141517161819212022232614151617[[#This Row],[Subtotaal waterbar in consumpties]]+Tabel2425678910111213141517161819212022232614151617[[#This Row],[Subtotaal koffieautomaten]]</f>
        <v>1477</v>
      </c>
    </row>
    <row r="7" spans="1:130" ht="14.45" customHeight="1" x14ac:dyDescent="0.25">
      <c r="A7" s="65" t="s">
        <v>34</v>
      </c>
      <c r="B7" t="s">
        <v>35</v>
      </c>
      <c r="C7" t="s">
        <v>47</v>
      </c>
      <c r="E7">
        <v>12861</v>
      </c>
      <c r="F7">
        <f>'mei2025'!E7</f>
        <v>12360</v>
      </c>
      <c r="G7">
        <f>Tabel2425678910111213141517161819212022232614151617[[#This Row],[Stand Coffee einde maand]]-Tabel2425678910111213141517161819212022232614151617[[#This Row],[Coffee vorige maand]]</f>
        <v>501</v>
      </c>
      <c r="H7" s="53">
        <v>3431</v>
      </c>
      <c r="I7">
        <f>'mei2025'!H7</f>
        <v>3325</v>
      </c>
      <c r="J7">
        <f>Tabel2425678910111213141517161819212022232614151617[[#This Row],[Stand Espresso Einde maand]]-Tabel2425678910111213141517161819212022232614151617[[#This Row],[Espresso vorige maand]]</f>
        <v>106</v>
      </c>
      <c r="K7" s="53">
        <v>3175</v>
      </c>
      <c r="L7">
        <f>'mei2025'!K7</f>
        <v>3106</v>
      </c>
      <c r="M7">
        <f>Tabel2425678910111213141517161819212022232614151617[[#This Row],[Stand Latte Macchiato einde maand]]-Tabel2425678910111213141517161819212022232614151617[[#This Row],[Latte Macchiato vorige maand]]</f>
        <v>69</v>
      </c>
      <c r="N7" s="53">
        <v>1444</v>
      </c>
      <c r="O7">
        <f>'mei2025'!N7</f>
        <v>1423</v>
      </c>
      <c r="P7">
        <f>Tabel2425678910111213141517161819212022232614151617[[#This Row],[Stand Coffee Latte einde maand]]-Tabel2425678910111213141517161819212022232614151617[[#This Row],[Coffee Latte vorige maand]]</f>
        <v>21</v>
      </c>
      <c r="Q7" s="53">
        <v>11801</v>
      </c>
      <c r="R7">
        <f>'mei2025'!Q7</f>
        <v>11530</v>
      </c>
      <c r="S7">
        <f>Tabel2425678910111213141517161819212022232614151617[[#This Row],[Stand Hot Water einde maand]]-Tabel2425678910111213141517161819212022232614151617[[#This Row],[Hot Water vorige maand]]</f>
        <v>271</v>
      </c>
      <c r="T7" s="53">
        <v>12217</v>
      </c>
      <c r="U7">
        <f>'mei2025'!T7</f>
        <v>11708</v>
      </c>
      <c r="V7">
        <f>Tabel2425678910111213141517161819212022232614151617[[#This Row],[Stand Cappucino einde maand]]-Tabel2425678910111213141517161819212022232614151617[[#This Row],[Stand Cappucino vorige maand]]</f>
        <v>509</v>
      </c>
      <c r="W7" s="53">
        <v>1106</v>
      </c>
      <c r="X7">
        <f>'mei2025'!W7</f>
        <v>1077</v>
      </c>
      <c r="Y7">
        <f>Tabel2425678910111213141517161819212022232614151617[[#This Row],[Stand Cappucino Plantaardig einde maand]]-Tabel2425678910111213141517161819212022232614151617[[#This Row],[Stand Cappucino Plantaardig vorige maand]]</f>
        <v>29</v>
      </c>
      <c r="Z7" s="53">
        <v>472</v>
      </c>
      <c r="AA7">
        <f>'mei2025'!Z7</f>
        <v>465</v>
      </c>
      <c r="AB7">
        <f>Tabel2425678910111213141517161819212022232614151617[[#This Row],[Stand Latte Macchiato Plantaardig einde maand]]-Tabel2425678910111213141517161819212022232614151617[[#This Row],[Stand Latte Macchiato Plantaardig vorige maand]]</f>
        <v>7</v>
      </c>
      <c r="AC7" s="71">
        <f>Tabel2425678910111213141517161819212022232614151617[[#This Row],[Verbruik Stand Latte Macchiato Plantaardig deze maand]]+Tabel2425678910111213141517161819212022232614151617[[#This Row],[Verbruik  Cappucino Plantaardig deze maand]]+Tabel2425678910111213141517161819212022232614151617[[#This Row],[Verbruik Cappucino deze maand]]+Tabel2425678910111213141517161819212022232614151617[[#This Row],[Verbruik Hot Water deze maand]]+Tabel2425678910111213141517161819212022232614151617[[#This Row],[Verbruik Coffee Latte deze maand]]+Tabel2425678910111213141517161819212022232614151617[[#This Row],[Verbruik Latte Macchiato deze maand]]+Tabel2425678910111213141517161819212022232614151617[[#This Row],[Verbruik Espresso deze maand]]+Tabel2425678910111213141517161819212022232614151617[[#This Row],[Verbruik Coffee deze maand]]</f>
        <v>1513</v>
      </c>
      <c r="AD7" s="53">
        <v>318.39999999999998</v>
      </c>
      <c r="AE7">
        <f>'mei2025'!AD7</f>
        <v>273.5</v>
      </c>
      <c r="AF7">
        <f>Tabel2425678910111213141517161819212022232614151617[[#This Row],[Stand Kamertemp liter einde maand]]-Tabel2425678910111213141517161819212022232614151617[[#This Row],[Stand Kamertemp liter vorige maand]]</f>
        <v>44.899999999999977</v>
      </c>
      <c r="AG7" s="2">
        <f>Tabel2425678910111213141517161819212022232614151617[[#This Row],[Verbruik Kamertemp liter deze maand]]/0.15</f>
        <v>299.3333333333332</v>
      </c>
      <c r="AH7" s="53">
        <v>902.6</v>
      </c>
      <c r="AI7">
        <f>'mei2025'!AH7</f>
        <v>768.7</v>
      </c>
      <c r="AJ7">
        <f>Tabel2425678910111213141517161819212022232614151617[[#This Row],[Stand Gekoeld liter einde maand]]-Tabel2425678910111213141517161819212022232614151617[[#This Row],[Stand Gekoeld liter vorige maand]]</f>
        <v>133.89999999999998</v>
      </c>
      <c r="AK7" s="2">
        <f>Tabel2425678910111213141517161819212022232614151617[[#This Row],[Verbruik Gekoeld liter deze maand]]/0.15</f>
        <v>892.66666666666652</v>
      </c>
      <c r="AL7" s="53">
        <v>503.1</v>
      </c>
      <c r="AM7">
        <f>'mei2025'!AL7</f>
        <v>438.9</v>
      </c>
      <c r="AN7">
        <f>Tabel2425678910111213141517161819212022232614151617[[#This Row],[Stand Bruisend liter einde maand]]-Tabel2425678910111213141517161819212022232614151617[[#This Row],[Stand Bruisend liter vorige maand]]</f>
        <v>64.200000000000045</v>
      </c>
      <c r="AO7" s="2">
        <f>Tabel2425678910111213141517161819212022232614151617[[#This Row],[Verbruik Bruisend liter deze maand]]/0.15</f>
        <v>428.00000000000034</v>
      </c>
      <c r="AP7" s="53">
        <v>375</v>
      </c>
      <c r="AQ7">
        <f>'mei2025'!AP7</f>
        <v>316.2</v>
      </c>
      <c r="AR7">
        <f>Tabel2425678910111213141517161819212022232614151617[[#This Row],[Stand licht bruisend liter einde maand]]-Tabel2425678910111213141517161819212022232614151617[[#This Row],[Stand licht bruisend liter vorige maand]]</f>
        <v>58.800000000000011</v>
      </c>
      <c r="AS7" s="2">
        <f>Tabel2425678910111213141517161819212022232614151617[[#This Row],[Verbruik licht bruisend liter deze maand]]/0.15</f>
        <v>392.00000000000011</v>
      </c>
      <c r="AT7" s="53">
        <v>1469</v>
      </c>
      <c r="AU7">
        <f>'mei2025'!AT7</f>
        <v>1330.4</v>
      </c>
      <c r="AV7">
        <f>Tabel2425678910111213141517161819212022232614151617[[#This Row],[Stand heet water liter einde maand]]-Tabel2425678910111213141517161819212022232614151617[[#This Row],[Stand heet water liter vorige maand]]</f>
        <v>138.59999999999991</v>
      </c>
      <c r="AW7" s="2">
        <f>Tabel2425678910111213141517161819212022232614151617[[#This Row],[Verbruik heet Water liter deze maand ]]/0.15</f>
        <v>923.99999999999943</v>
      </c>
      <c r="AX7" s="77">
        <f>Tabel2425678910111213141517161819212022232614151617[[#This Row],[Aantal consumpties heet water deze maand]]+Tabel2425678910111213141517161819212022232614151617[[#This Row],[Aantal consumpties licht bruisend water deze maand]]+Tabel2425678910111213141517161819212022232614151617[[#This Row],[aantal consumpties Bruisend water deze maand]]+Tabel2425678910111213141517161819212022232614151617[[#This Row],[Aantal consumpties gekoeld water deze maand]]+Tabel2425678910111213141517161819212022232614151617[[#This Row],[Aantal consumpties Kamertemp deze maand]]</f>
        <v>2935.9999999999995</v>
      </c>
      <c r="AY7" s="95">
        <f>Tabel2425678910111213141517161819212022232614151617[[#This Row],[Subtotaal waterbar in consumpties]]+Tabel2425678910111213141517161819212022232614151617[[#This Row],[Subtotaal koffieautomaten]]</f>
        <v>4449</v>
      </c>
    </row>
    <row r="8" spans="1:130" ht="14.45" customHeight="1" x14ac:dyDescent="0.25">
      <c r="A8" s="65" t="s">
        <v>37</v>
      </c>
      <c r="B8" t="s">
        <v>38</v>
      </c>
      <c r="C8" t="s">
        <v>31</v>
      </c>
      <c r="E8">
        <v>20102</v>
      </c>
      <c r="F8">
        <f>'mei2025'!E8</f>
        <v>19543</v>
      </c>
      <c r="G8">
        <f>Tabel2425678910111213141517161819212022232614151617[[#This Row],[Stand Coffee einde maand]]-Tabel2425678910111213141517161819212022232614151617[[#This Row],[Coffee vorige maand]]</f>
        <v>559</v>
      </c>
      <c r="H8" s="53">
        <v>4381</v>
      </c>
      <c r="I8">
        <f>'mei2025'!H8</f>
        <v>4317</v>
      </c>
      <c r="J8">
        <f>Tabel2425678910111213141517161819212022232614151617[[#This Row],[Stand Espresso Einde maand]]-Tabel2425678910111213141517161819212022232614151617[[#This Row],[Espresso vorige maand]]</f>
        <v>64</v>
      </c>
      <c r="K8" s="53">
        <v>2308</v>
      </c>
      <c r="L8">
        <f>'mei2025'!K8</f>
        <v>2276</v>
      </c>
      <c r="M8">
        <f>Tabel2425678910111213141517161819212022232614151617[[#This Row],[Stand Latte Macchiato einde maand]]-Tabel2425678910111213141517161819212022232614151617[[#This Row],[Latte Macchiato vorige maand]]</f>
        <v>32</v>
      </c>
      <c r="N8" s="53">
        <v>3072</v>
      </c>
      <c r="O8">
        <f>'mei2025'!N8</f>
        <v>2950</v>
      </c>
      <c r="P8">
        <f>Tabel2425678910111213141517161819212022232614151617[[#This Row],[Stand Coffee Latte einde maand]]-Tabel2425678910111213141517161819212022232614151617[[#This Row],[Coffee Latte vorige maand]]</f>
        <v>122</v>
      </c>
      <c r="Q8" s="53">
        <v>44378</v>
      </c>
      <c r="R8">
        <f>'mei2025'!Q8</f>
        <v>43264</v>
      </c>
      <c r="S8">
        <f>Tabel2425678910111213141517161819212022232614151617[[#This Row],[Stand Hot Water einde maand]]-Tabel2425678910111213141517161819212022232614151617[[#This Row],[Hot Water vorige maand]]</f>
        <v>1114</v>
      </c>
      <c r="T8" s="53">
        <v>11887</v>
      </c>
      <c r="U8">
        <f>'mei2025'!T8</f>
        <v>11553</v>
      </c>
      <c r="V8">
        <f>Tabel2425678910111213141517161819212022232614151617[[#This Row],[Stand Cappucino einde maand]]-Tabel2425678910111213141517161819212022232614151617[[#This Row],[Stand Cappucino vorige maand]]</f>
        <v>334</v>
      </c>
      <c r="W8" s="53">
        <v>1046</v>
      </c>
      <c r="X8">
        <f>'mei2025'!W8</f>
        <v>1011</v>
      </c>
      <c r="Y8">
        <f>Tabel2425678910111213141517161819212022232614151617[[#This Row],[Stand Cappucino Plantaardig einde maand]]-Tabel2425678910111213141517161819212022232614151617[[#This Row],[Stand Cappucino Plantaardig vorige maand]]</f>
        <v>35</v>
      </c>
      <c r="Z8" s="53">
        <v>584</v>
      </c>
      <c r="AA8">
        <f>'mei2025'!Z8</f>
        <v>564</v>
      </c>
      <c r="AB8">
        <f>Tabel2425678910111213141517161819212022232614151617[[#This Row],[Stand Latte Macchiato Plantaardig einde maand]]-Tabel2425678910111213141517161819212022232614151617[[#This Row],[Stand Latte Macchiato Plantaardig vorige maand]]</f>
        <v>20</v>
      </c>
      <c r="AC8" s="71">
        <f>Tabel2425678910111213141517161819212022232614151617[[#This Row],[Verbruik Stand Latte Macchiato Plantaardig deze maand]]+Tabel2425678910111213141517161819212022232614151617[[#This Row],[Verbruik  Cappucino Plantaardig deze maand]]+Tabel2425678910111213141517161819212022232614151617[[#This Row],[Verbruik Cappucino deze maand]]+Tabel2425678910111213141517161819212022232614151617[[#This Row],[Verbruik Hot Water deze maand]]+Tabel2425678910111213141517161819212022232614151617[[#This Row],[Verbruik Coffee Latte deze maand]]+Tabel2425678910111213141517161819212022232614151617[[#This Row],[Verbruik Latte Macchiato deze maand]]+Tabel2425678910111213141517161819212022232614151617[[#This Row],[Verbruik Espresso deze maand]]+Tabel2425678910111213141517161819212022232614151617[[#This Row],[Verbruik Coffee deze maand]]</f>
        <v>2280</v>
      </c>
      <c r="AD8" s="69"/>
      <c r="AE8" s="41"/>
      <c r="AF8" s="5"/>
      <c r="AG8" s="41"/>
      <c r="AH8" s="69"/>
      <c r="AI8" s="41"/>
      <c r="AJ8" s="41"/>
      <c r="AK8" s="41"/>
      <c r="AL8" s="75"/>
      <c r="AM8" s="41"/>
      <c r="AN8" s="41"/>
      <c r="AO8" s="5"/>
      <c r="AP8" s="69"/>
      <c r="AQ8" s="41"/>
      <c r="AR8" s="5"/>
      <c r="AS8" s="41"/>
      <c r="AT8" s="69"/>
      <c r="AU8" s="41"/>
      <c r="AV8" s="41"/>
      <c r="AW8" s="41"/>
      <c r="AX8" s="79"/>
      <c r="AY8" s="95">
        <f>Tabel2425678910111213141517161819212022232614151617[[#This Row],[Subtotaal waterbar in consumpties]]+Tabel2425678910111213141517161819212022232614151617[[#This Row],[Subtotaal koffieautomaten]]</f>
        <v>2280</v>
      </c>
    </row>
    <row r="9" spans="1:130" ht="14.45" customHeight="1" x14ac:dyDescent="0.25">
      <c r="A9" s="65" t="s">
        <v>39</v>
      </c>
      <c r="B9" t="s">
        <v>40</v>
      </c>
      <c r="C9" t="s">
        <v>31</v>
      </c>
      <c r="E9">
        <v>24829</v>
      </c>
      <c r="F9">
        <f>'mei2025'!E9</f>
        <v>24488</v>
      </c>
      <c r="G9">
        <f>Tabel2425678910111213141517161819212022232614151617[[#This Row],[Stand Coffee einde maand]]-Tabel2425678910111213141517161819212022232614151617[[#This Row],[Coffee vorige maand]]</f>
        <v>341</v>
      </c>
      <c r="H9" s="53">
        <v>4273</v>
      </c>
      <c r="I9">
        <f>'mei2025'!H9</f>
        <v>4086</v>
      </c>
      <c r="J9">
        <f>Tabel2425678910111213141517161819212022232614151617[[#This Row],[Stand Espresso Einde maand]]-Tabel2425678910111213141517161819212022232614151617[[#This Row],[Espresso vorige maand]]</f>
        <v>187</v>
      </c>
      <c r="K9" s="53">
        <v>2934</v>
      </c>
      <c r="L9">
        <f>'mei2025'!K9</f>
        <v>2924</v>
      </c>
      <c r="M9">
        <f>Tabel2425678910111213141517161819212022232614151617[[#This Row],[Stand Latte Macchiato einde maand]]-Tabel2425678910111213141517161819212022232614151617[[#This Row],[Latte Macchiato vorige maand]]</f>
        <v>10</v>
      </c>
      <c r="N9" s="53">
        <v>2110</v>
      </c>
      <c r="O9">
        <f>'mei2025'!N9</f>
        <v>2055</v>
      </c>
      <c r="P9">
        <f>Tabel2425678910111213141517161819212022232614151617[[#This Row],[Stand Coffee Latte einde maand]]-Tabel2425678910111213141517161819212022232614151617[[#This Row],[Coffee Latte vorige maand]]</f>
        <v>55</v>
      </c>
      <c r="Q9" s="53">
        <v>34722</v>
      </c>
      <c r="R9">
        <f>'mei2025'!Q9</f>
        <v>34163</v>
      </c>
      <c r="S9">
        <f>Tabel2425678910111213141517161819212022232614151617[[#This Row],[Stand Hot Water einde maand]]-Tabel2425678910111213141517161819212022232614151617[[#This Row],[Hot Water vorige maand]]</f>
        <v>559</v>
      </c>
      <c r="T9" s="53">
        <v>19250</v>
      </c>
      <c r="U9">
        <f>'mei2025'!T9</f>
        <v>19015</v>
      </c>
      <c r="V9">
        <f>Tabel2425678910111213141517161819212022232614151617[[#This Row],[Stand Cappucino einde maand]]-Tabel2425678910111213141517161819212022232614151617[[#This Row],[Stand Cappucino vorige maand]]</f>
        <v>235</v>
      </c>
      <c r="W9" s="53">
        <v>804</v>
      </c>
      <c r="X9">
        <f>'mei2025'!W9</f>
        <v>801</v>
      </c>
      <c r="Y9">
        <f>Tabel2425678910111213141517161819212022232614151617[[#This Row],[Stand Cappucino Plantaardig einde maand]]-Tabel2425678910111213141517161819212022232614151617[[#This Row],[Stand Cappucino Plantaardig vorige maand]]</f>
        <v>3</v>
      </c>
      <c r="Z9" s="53">
        <v>222</v>
      </c>
      <c r="AA9">
        <f>'mei2025'!Z9</f>
        <v>219</v>
      </c>
      <c r="AB9">
        <f>Tabel2425678910111213141517161819212022232614151617[[#This Row],[Stand Latte Macchiato Plantaardig einde maand]]-Tabel2425678910111213141517161819212022232614151617[[#This Row],[Stand Latte Macchiato Plantaardig vorige maand]]</f>
        <v>3</v>
      </c>
      <c r="AC9" s="71">
        <f>Tabel2425678910111213141517161819212022232614151617[[#This Row],[Verbruik Stand Latte Macchiato Plantaardig deze maand]]+Tabel2425678910111213141517161819212022232614151617[[#This Row],[Verbruik  Cappucino Plantaardig deze maand]]+Tabel2425678910111213141517161819212022232614151617[[#This Row],[Verbruik Cappucino deze maand]]+Tabel2425678910111213141517161819212022232614151617[[#This Row],[Verbruik Hot Water deze maand]]+Tabel2425678910111213141517161819212022232614151617[[#This Row],[Verbruik Coffee Latte deze maand]]+Tabel2425678910111213141517161819212022232614151617[[#This Row],[Verbruik Latte Macchiato deze maand]]+Tabel2425678910111213141517161819212022232614151617[[#This Row],[Verbruik Espresso deze maand]]+Tabel2425678910111213141517161819212022232614151617[[#This Row],[Verbruik Coffee deze maand]]</f>
        <v>1393</v>
      </c>
      <c r="AD9" s="69"/>
      <c r="AE9" s="41"/>
      <c r="AF9" s="5"/>
      <c r="AG9" s="41"/>
      <c r="AH9" s="69"/>
      <c r="AI9" s="41"/>
      <c r="AJ9" s="41"/>
      <c r="AK9" s="41"/>
      <c r="AL9" s="75"/>
      <c r="AM9" s="41"/>
      <c r="AN9" s="41"/>
      <c r="AO9" s="5"/>
      <c r="AP9" s="69"/>
      <c r="AQ9" s="41"/>
      <c r="AR9" s="5"/>
      <c r="AS9" s="41"/>
      <c r="AT9" s="69"/>
      <c r="AU9" s="41"/>
      <c r="AV9" s="41"/>
      <c r="AW9" s="41"/>
      <c r="AX9" s="79"/>
      <c r="AY9" s="95">
        <f>Tabel2425678910111213141517161819212022232614151617[[#This Row],[Subtotaal waterbar in consumpties]]+Tabel2425678910111213141517161819212022232614151617[[#This Row],[Subtotaal koffieautomaten]]</f>
        <v>1393</v>
      </c>
    </row>
    <row r="10" spans="1:130" ht="14.45" customHeight="1" x14ac:dyDescent="0.25">
      <c r="A10" s="65" t="s">
        <v>41</v>
      </c>
      <c r="B10" t="s">
        <v>42</v>
      </c>
      <c r="C10" t="s">
        <v>31</v>
      </c>
      <c r="E10">
        <v>13988</v>
      </c>
      <c r="F10">
        <f>'mei2025'!E10</f>
        <v>13419</v>
      </c>
      <c r="G10">
        <f>Tabel2425678910111213141517161819212022232614151617[[#This Row],[Stand Coffee einde maand]]-Tabel2425678910111213141517161819212022232614151617[[#This Row],[Coffee vorige maand]]</f>
        <v>569</v>
      </c>
      <c r="H10" s="53">
        <v>3116</v>
      </c>
      <c r="I10">
        <f>'mei2025'!H10</f>
        <v>3029</v>
      </c>
      <c r="J10">
        <f>Tabel2425678910111213141517161819212022232614151617[[#This Row],[Stand Espresso Einde maand]]-Tabel2425678910111213141517161819212022232614151617[[#This Row],[Espresso vorige maand]]</f>
        <v>87</v>
      </c>
      <c r="K10" s="53">
        <v>2366</v>
      </c>
      <c r="L10">
        <f>'mei2025'!K10</f>
        <v>2330</v>
      </c>
      <c r="M10">
        <f>Tabel2425678910111213141517161819212022232614151617[[#This Row],[Stand Latte Macchiato einde maand]]-Tabel2425678910111213141517161819212022232614151617[[#This Row],[Latte Macchiato vorige maand]]</f>
        <v>36</v>
      </c>
      <c r="N10" s="53">
        <v>1332</v>
      </c>
      <c r="O10">
        <f>'mei2025'!N10</f>
        <v>1288</v>
      </c>
      <c r="P10">
        <f>Tabel2425678910111213141517161819212022232614151617[[#This Row],[Stand Coffee Latte einde maand]]-Tabel2425678910111213141517161819212022232614151617[[#This Row],[Coffee Latte vorige maand]]</f>
        <v>44</v>
      </c>
      <c r="Q10" s="53">
        <v>39522</v>
      </c>
      <c r="R10">
        <f>'mei2025'!Q10</f>
        <v>38466</v>
      </c>
      <c r="S10">
        <f>Tabel2425678910111213141517161819212022232614151617[[#This Row],[Stand Hot Water einde maand]]-Tabel2425678910111213141517161819212022232614151617[[#This Row],[Hot Water vorige maand]]</f>
        <v>1056</v>
      </c>
      <c r="T10" s="53">
        <v>9131</v>
      </c>
      <c r="U10">
        <f>'mei2025'!T10</f>
        <v>8811</v>
      </c>
      <c r="V10">
        <f>Tabel2425678910111213141517161819212022232614151617[[#This Row],[Stand Cappucino einde maand]]-Tabel2425678910111213141517161819212022232614151617[[#This Row],[Stand Cappucino vorige maand]]</f>
        <v>320</v>
      </c>
      <c r="W10" s="53">
        <v>2041</v>
      </c>
      <c r="X10">
        <f>'mei2025'!W10</f>
        <v>1962</v>
      </c>
      <c r="Y10">
        <f>Tabel2425678910111213141517161819212022232614151617[[#This Row],[Stand Cappucino Plantaardig einde maand]]-Tabel2425678910111213141517161819212022232614151617[[#This Row],[Stand Cappucino Plantaardig vorige maand]]</f>
        <v>79</v>
      </c>
      <c r="Z10" s="53">
        <v>737</v>
      </c>
      <c r="AA10">
        <f>'mei2025'!Z10</f>
        <v>726</v>
      </c>
      <c r="AB10">
        <f>Tabel2425678910111213141517161819212022232614151617[[#This Row],[Stand Latte Macchiato Plantaardig einde maand]]-Tabel2425678910111213141517161819212022232614151617[[#This Row],[Stand Latte Macchiato Plantaardig vorige maand]]</f>
        <v>11</v>
      </c>
      <c r="AC10" s="71">
        <f>Tabel2425678910111213141517161819212022232614151617[[#This Row],[Verbruik Stand Latte Macchiato Plantaardig deze maand]]+Tabel2425678910111213141517161819212022232614151617[[#This Row],[Verbruik  Cappucino Plantaardig deze maand]]+Tabel2425678910111213141517161819212022232614151617[[#This Row],[Verbruik Cappucino deze maand]]+Tabel2425678910111213141517161819212022232614151617[[#This Row],[Verbruik Hot Water deze maand]]+Tabel2425678910111213141517161819212022232614151617[[#This Row],[Verbruik Coffee Latte deze maand]]+Tabel2425678910111213141517161819212022232614151617[[#This Row],[Verbruik Latte Macchiato deze maand]]+Tabel2425678910111213141517161819212022232614151617[[#This Row],[Verbruik Espresso deze maand]]+Tabel2425678910111213141517161819212022232614151617[[#This Row],[Verbruik Coffee deze maand]]</f>
        <v>2202</v>
      </c>
      <c r="AD10" s="69"/>
      <c r="AE10" s="41"/>
      <c r="AF10" s="5"/>
      <c r="AG10" s="41"/>
      <c r="AH10" s="69"/>
      <c r="AI10" s="41"/>
      <c r="AJ10" s="41"/>
      <c r="AK10" s="41"/>
      <c r="AL10" s="75"/>
      <c r="AM10" s="41"/>
      <c r="AN10" s="41"/>
      <c r="AO10" s="5"/>
      <c r="AP10" s="69"/>
      <c r="AQ10" s="41"/>
      <c r="AR10" s="5"/>
      <c r="AS10" s="41"/>
      <c r="AT10" s="69"/>
      <c r="AU10" s="41"/>
      <c r="AV10" s="41"/>
      <c r="AW10" s="41"/>
      <c r="AX10" s="79"/>
      <c r="AY10" s="95">
        <f>Tabel2425678910111213141517161819212022232614151617[[#This Row],[Subtotaal waterbar in consumpties]]+Tabel2425678910111213141517161819212022232614151617[[#This Row],[Subtotaal koffieautomaten]]</f>
        <v>2202</v>
      </c>
    </row>
    <row r="11" spans="1:130" ht="14.45" customHeight="1" x14ac:dyDescent="0.25">
      <c r="A11" s="65" t="s">
        <v>43</v>
      </c>
      <c r="B11" t="s">
        <v>44</v>
      </c>
      <c r="C11" t="s">
        <v>31</v>
      </c>
      <c r="E11">
        <v>16708</v>
      </c>
      <c r="F11">
        <f>'mei2025'!E11</f>
        <v>16252</v>
      </c>
      <c r="G11">
        <f>Tabel2425678910111213141517161819212022232614151617[[#This Row],[Stand Coffee einde maand]]-Tabel2425678910111213141517161819212022232614151617[[#This Row],[Coffee vorige maand]]</f>
        <v>456</v>
      </c>
      <c r="H11" s="53">
        <v>3743</v>
      </c>
      <c r="I11">
        <f>'mei2025'!H11</f>
        <v>3627</v>
      </c>
      <c r="J11">
        <f>Tabel2425678910111213141517161819212022232614151617[[#This Row],[Stand Espresso Einde maand]]-Tabel2425678910111213141517161819212022232614151617[[#This Row],[Espresso vorige maand]]</f>
        <v>116</v>
      </c>
      <c r="K11" s="53">
        <v>994</v>
      </c>
      <c r="L11">
        <f>'mei2025'!K11</f>
        <v>988</v>
      </c>
      <c r="M11">
        <f>Tabel2425678910111213141517161819212022232614151617[[#This Row],[Stand Latte Macchiato einde maand]]-Tabel2425678910111213141517161819212022232614151617[[#This Row],[Latte Macchiato vorige maand]]</f>
        <v>6</v>
      </c>
      <c r="N11" s="53">
        <v>1329</v>
      </c>
      <c r="O11">
        <f>'mei2025'!N11</f>
        <v>1325</v>
      </c>
      <c r="P11">
        <f>Tabel2425678910111213141517161819212022232614151617[[#This Row],[Stand Coffee Latte einde maand]]-Tabel2425678910111213141517161819212022232614151617[[#This Row],[Coffee Latte vorige maand]]</f>
        <v>4</v>
      </c>
      <c r="Q11" s="53">
        <v>28434</v>
      </c>
      <c r="R11">
        <f>'mei2025'!Q11</f>
        <v>27864</v>
      </c>
      <c r="S11">
        <f>Tabel2425678910111213141517161819212022232614151617[[#This Row],[Stand Hot Water einde maand]]-Tabel2425678910111213141517161819212022232614151617[[#This Row],[Hot Water vorige maand]]</f>
        <v>570</v>
      </c>
      <c r="T11" s="53">
        <v>9080</v>
      </c>
      <c r="U11">
        <f>'mei2025'!T11</f>
        <v>8880</v>
      </c>
      <c r="V11">
        <f>Tabel2425678910111213141517161819212022232614151617[[#This Row],[Stand Cappucino einde maand]]-Tabel2425678910111213141517161819212022232614151617[[#This Row],[Stand Cappucino vorige maand]]</f>
        <v>200</v>
      </c>
      <c r="W11" s="53">
        <v>1608</v>
      </c>
      <c r="X11">
        <f>'mei2025'!W11</f>
        <v>1598</v>
      </c>
      <c r="Y11">
        <f>Tabel2425678910111213141517161819212022232614151617[[#This Row],[Stand Cappucino Plantaardig einde maand]]-Tabel2425678910111213141517161819212022232614151617[[#This Row],[Stand Cappucino Plantaardig vorige maand]]</f>
        <v>10</v>
      </c>
      <c r="Z11" s="53">
        <v>1353</v>
      </c>
      <c r="AA11">
        <f>'mei2025'!Z11</f>
        <v>1337</v>
      </c>
      <c r="AB11">
        <f>Tabel2425678910111213141517161819212022232614151617[[#This Row],[Stand Latte Macchiato Plantaardig einde maand]]-Tabel2425678910111213141517161819212022232614151617[[#This Row],[Stand Latte Macchiato Plantaardig vorige maand]]</f>
        <v>16</v>
      </c>
      <c r="AC11" s="71">
        <f>Tabel2425678910111213141517161819212022232614151617[[#This Row],[Verbruik Stand Latte Macchiato Plantaardig deze maand]]+Tabel2425678910111213141517161819212022232614151617[[#This Row],[Verbruik  Cappucino Plantaardig deze maand]]+Tabel2425678910111213141517161819212022232614151617[[#This Row],[Verbruik Cappucino deze maand]]+Tabel2425678910111213141517161819212022232614151617[[#This Row],[Verbruik Hot Water deze maand]]+Tabel2425678910111213141517161819212022232614151617[[#This Row],[Verbruik Coffee Latte deze maand]]+Tabel2425678910111213141517161819212022232614151617[[#This Row],[Verbruik Latte Macchiato deze maand]]+Tabel2425678910111213141517161819212022232614151617[[#This Row],[Verbruik Espresso deze maand]]+Tabel2425678910111213141517161819212022232614151617[[#This Row],[Verbruik Coffee deze maand]]</f>
        <v>1378</v>
      </c>
      <c r="AD11" s="69"/>
      <c r="AE11" s="41"/>
      <c r="AF11" s="5"/>
      <c r="AG11" s="41"/>
      <c r="AH11" s="69"/>
      <c r="AI11" s="41"/>
      <c r="AJ11" s="41"/>
      <c r="AK11" s="41"/>
      <c r="AL11" s="75"/>
      <c r="AM11" s="41"/>
      <c r="AN11" s="41"/>
      <c r="AO11" s="5"/>
      <c r="AP11" s="69"/>
      <c r="AQ11" s="41"/>
      <c r="AR11" s="5"/>
      <c r="AS11" s="41"/>
      <c r="AT11" s="69"/>
      <c r="AU11" s="41"/>
      <c r="AV11" s="41"/>
      <c r="AW11" s="41"/>
      <c r="AX11" s="79"/>
      <c r="AY11" s="95">
        <f>Tabel2425678910111213141517161819212022232614151617[[#This Row],[Subtotaal waterbar in consumpties]]+Tabel2425678910111213141517161819212022232614151617[[#This Row],[Subtotaal koffieautomaten]]</f>
        <v>1378</v>
      </c>
    </row>
    <row r="12" spans="1:130" ht="14.45" customHeight="1" x14ac:dyDescent="0.25">
      <c r="A12" s="65" t="s">
        <v>45</v>
      </c>
      <c r="B12" t="s">
        <v>46</v>
      </c>
      <c r="C12" t="s">
        <v>47</v>
      </c>
      <c r="E12">
        <v>28560</v>
      </c>
      <c r="F12">
        <f>'mei2025'!E12</f>
        <v>27600</v>
      </c>
      <c r="G12">
        <f>Tabel2425678910111213141517161819212022232614151617[[#This Row],[Stand Coffee einde maand]]-Tabel2425678910111213141517161819212022232614151617[[#This Row],[Coffee vorige maand]]</f>
        <v>960</v>
      </c>
      <c r="H12" s="53">
        <v>2866</v>
      </c>
      <c r="I12">
        <f>'mei2025'!H12</f>
        <v>2763</v>
      </c>
      <c r="J12">
        <f>Tabel2425678910111213141517161819212022232614151617[[#This Row],[Stand Espresso Einde maand]]-Tabel2425678910111213141517161819212022232614151617[[#This Row],[Espresso vorige maand]]</f>
        <v>103</v>
      </c>
      <c r="K12" s="53">
        <v>1800</v>
      </c>
      <c r="L12">
        <f>'mei2025'!K12</f>
        <v>1774</v>
      </c>
      <c r="M12">
        <f>Tabel2425678910111213141517161819212022232614151617[[#This Row],[Stand Latte Macchiato einde maand]]-Tabel2425678910111213141517161819212022232614151617[[#This Row],[Latte Macchiato vorige maand]]</f>
        <v>26</v>
      </c>
      <c r="N12" s="53">
        <v>1010</v>
      </c>
      <c r="O12">
        <f>'mei2025'!N12</f>
        <v>977</v>
      </c>
      <c r="P12">
        <f>Tabel2425678910111213141517161819212022232614151617[[#This Row],[Stand Coffee Latte einde maand]]-Tabel2425678910111213141517161819212022232614151617[[#This Row],[Coffee Latte vorige maand]]</f>
        <v>33</v>
      </c>
      <c r="Q12" s="53">
        <v>1</v>
      </c>
      <c r="R12">
        <f>'mei2025'!Q12</f>
        <v>1</v>
      </c>
      <c r="S12">
        <f>Tabel2425678910111213141517161819212022232614151617[[#This Row],[Stand Hot Water einde maand]]-Tabel2425678910111213141517161819212022232614151617[[#This Row],[Hot Water vorige maand]]</f>
        <v>0</v>
      </c>
      <c r="T12" s="53">
        <v>8865</v>
      </c>
      <c r="U12">
        <f>'mei2025'!T12</f>
        <v>8655</v>
      </c>
      <c r="V12">
        <f>Tabel2425678910111213141517161819212022232614151617[[#This Row],[Stand Cappucino einde maand]]-Tabel2425678910111213141517161819212022232614151617[[#This Row],[Stand Cappucino vorige maand]]</f>
        <v>210</v>
      </c>
      <c r="W12" s="53">
        <v>3708</v>
      </c>
      <c r="X12">
        <f>'mei2025'!W12</f>
        <v>3636</v>
      </c>
      <c r="Y12">
        <f>Tabel2425678910111213141517161819212022232614151617[[#This Row],[Stand Cappucino Plantaardig einde maand]]-Tabel2425678910111213141517161819212022232614151617[[#This Row],[Stand Cappucino Plantaardig vorige maand]]</f>
        <v>72</v>
      </c>
      <c r="Z12" s="53">
        <v>820</v>
      </c>
      <c r="AA12">
        <f>'mei2025'!Z12</f>
        <v>820</v>
      </c>
      <c r="AB12">
        <f>Tabel2425678910111213141517161819212022232614151617[[#This Row],[Stand Latte Macchiato Plantaardig einde maand]]-Tabel2425678910111213141517161819212022232614151617[[#This Row],[Stand Latte Macchiato Plantaardig vorige maand]]</f>
        <v>0</v>
      </c>
      <c r="AC12" s="71">
        <f>Tabel2425678910111213141517161819212022232614151617[[#This Row],[Verbruik Stand Latte Macchiato Plantaardig deze maand]]+Tabel2425678910111213141517161819212022232614151617[[#This Row],[Verbruik  Cappucino Plantaardig deze maand]]+Tabel2425678910111213141517161819212022232614151617[[#This Row],[Verbruik Cappucino deze maand]]+Tabel2425678910111213141517161819212022232614151617[[#This Row],[Verbruik Hot Water deze maand]]+Tabel2425678910111213141517161819212022232614151617[[#This Row],[Verbruik Coffee Latte deze maand]]+Tabel2425678910111213141517161819212022232614151617[[#This Row],[Verbruik Latte Macchiato deze maand]]+Tabel2425678910111213141517161819212022232614151617[[#This Row],[Verbruik Espresso deze maand]]+Tabel2425678910111213141517161819212022232614151617[[#This Row],[Verbruik Coffee deze maand]]</f>
        <v>1404</v>
      </c>
      <c r="AD12" s="53">
        <v>660.2</v>
      </c>
      <c r="AE12">
        <f>'mei2025'!AD12</f>
        <v>628.9</v>
      </c>
      <c r="AF12">
        <f>Tabel2425678910111213141517161819212022232614151617[[#This Row],[Stand Kamertemp liter einde maand]]-Tabel2425678910111213141517161819212022232614151617[[#This Row],[Stand Kamertemp liter vorige maand]]</f>
        <v>31.300000000000068</v>
      </c>
      <c r="AG12" s="2">
        <f>Tabel2425678910111213141517161819212022232614151617[[#This Row],[Verbruik Kamertemp liter deze maand]]/0.15</f>
        <v>208.66666666666714</v>
      </c>
      <c r="AH12" s="53">
        <v>2629.3</v>
      </c>
      <c r="AI12">
        <f>'mei2025'!AH12</f>
        <v>2462.5</v>
      </c>
      <c r="AJ12">
        <f>Tabel2425678910111213141517161819212022232614151617[[#This Row],[Stand Gekoeld liter einde maand]]-Tabel2425678910111213141517161819212022232614151617[[#This Row],[Stand Gekoeld liter vorige maand]]</f>
        <v>166.80000000000018</v>
      </c>
      <c r="AK12" s="2">
        <f>Tabel2425678910111213141517161819212022232614151617[[#This Row],[Verbruik Gekoeld liter deze maand]]/0.15</f>
        <v>1112.0000000000014</v>
      </c>
      <c r="AL12" s="53">
        <v>2001.3</v>
      </c>
      <c r="AM12">
        <f>'mei2025'!AL12</f>
        <v>1851.6</v>
      </c>
      <c r="AN12">
        <f>Tabel2425678910111213141517161819212022232614151617[[#This Row],[Stand Bruisend liter einde maand]]-Tabel2425678910111213141517161819212022232614151617[[#This Row],[Stand Bruisend liter vorige maand]]</f>
        <v>149.70000000000005</v>
      </c>
      <c r="AO12" s="2">
        <f>Tabel2425678910111213141517161819212022232614151617[[#This Row],[Verbruik Bruisend liter deze maand]]/0.15</f>
        <v>998.00000000000034</v>
      </c>
      <c r="AP12" s="53">
        <v>692.1</v>
      </c>
      <c r="AQ12">
        <f>'mei2025'!AP12</f>
        <v>637.29999999999995</v>
      </c>
      <c r="AR12">
        <f>Tabel2425678910111213141517161819212022232614151617[[#This Row],[Stand licht bruisend liter einde maand]]-Tabel2425678910111213141517161819212022232614151617[[#This Row],[Stand licht bruisend liter vorige maand]]</f>
        <v>54.800000000000068</v>
      </c>
      <c r="AS12" s="2">
        <f>Tabel2425678910111213141517161819212022232614151617[[#This Row],[Verbruik licht bruisend liter deze maand]]/0.15</f>
        <v>365.33333333333383</v>
      </c>
      <c r="AT12" s="53">
        <v>4870.7</v>
      </c>
      <c r="AU12">
        <f>'mei2025'!AT12</f>
        <v>4644</v>
      </c>
      <c r="AV12">
        <f>Tabel2425678910111213141517161819212022232614151617[[#This Row],[Stand heet water liter einde maand]]-Tabel2425678910111213141517161819212022232614151617[[#This Row],[Stand heet water liter vorige maand]]</f>
        <v>226.69999999999982</v>
      </c>
      <c r="AW12" s="2">
        <f>Tabel2425678910111213141517161819212022232614151617[[#This Row],[Verbruik heet Water liter deze maand ]]/0.15</f>
        <v>1511.3333333333321</v>
      </c>
      <c r="AX12" s="77">
        <f>Tabel2425678910111213141517161819212022232614151617[[#This Row],[Aantal consumpties heet water deze maand]]+Tabel2425678910111213141517161819212022232614151617[[#This Row],[Aantal consumpties licht bruisend water deze maand]]+Tabel2425678910111213141517161819212022232614151617[[#This Row],[aantal consumpties Bruisend water deze maand]]+Tabel2425678910111213141517161819212022232614151617[[#This Row],[Aantal consumpties gekoeld water deze maand]]+Tabel2425678910111213141517161819212022232614151617[[#This Row],[Aantal consumpties Kamertemp deze maand]]</f>
        <v>4195.3333333333348</v>
      </c>
      <c r="AY12" s="95">
        <f>Tabel2425678910111213141517161819212022232614151617[[#This Row],[Subtotaal waterbar in consumpties]]+Tabel2425678910111213141517161819212022232614151617[[#This Row],[Subtotaal koffieautomaten]]</f>
        <v>5599.3333333333348</v>
      </c>
    </row>
    <row r="13" spans="1:130" ht="14.45" customHeight="1" x14ac:dyDescent="0.25">
      <c r="A13" s="65" t="s">
        <v>48</v>
      </c>
      <c r="B13" t="s">
        <v>49</v>
      </c>
      <c r="C13" t="s">
        <v>31</v>
      </c>
      <c r="E13">
        <v>27443</v>
      </c>
      <c r="F13">
        <f>'mei2025'!E13</f>
        <v>26737</v>
      </c>
      <c r="G13">
        <f>Tabel2425678910111213141517161819212022232614151617[[#This Row],[Stand Coffee einde maand]]-Tabel2425678910111213141517161819212022232614151617[[#This Row],[Coffee vorige maand]]</f>
        <v>706</v>
      </c>
      <c r="H13" s="53">
        <v>7555</v>
      </c>
      <c r="I13">
        <f>'mei2025'!H13</f>
        <v>7290</v>
      </c>
      <c r="J13">
        <f>Tabel2425678910111213141517161819212022232614151617[[#This Row],[Stand Espresso Einde maand]]-Tabel2425678910111213141517161819212022232614151617[[#This Row],[Espresso vorige maand]]</f>
        <v>265</v>
      </c>
      <c r="K13" s="53">
        <v>1536</v>
      </c>
      <c r="L13">
        <f>'mei2025'!K13</f>
        <v>1523</v>
      </c>
      <c r="M13">
        <f>Tabel2425678910111213141517161819212022232614151617[[#This Row],[Stand Latte Macchiato einde maand]]-Tabel2425678910111213141517161819212022232614151617[[#This Row],[Latte Macchiato vorige maand]]</f>
        <v>13</v>
      </c>
      <c r="N13" s="53">
        <v>620</v>
      </c>
      <c r="O13">
        <f>'mei2025'!N13</f>
        <v>611</v>
      </c>
      <c r="P13">
        <f>Tabel2425678910111213141517161819212022232614151617[[#This Row],[Stand Coffee Latte einde maand]]-Tabel2425678910111213141517161819212022232614151617[[#This Row],[Coffee Latte vorige maand]]</f>
        <v>9</v>
      </c>
      <c r="Q13" s="53">
        <v>70984</v>
      </c>
      <c r="R13">
        <f>'mei2025'!Q13</f>
        <v>69272</v>
      </c>
      <c r="S13">
        <f>Tabel2425678910111213141517161819212022232614151617[[#This Row],[Stand Hot Water einde maand]]-Tabel2425678910111213141517161819212022232614151617[[#This Row],[Hot Water vorige maand]]</f>
        <v>1712</v>
      </c>
      <c r="T13" s="53">
        <v>14734</v>
      </c>
      <c r="U13">
        <f>'mei2025'!T13</f>
        <v>14333</v>
      </c>
      <c r="V13">
        <f>Tabel2425678910111213141517161819212022232614151617[[#This Row],[Stand Cappucino einde maand]]-Tabel2425678910111213141517161819212022232614151617[[#This Row],[Stand Cappucino vorige maand]]</f>
        <v>401</v>
      </c>
      <c r="W13" s="53">
        <v>2518</v>
      </c>
      <c r="X13">
        <f>'mei2025'!W13</f>
        <v>2465</v>
      </c>
      <c r="Y13">
        <f>Tabel2425678910111213141517161819212022232614151617[[#This Row],[Stand Cappucino Plantaardig einde maand]]-Tabel2425678910111213141517161819212022232614151617[[#This Row],[Stand Cappucino Plantaardig vorige maand]]</f>
        <v>53</v>
      </c>
      <c r="Z13" s="53">
        <v>921</v>
      </c>
      <c r="AA13">
        <f>'mei2025'!Z13</f>
        <v>876</v>
      </c>
      <c r="AB13">
        <f>Tabel2425678910111213141517161819212022232614151617[[#This Row],[Stand Latte Macchiato Plantaardig einde maand]]-Tabel2425678910111213141517161819212022232614151617[[#This Row],[Stand Latte Macchiato Plantaardig vorige maand]]</f>
        <v>45</v>
      </c>
      <c r="AC13" s="71">
        <f>Tabel2425678910111213141517161819212022232614151617[[#This Row],[Verbruik Stand Latte Macchiato Plantaardig deze maand]]+Tabel2425678910111213141517161819212022232614151617[[#This Row],[Verbruik  Cappucino Plantaardig deze maand]]+Tabel2425678910111213141517161819212022232614151617[[#This Row],[Verbruik Cappucino deze maand]]+Tabel2425678910111213141517161819212022232614151617[[#This Row],[Verbruik Hot Water deze maand]]+Tabel2425678910111213141517161819212022232614151617[[#This Row],[Verbruik Coffee Latte deze maand]]+Tabel2425678910111213141517161819212022232614151617[[#This Row],[Verbruik Latte Macchiato deze maand]]+Tabel2425678910111213141517161819212022232614151617[[#This Row],[Verbruik Espresso deze maand]]+Tabel2425678910111213141517161819212022232614151617[[#This Row],[Verbruik Coffee deze maand]]</f>
        <v>3204</v>
      </c>
      <c r="AD13" s="69"/>
      <c r="AE13" s="41"/>
      <c r="AF13" s="5"/>
      <c r="AG13" s="5"/>
      <c r="AH13" s="75"/>
      <c r="AI13" s="41"/>
      <c r="AJ13" s="5"/>
      <c r="AK13" s="5"/>
      <c r="AL13" s="75"/>
      <c r="AM13" s="41"/>
      <c r="AN13" s="5"/>
      <c r="AO13" s="5"/>
      <c r="AP13" s="75"/>
      <c r="AQ13" s="41"/>
      <c r="AR13" s="5"/>
      <c r="AS13" s="5"/>
      <c r="AT13" s="75"/>
      <c r="AU13" s="41"/>
      <c r="AV13" s="5"/>
      <c r="AW13" s="5"/>
      <c r="AX13" s="79"/>
      <c r="AY13" s="95">
        <f>Tabel2425678910111213141517161819212022232614151617[[#This Row],[Subtotaal waterbar in consumpties]]+Tabel2425678910111213141517161819212022232614151617[[#This Row],[Subtotaal koffieautomaten]]</f>
        <v>3204</v>
      </c>
    </row>
    <row r="14" spans="1:130" ht="14.45" customHeight="1" x14ac:dyDescent="0.25">
      <c r="A14" s="65" t="s">
        <v>50</v>
      </c>
      <c r="B14" t="s">
        <v>51</v>
      </c>
      <c r="C14" t="s">
        <v>47</v>
      </c>
      <c r="E14">
        <v>22523</v>
      </c>
      <c r="F14">
        <f>'mei2025'!E14</f>
        <v>21857</v>
      </c>
      <c r="G14">
        <f>Tabel2425678910111213141517161819212022232614151617[[#This Row],[Stand Coffee einde maand]]-Tabel2425678910111213141517161819212022232614151617[[#This Row],[Coffee vorige maand]]</f>
        <v>666</v>
      </c>
      <c r="H14" s="53">
        <v>5959</v>
      </c>
      <c r="I14">
        <f>'mei2025'!H14</f>
        <v>5621</v>
      </c>
      <c r="J14">
        <f>Tabel2425678910111213141517161819212022232614151617[[#This Row],[Stand Espresso Einde maand]]-Tabel2425678910111213141517161819212022232614151617[[#This Row],[Espresso vorige maand]]</f>
        <v>338</v>
      </c>
      <c r="K14" s="53">
        <v>2367</v>
      </c>
      <c r="L14">
        <f>'mei2025'!K14</f>
        <v>2294</v>
      </c>
      <c r="M14">
        <f>Tabel2425678910111213141517161819212022232614151617[[#This Row],[Stand Latte Macchiato einde maand]]-Tabel2425678910111213141517161819212022232614151617[[#This Row],[Latte Macchiato vorige maand]]</f>
        <v>73</v>
      </c>
      <c r="N14" s="53">
        <v>1248</v>
      </c>
      <c r="O14">
        <f>'mei2025'!N14</f>
        <v>1244</v>
      </c>
      <c r="P14">
        <f>Tabel2425678910111213141517161819212022232614151617[[#This Row],[Stand Coffee Latte einde maand]]-Tabel2425678910111213141517161819212022232614151617[[#This Row],[Coffee Latte vorige maand]]</f>
        <v>4</v>
      </c>
      <c r="Q14" s="53">
        <v>1</v>
      </c>
      <c r="R14">
        <f>'mei2025'!Q14</f>
        <v>1</v>
      </c>
      <c r="S14">
        <f>Tabel2425678910111213141517161819212022232614151617[[#This Row],[Stand Hot Water einde maand]]-Tabel2425678910111213141517161819212022232614151617[[#This Row],[Hot Water vorige maand]]</f>
        <v>0</v>
      </c>
      <c r="T14" s="53">
        <v>10053</v>
      </c>
      <c r="U14">
        <f>'mei2025'!T14</f>
        <v>9804</v>
      </c>
      <c r="V14">
        <f>Tabel2425678910111213141517161819212022232614151617[[#This Row],[Stand Cappucino einde maand]]-Tabel2425678910111213141517161819212022232614151617[[#This Row],[Stand Cappucino vorige maand]]</f>
        <v>249</v>
      </c>
      <c r="W14" s="53">
        <v>1272</v>
      </c>
      <c r="X14">
        <f>'mei2025'!W14</f>
        <v>1269</v>
      </c>
      <c r="Y14">
        <f>Tabel2425678910111213141517161819212022232614151617[[#This Row],[Stand Cappucino Plantaardig einde maand]]-Tabel2425678910111213141517161819212022232614151617[[#This Row],[Stand Cappucino Plantaardig vorige maand]]</f>
        <v>3</v>
      </c>
      <c r="Z14" s="53">
        <v>763</v>
      </c>
      <c r="AA14">
        <f>'mei2025'!Z14</f>
        <v>753</v>
      </c>
      <c r="AB14">
        <f>Tabel2425678910111213141517161819212022232614151617[[#This Row],[Stand Latte Macchiato Plantaardig einde maand]]-Tabel2425678910111213141517161819212022232614151617[[#This Row],[Stand Latte Macchiato Plantaardig vorige maand]]</f>
        <v>10</v>
      </c>
      <c r="AC14" s="71">
        <f>Tabel2425678910111213141517161819212022232614151617[[#This Row],[Verbruik Stand Latte Macchiato Plantaardig deze maand]]+Tabel2425678910111213141517161819212022232614151617[[#This Row],[Verbruik  Cappucino Plantaardig deze maand]]+Tabel2425678910111213141517161819212022232614151617[[#This Row],[Verbruik Cappucino deze maand]]+Tabel2425678910111213141517161819212022232614151617[[#This Row],[Verbruik Hot Water deze maand]]+Tabel2425678910111213141517161819212022232614151617[[#This Row],[Verbruik Coffee Latte deze maand]]+Tabel2425678910111213141517161819212022232614151617[[#This Row],[Verbruik Latte Macchiato deze maand]]+Tabel2425678910111213141517161819212022232614151617[[#This Row],[Verbruik Espresso deze maand]]+Tabel2425678910111213141517161819212022232614151617[[#This Row],[Verbruik Coffee deze maand]]</f>
        <v>1343</v>
      </c>
      <c r="AD14" s="53">
        <v>16.3</v>
      </c>
      <c r="AE14">
        <f>'mei2025'!AD14</f>
        <v>2.7</v>
      </c>
      <c r="AF14">
        <f>Tabel2425678910111213141517161819212022232614151617[[#This Row],[Stand Kamertemp liter einde maand]]-Tabel2425678910111213141517161819212022232614151617[[#This Row],[Stand Kamertemp liter vorige maand]]</f>
        <v>13.600000000000001</v>
      </c>
      <c r="AG14" s="2">
        <f>Tabel2425678910111213141517161819212022232614151617[[#This Row],[Verbruik Kamertemp liter deze maand]]/0.15</f>
        <v>90.666666666666686</v>
      </c>
      <c r="AH14" s="53">
        <v>254</v>
      </c>
      <c r="AI14">
        <f>'mei2025'!AH14</f>
        <v>34.700000000000003</v>
      </c>
      <c r="AJ14">
        <f>Tabel2425678910111213141517161819212022232614151617[[#This Row],[Stand Gekoeld liter einde maand]]-Tabel2425678910111213141517161819212022232614151617[[#This Row],[Stand Gekoeld liter vorige maand]]</f>
        <v>219.3</v>
      </c>
      <c r="AK14" s="2">
        <f>Tabel2425678910111213141517161819212022232614151617[[#This Row],[Verbruik Gekoeld liter deze maand]]/0.15</f>
        <v>1462.0000000000002</v>
      </c>
      <c r="AL14" s="53">
        <v>141</v>
      </c>
      <c r="AM14">
        <f>'mei2025'!AL14</f>
        <v>30</v>
      </c>
      <c r="AN14">
        <f>Tabel2425678910111213141517161819212022232614151617[[#This Row],[Stand Bruisend liter einde maand]]-Tabel2425678910111213141517161819212022232614151617[[#This Row],[Stand Bruisend liter vorige maand]]</f>
        <v>111</v>
      </c>
      <c r="AO14" s="2">
        <f>Tabel2425678910111213141517161819212022232614151617[[#This Row],[Verbruik Bruisend liter deze maand]]/0.15</f>
        <v>740</v>
      </c>
      <c r="AP14" s="53">
        <v>116.3</v>
      </c>
      <c r="AQ14">
        <f>'mei2025'!AP14</f>
        <v>15.2</v>
      </c>
      <c r="AR14">
        <f>Tabel2425678910111213141517161819212022232614151617[[#This Row],[Stand licht bruisend liter einde maand]]-Tabel2425678910111213141517161819212022232614151617[[#This Row],[Stand licht bruisend liter vorige maand]]</f>
        <v>101.1</v>
      </c>
      <c r="AS14" s="2">
        <f>Tabel2425678910111213141517161819212022232614151617[[#This Row],[Verbruik licht bruisend liter deze maand]]/0.15</f>
        <v>674</v>
      </c>
      <c r="AT14" s="53">
        <v>288.5</v>
      </c>
      <c r="AU14">
        <f>'mei2025'!AT14</f>
        <v>56.4</v>
      </c>
      <c r="AV14">
        <f>Tabel2425678910111213141517161819212022232614151617[[#This Row],[Stand heet water liter einde maand]]-Tabel2425678910111213141517161819212022232614151617[[#This Row],[Stand heet water liter vorige maand]]</f>
        <v>232.1</v>
      </c>
      <c r="AW14" s="2">
        <f>Tabel2425678910111213141517161819212022232614151617[[#This Row],[Verbruik heet Water liter deze maand ]]/0.15</f>
        <v>1547.3333333333333</v>
      </c>
      <c r="AX14" s="77">
        <f>Tabel2425678910111213141517161819212022232614151617[[#This Row],[Aantal consumpties heet water deze maand]]+Tabel2425678910111213141517161819212022232614151617[[#This Row],[Aantal consumpties licht bruisend water deze maand]]+Tabel2425678910111213141517161819212022232614151617[[#This Row],[aantal consumpties Bruisend water deze maand]]+Tabel2425678910111213141517161819212022232614151617[[#This Row],[Aantal consumpties gekoeld water deze maand]]+Tabel2425678910111213141517161819212022232614151617[[#This Row],[Aantal consumpties Kamertemp deze maand]]</f>
        <v>4514</v>
      </c>
      <c r="AY14" s="95">
        <f>Tabel2425678910111213141517161819212022232614151617[[#This Row],[Subtotaal waterbar in consumpties]]+Tabel2425678910111213141517161819212022232614151617[[#This Row],[Subtotaal koffieautomaten]]</f>
        <v>5857</v>
      </c>
    </row>
    <row r="15" spans="1:130" ht="14.45" customHeight="1" x14ac:dyDescent="0.25">
      <c r="A15" s="65" t="s">
        <v>52</v>
      </c>
      <c r="B15" t="s">
        <v>53</v>
      </c>
      <c r="C15" t="s">
        <v>31</v>
      </c>
      <c r="E15">
        <v>20281</v>
      </c>
      <c r="F15">
        <f>'mei2025'!E15</f>
        <v>19908</v>
      </c>
      <c r="G15">
        <f>Tabel2425678910111213141517161819212022232614151617[[#This Row],[Stand Coffee einde maand]]-Tabel2425678910111213141517161819212022232614151617[[#This Row],[Coffee vorige maand]]</f>
        <v>373</v>
      </c>
      <c r="H15" s="53">
        <v>5640</v>
      </c>
      <c r="I15">
        <f>'mei2025'!H15</f>
        <v>5528</v>
      </c>
      <c r="J15">
        <f>Tabel2425678910111213141517161819212022232614151617[[#This Row],[Stand Espresso Einde maand]]-Tabel2425678910111213141517161819212022232614151617[[#This Row],[Espresso vorige maand]]</f>
        <v>112</v>
      </c>
      <c r="K15" s="53">
        <v>1167</v>
      </c>
      <c r="L15">
        <f>'mei2025'!K15</f>
        <v>1136</v>
      </c>
      <c r="M15">
        <f>Tabel2425678910111213141517161819212022232614151617[[#This Row],[Stand Latte Macchiato einde maand]]-Tabel2425678910111213141517161819212022232614151617[[#This Row],[Latte Macchiato vorige maand]]</f>
        <v>31</v>
      </c>
      <c r="N15" s="53">
        <v>1264</v>
      </c>
      <c r="O15">
        <f>'mei2025'!N15</f>
        <v>1237</v>
      </c>
      <c r="P15">
        <f>Tabel2425678910111213141517161819212022232614151617[[#This Row],[Stand Coffee Latte einde maand]]-Tabel2425678910111213141517161819212022232614151617[[#This Row],[Coffee Latte vorige maand]]</f>
        <v>27</v>
      </c>
      <c r="Q15" s="53">
        <v>35538</v>
      </c>
      <c r="R15">
        <f>'mei2025'!Q15</f>
        <v>34616</v>
      </c>
      <c r="S15">
        <f>Tabel2425678910111213141517161819212022232614151617[[#This Row],[Stand Hot Water einde maand]]-Tabel2425678910111213141517161819212022232614151617[[#This Row],[Hot Water vorige maand]]</f>
        <v>922</v>
      </c>
      <c r="T15" s="53">
        <v>8835</v>
      </c>
      <c r="U15">
        <f>'mei2025'!T15</f>
        <v>8645</v>
      </c>
      <c r="V15">
        <f>Tabel2425678910111213141517161819212022232614151617[[#This Row],[Stand Cappucino einde maand]]-Tabel2425678910111213141517161819212022232614151617[[#This Row],[Stand Cappucino vorige maand]]</f>
        <v>190</v>
      </c>
      <c r="W15" s="53">
        <v>1867</v>
      </c>
      <c r="X15">
        <f>'mei2025'!W15</f>
        <v>1833</v>
      </c>
      <c r="Y15">
        <f>Tabel2425678910111213141517161819212022232614151617[[#This Row],[Stand Cappucino Plantaardig einde maand]]-Tabel2425678910111213141517161819212022232614151617[[#This Row],[Stand Cappucino Plantaardig vorige maand]]</f>
        <v>34</v>
      </c>
      <c r="Z15" s="53">
        <v>447</v>
      </c>
      <c r="AA15">
        <f>'mei2025'!Z15</f>
        <v>433</v>
      </c>
      <c r="AB15">
        <f>Tabel2425678910111213141517161819212022232614151617[[#This Row],[Stand Latte Macchiato Plantaardig einde maand]]-Tabel2425678910111213141517161819212022232614151617[[#This Row],[Stand Latte Macchiato Plantaardig vorige maand]]</f>
        <v>14</v>
      </c>
      <c r="AC15" s="71">
        <f>Tabel2425678910111213141517161819212022232614151617[[#This Row],[Verbruik Stand Latte Macchiato Plantaardig deze maand]]+Tabel2425678910111213141517161819212022232614151617[[#This Row],[Verbruik  Cappucino Plantaardig deze maand]]+Tabel2425678910111213141517161819212022232614151617[[#This Row],[Verbruik Cappucino deze maand]]+Tabel2425678910111213141517161819212022232614151617[[#This Row],[Verbruik Hot Water deze maand]]+Tabel2425678910111213141517161819212022232614151617[[#This Row],[Verbruik Coffee Latte deze maand]]+Tabel2425678910111213141517161819212022232614151617[[#This Row],[Verbruik Latte Macchiato deze maand]]+Tabel2425678910111213141517161819212022232614151617[[#This Row],[Verbruik Espresso deze maand]]+Tabel2425678910111213141517161819212022232614151617[[#This Row],[Verbruik Coffee deze maand]]</f>
        <v>1703</v>
      </c>
      <c r="AD15" s="69"/>
      <c r="AE15" s="41"/>
      <c r="AF15" s="5"/>
      <c r="AG15" s="5"/>
      <c r="AH15" s="75"/>
      <c r="AI15" s="41"/>
      <c r="AJ15" s="5"/>
      <c r="AK15" s="5"/>
      <c r="AL15" s="75"/>
      <c r="AM15" s="41"/>
      <c r="AN15" s="5"/>
      <c r="AO15" s="5"/>
      <c r="AP15" s="75"/>
      <c r="AQ15" s="41"/>
      <c r="AR15" s="5"/>
      <c r="AS15" s="5"/>
      <c r="AT15" s="75"/>
      <c r="AU15" s="41"/>
      <c r="AV15" s="5"/>
      <c r="AW15" s="5"/>
      <c r="AX15" s="79"/>
      <c r="AY15" s="95">
        <f>Tabel2425678910111213141517161819212022232614151617[[#This Row],[Subtotaal waterbar in consumpties]]+Tabel2425678910111213141517161819212022232614151617[[#This Row],[Subtotaal koffieautomaten]]</f>
        <v>1703</v>
      </c>
    </row>
    <row r="16" spans="1:130" ht="14.45" customHeight="1" x14ac:dyDescent="0.25">
      <c r="A16" s="65" t="s">
        <v>54</v>
      </c>
      <c r="B16" t="s">
        <v>55</v>
      </c>
      <c r="C16" t="s">
        <v>47</v>
      </c>
      <c r="E16">
        <v>2751</v>
      </c>
      <c r="F16">
        <f>'mei2025'!E16</f>
        <v>2594</v>
      </c>
      <c r="G16">
        <f>Tabel2425678910111213141517161819212022232614151617[[#This Row],[Stand Coffee einde maand]]-Tabel2425678910111213141517161819212022232614151617[[#This Row],[Coffee vorige maand]]</f>
        <v>157</v>
      </c>
      <c r="H16" s="53">
        <v>3514</v>
      </c>
      <c r="I16">
        <f>'mei2025'!H16</f>
        <v>3312</v>
      </c>
      <c r="J16">
        <f>Tabel2425678910111213141517161819212022232614151617[[#This Row],[Stand Espresso Einde maand]]-Tabel2425678910111213141517161819212022232614151617[[#This Row],[Espresso vorige maand]]</f>
        <v>202</v>
      </c>
      <c r="K16" s="53">
        <v>298</v>
      </c>
      <c r="L16">
        <f>'mei2025'!K16</f>
        <v>282</v>
      </c>
      <c r="M16">
        <f>Tabel2425678910111213141517161819212022232614151617[[#This Row],[Stand Latte Macchiato einde maand]]-Tabel2425678910111213141517161819212022232614151617[[#This Row],[Latte Macchiato vorige maand]]</f>
        <v>16</v>
      </c>
      <c r="N16" s="53">
        <v>183</v>
      </c>
      <c r="O16">
        <f>'mei2025'!N16</f>
        <v>174</v>
      </c>
      <c r="P16">
        <f>Tabel2425678910111213141517161819212022232614151617[[#This Row],[Stand Coffee Latte einde maand]]-Tabel2425678910111213141517161819212022232614151617[[#This Row],[Coffee Latte vorige maand]]</f>
        <v>9</v>
      </c>
      <c r="Q16" s="53">
        <v>829</v>
      </c>
      <c r="R16">
        <f>'mei2025'!Q16</f>
        <v>787</v>
      </c>
      <c r="S16">
        <f>Tabel2425678910111213141517161819212022232614151617[[#This Row],[Stand Hot Water einde maand]]-Tabel2425678910111213141517161819212022232614151617[[#This Row],[Hot Water vorige maand]]</f>
        <v>42</v>
      </c>
      <c r="T16" s="53">
        <v>4174</v>
      </c>
      <c r="U16">
        <f>'mei2025'!T16</f>
        <v>3910</v>
      </c>
      <c r="V16">
        <f>Tabel2425678910111213141517161819212022232614151617[[#This Row],[Stand Cappucino einde maand]]-Tabel2425678910111213141517161819212022232614151617[[#This Row],[Stand Cappucino vorige maand]]</f>
        <v>264</v>
      </c>
      <c r="W16" s="53">
        <v>374</v>
      </c>
      <c r="X16">
        <f>'mei2025'!W16</f>
        <v>351</v>
      </c>
      <c r="Y16">
        <f>Tabel2425678910111213141517161819212022232614151617[[#This Row],[Stand Cappucino Plantaardig einde maand]]-Tabel2425678910111213141517161819212022232614151617[[#This Row],[Stand Cappucino Plantaardig vorige maand]]</f>
        <v>23</v>
      </c>
      <c r="Z16" s="53">
        <v>56</v>
      </c>
      <c r="AA16">
        <f>'mei2025'!Z16</f>
        <v>55</v>
      </c>
      <c r="AB16">
        <f>Tabel2425678910111213141517161819212022232614151617[[#This Row],[Stand Latte Macchiato Plantaardig einde maand]]-Tabel2425678910111213141517161819212022232614151617[[#This Row],[Stand Latte Macchiato Plantaardig vorige maand]]</f>
        <v>1</v>
      </c>
      <c r="AC16" s="71">
        <f>Tabel2425678910111213141517161819212022232614151617[[#This Row],[Verbruik Stand Latte Macchiato Plantaardig deze maand]]+Tabel2425678910111213141517161819212022232614151617[[#This Row],[Verbruik  Cappucino Plantaardig deze maand]]+Tabel2425678910111213141517161819212022232614151617[[#This Row],[Verbruik Cappucino deze maand]]+Tabel2425678910111213141517161819212022232614151617[[#This Row],[Verbruik Hot Water deze maand]]+Tabel2425678910111213141517161819212022232614151617[[#This Row],[Verbruik Coffee Latte deze maand]]+Tabel2425678910111213141517161819212022232614151617[[#This Row],[Verbruik Latte Macchiato deze maand]]+Tabel2425678910111213141517161819212022232614151617[[#This Row],[Verbruik Espresso deze maand]]+Tabel2425678910111213141517161819212022232614151617[[#This Row],[Verbruik Coffee deze maand]]</f>
        <v>714</v>
      </c>
      <c r="AD16" s="53">
        <v>30.5</v>
      </c>
      <c r="AE16">
        <f>'mei2025'!AD16</f>
        <v>20.8</v>
      </c>
      <c r="AF16">
        <f>Tabel2425678910111213141517161819212022232614151617[[#This Row],[Stand Kamertemp liter einde maand]]-Tabel2425678910111213141517161819212022232614151617[[#This Row],[Stand Kamertemp liter vorige maand]]</f>
        <v>9.6999999999999993</v>
      </c>
      <c r="AG16" s="2">
        <f>Tabel2425678910111213141517161819212022232614151617[[#This Row],[Verbruik Kamertemp liter deze maand]]/0.15</f>
        <v>64.666666666666671</v>
      </c>
      <c r="AH16" s="51">
        <v>574.9</v>
      </c>
      <c r="AI16">
        <f>'mei2025'!AH16</f>
        <v>438.4</v>
      </c>
      <c r="AJ16">
        <f>Tabel2425678910111213141517161819212022232614151617[[#This Row],[Stand Gekoeld liter einde maand]]-Tabel2425678910111213141517161819212022232614151617[[#This Row],[Stand Gekoeld liter vorige maand]]</f>
        <v>136.5</v>
      </c>
      <c r="AK16" s="2">
        <f>Tabel2425678910111213141517161819212022232614151617[[#This Row],[Verbruik Gekoeld liter deze maand]]/0.15</f>
        <v>910</v>
      </c>
      <c r="AL16" s="51">
        <v>386.5</v>
      </c>
      <c r="AM16">
        <f>'mei2025'!AL16</f>
        <v>304.7</v>
      </c>
      <c r="AN16">
        <f>Tabel2425678910111213141517161819212022232614151617[[#This Row],[Stand Bruisend liter einde maand]]-Tabel2425678910111213141517161819212022232614151617[[#This Row],[Stand Bruisend liter vorige maand]]</f>
        <v>81.800000000000011</v>
      </c>
      <c r="AO16" s="2">
        <f>Tabel2425678910111213141517161819212022232614151617[[#This Row],[Verbruik Bruisend liter deze maand]]/0.15</f>
        <v>545.33333333333348</v>
      </c>
      <c r="AP16" s="51">
        <v>88.5</v>
      </c>
      <c r="AQ16">
        <f>'mei2025'!AP16</f>
        <v>63.3</v>
      </c>
      <c r="AR16">
        <f>Tabel2425678910111213141517161819212022232614151617[[#This Row],[Stand licht bruisend liter einde maand]]-Tabel2425678910111213141517161819212022232614151617[[#This Row],[Stand licht bruisend liter vorige maand]]</f>
        <v>25.200000000000003</v>
      </c>
      <c r="AS16" s="2">
        <f>Tabel2425678910111213141517161819212022232614151617[[#This Row],[Verbruik licht bruisend liter deze maand]]/0.15</f>
        <v>168.00000000000003</v>
      </c>
      <c r="AT16" s="51">
        <v>1146.8</v>
      </c>
      <c r="AU16">
        <f>'mei2025'!AT16</f>
        <v>972.9</v>
      </c>
      <c r="AV16">
        <f>Tabel2425678910111213141517161819212022232614151617[[#This Row],[Stand heet water liter einde maand]]-Tabel2425678910111213141517161819212022232614151617[[#This Row],[Stand heet water liter vorige maand]]</f>
        <v>173.89999999999998</v>
      </c>
      <c r="AW16" s="2">
        <f>Tabel2425678910111213141517161819212022232614151617[[#This Row],[Verbruik heet Water liter deze maand ]]/0.15</f>
        <v>1159.3333333333333</v>
      </c>
      <c r="AX16" s="77">
        <f>Tabel2425678910111213141517161819212022232614151617[[#This Row],[Aantal consumpties heet water deze maand]]+Tabel2425678910111213141517161819212022232614151617[[#This Row],[Aantal consumpties licht bruisend water deze maand]]+Tabel2425678910111213141517161819212022232614151617[[#This Row],[aantal consumpties Bruisend water deze maand]]+Tabel2425678910111213141517161819212022232614151617[[#This Row],[Aantal consumpties gekoeld water deze maand]]+Tabel2425678910111213141517161819212022232614151617[[#This Row],[Aantal consumpties Kamertemp deze maand]]</f>
        <v>2847.3333333333335</v>
      </c>
      <c r="AY16" s="95">
        <f>Tabel2425678910111213141517161819212022232614151617[[#This Row],[Subtotaal waterbar in consumpties]]+Tabel2425678910111213141517161819212022232614151617[[#This Row],[Subtotaal koffieautomaten]]</f>
        <v>3561.3333333333335</v>
      </c>
    </row>
    <row r="17" spans="1:130" ht="14.45" customHeight="1" x14ac:dyDescent="0.25">
      <c r="A17" s="65" t="s">
        <v>56</v>
      </c>
      <c r="B17" t="s">
        <v>57</v>
      </c>
      <c r="C17" t="s">
        <v>31</v>
      </c>
      <c r="E17">
        <v>29655</v>
      </c>
      <c r="F17">
        <f>'mei2025'!E17</f>
        <v>28956</v>
      </c>
      <c r="G17">
        <f>Tabel2425678910111213141517161819212022232614151617[[#This Row],[Stand Coffee einde maand]]-Tabel2425678910111213141517161819212022232614151617[[#This Row],[Coffee vorige maand]]</f>
        <v>699</v>
      </c>
      <c r="H17" s="53">
        <v>5896</v>
      </c>
      <c r="I17">
        <f>'mei2025'!H17</f>
        <v>5807</v>
      </c>
      <c r="J17">
        <f>Tabel2425678910111213141517161819212022232614151617[[#This Row],[Stand Espresso Einde maand]]-Tabel2425678910111213141517161819212022232614151617[[#This Row],[Espresso vorige maand]]</f>
        <v>89</v>
      </c>
      <c r="K17" s="53">
        <v>823</v>
      </c>
      <c r="L17">
        <f>'mei2025'!K17</f>
        <v>809</v>
      </c>
      <c r="M17">
        <f>Tabel2425678910111213141517161819212022232614151617[[#This Row],[Stand Latte Macchiato einde maand]]-Tabel2425678910111213141517161819212022232614151617[[#This Row],[Latte Macchiato vorige maand]]</f>
        <v>14</v>
      </c>
      <c r="N17" s="53">
        <v>1714</v>
      </c>
      <c r="O17">
        <f>'mei2025'!N17</f>
        <v>1689</v>
      </c>
      <c r="P17">
        <f>Tabel2425678910111213141517161819212022232614151617[[#This Row],[Stand Coffee Latte einde maand]]-Tabel2425678910111213141517161819212022232614151617[[#This Row],[Coffee Latte vorige maand]]</f>
        <v>25</v>
      </c>
      <c r="Q17" s="53">
        <v>46657</v>
      </c>
      <c r="R17">
        <f>'mei2025'!Q17</f>
        <v>45374</v>
      </c>
      <c r="S17">
        <f>Tabel2425678910111213141517161819212022232614151617[[#This Row],[Stand Hot Water einde maand]]-Tabel2425678910111213141517161819212022232614151617[[#This Row],[Hot Water vorige maand]]</f>
        <v>1283</v>
      </c>
      <c r="T17" s="53">
        <v>11868</v>
      </c>
      <c r="U17">
        <f>'mei2025'!T17</f>
        <v>11681</v>
      </c>
      <c r="V17">
        <f>Tabel2425678910111213141517161819212022232614151617[[#This Row],[Stand Cappucino einde maand]]-Tabel2425678910111213141517161819212022232614151617[[#This Row],[Stand Cappucino vorige maand]]</f>
        <v>187</v>
      </c>
      <c r="W17" s="53">
        <v>3544</v>
      </c>
      <c r="X17">
        <f>'mei2025'!W17</f>
        <v>3485</v>
      </c>
      <c r="Y17">
        <f>Tabel2425678910111213141517161819212022232614151617[[#This Row],[Stand Cappucino Plantaardig einde maand]]-Tabel2425678910111213141517161819212022232614151617[[#This Row],[Stand Cappucino Plantaardig vorige maand]]</f>
        <v>59</v>
      </c>
      <c r="Z17" s="53">
        <v>955</v>
      </c>
      <c r="AA17">
        <f>'mei2025'!Z17</f>
        <v>924</v>
      </c>
      <c r="AB17">
        <f>Tabel2425678910111213141517161819212022232614151617[[#This Row],[Stand Latte Macchiato Plantaardig einde maand]]-Tabel2425678910111213141517161819212022232614151617[[#This Row],[Stand Latte Macchiato Plantaardig vorige maand]]</f>
        <v>31</v>
      </c>
      <c r="AC17" s="71">
        <f>Tabel2425678910111213141517161819212022232614151617[[#This Row],[Verbruik Stand Latte Macchiato Plantaardig deze maand]]+Tabel2425678910111213141517161819212022232614151617[[#This Row],[Verbruik  Cappucino Plantaardig deze maand]]+Tabel2425678910111213141517161819212022232614151617[[#This Row],[Verbruik Cappucino deze maand]]+Tabel2425678910111213141517161819212022232614151617[[#This Row],[Verbruik Hot Water deze maand]]+Tabel2425678910111213141517161819212022232614151617[[#This Row],[Verbruik Coffee Latte deze maand]]+Tabel2425678910111213141517161819212022232614151617[[#This Row],[Verbruik Latte Macchiato deze maand]]+Tabel2425678910111213141517161819212022232614151617[[#This Row],[Verbruik Espresso deze maand]]+Tabel2425678910111213141517161819212022232614151617[[#This Row],[Verbruik Coffee deze maand]]</f>
        <v>2387</v>
      </c>
      <c r="AD17" s="69"/>
      <c r="AE17" s="41"/>
      <c r="AF17" s="5"/>
      <c r="AG17" s="5"/>
      <c r="AH17" s="75"/>
      <c r="AI17" s="41"/>
      <c r="AJ17" s="5"/>
      <c r="AK17" s="5"/>
      <c r="AL17" s="75"/>
      <c r="AM17" s="41"/>
      <c r="AN17" s="5"/>
      <c r="AO17" s="5"/>
      <c r="AP17" s="75"/>
      <c r="AQ17" s="41"/>
      <c r="AR17" s="5"/>
      <c r="AS17" s="5"/>
      <c r="AT17" s="75"/>
      <c r="AU17" s="41"/>
      <c r="AV17" s="5"/>
      <c r="AW17" s="5"/>
      <c r="AX17" s="79"/>
      <c r="AY17" s="95">
        <f>Tabel2425678910111213141517161819212022232614151617[[#This Row],[Subtotaal waterbar in consumpties]]+Tabel2425678910111213141517161819212022232614151617[[#This Row],[Subtotaal koffieautomaten]]</f>
        <v>2387</v>
      </c>
    </row>
    <row r="18" spans="1:130" ht="14.45" customHeight="1" x14ac:dyDescent="0.25">
      <c r="A18" s="65" t="s">
        <v>58</v>
      </c>
      <c r="B18" t="s">
        <v>59</v>
      </c>
      <c r="C18" t="s">
        <v>47</v>
      </c>
      <c r="E18">
        <v>20831</v>
      </c>
      <c r="F18">
        <f>'mei2025'!E18</f>
        <v>20341</v>
      </c>
      <c r="G18">
        <f>Tabel2425678910111213141517161819212022232614151617[[#This Row],[Stand Coffee einde maand]]-Tabel2425678910111213141517161819212022232614151617[[#This Row],[Coffee vorige maand]]</f>
        <v>490</v>
      </c>
      <c r="H18" s="53">
        <v>5503</v>
      </c>
      <c r="I18">
        <f>'mei2025'!H18</f>
        <v>5265</v>
      </c>
      <c r="J18">
        <f>Tabel2425678910111213141517161819212022232614151617[[#This Row],[Stand Espresso Einde maand]]-Tabel2425678910111213141517161819212022232614151617[[#This Row],[Espresso vorige maand]]</f>
        <v>238</v>
      </c>
      <c r="K18" s="53">
        <v>2923</v>
      </c>
      <c r="L18">
        <f>'mei2025'!K18</f>
        <v>2821</v>
      </c>
      <c r="M18">
        <f>Tabel2425678910111213141517161819212022232614151617[[#This Row],[Stand Latte Macchiato einde maand]]-Tabel2425678910111213141517161819212022232614151617[[#This Row],[Latte Macchiato vorige maand]]</f>
        <v>102</v>
      </c>
      <c r="N18" s="53">
        <v>764</v>
      </c>
      <c r="O18">
        <f>'mei2025'!N18</f>
        <v>755</v>
      </c>
      <c r="P18">
        <f>Tabel2425678910111213141517161819212022232614151617[[#This Row],[Stand Coffee Latte einde maand]]-Tabel2425678910111213141517161819212022232614151617[[#This Row],[Coffee Latte vorige maand]]</f>
        <v>9</v>
      </c>
      <c r="Q18" s="53">
        <v>1</v>
      </c>
      <c r="R18">
        <f>'mei2025'!Q18</f>
        <v>1</v>
      </c>
      <c r="S18">
        <f>Tabel2425678910111213141517161819212022232614151617[[#This Row],[Stand Hot Water einde maand]]-Tabel2425678910111213141517161819212022232614151617[[#This Row],[Hot Water vorige maand]]</f>
        <v>0</v>
      </c>
      <c r="T18" s="53">
        <v>11252</v>
      </c>
      <c r="U18">
        <f>'mei2025'!T18</f>
        <v>11027</v>
      </c>
      <c r="V18">
        <f>Tabel2425678910111213141517161819212022232614151617[[#This Row],[Stand Cappucino einde maand]]-Tabel2425678910111213141517161819212022232614151617[[#This Row],[Stand Cappucino vorige maand]]</f>
        <v>225</v>
      </c>
      <c r="W18" s="53">
        <v>4142</v>
      </c>
      <c r="X18">
        <f>'mei2025'!W18</f>
        <v>4068</v>
      </c>
      <c r="Y18">
        <f>Tabel2425678910111213141517161819212022232614151617[[#This Row],[Stand Cappucino Plantaardig einde maand]]-Tabel2425678910111213141517161819212022232614151617[[#This Row],[Stand Cappucino Plantaardig vorige maand]]</f>
        <v>74</v>
      </c>
      <c r="Z18" s="53">
        <v>467</v>
      </c>
      <c r="AA18">
        <f>'mei2025'!Z18</f>
        <v>464</v>
      </c>
      <c r="AB18">
        <f>Tabel2425678910111213141517161819212022232614151617[[#This Row],[Stand Latte Macchiato Plantaardig einde maand]]-Tabel2425678910111213141517161819212022232614151617[[#This Row],[Stand Latte Macchiato Plantaardig vorige maand]]</f>
        <v>3</v>
      </c>
      <c r="AC18" s="71">
        <f>Tabel2425678910111213141517161819212022232614151617[[#This Row],[Verbruik Stand Latte Macchiato Plantaardig deze maand]]+Tabel2425678910111213141517161819212022232614151617[[#This Row],[Verbruik  Cappucino Plantaardig deze maand]]+Tabel2425678910111213141517161819212022232614151617[[#This Row],[Verbruik Cappucino deze maand]]+Tabel2425678910111213141517161819212022232614151617[[#This Row],[Verbruik Hot Water deze maand]]+Tabel2425678910111213141517161819212022232614151617[[#This Row],[Verbruik Coffee Latte deze maand]]+Tabel2425678910111213141517161819212022232614151617[[#This Row],[Verbruik Latte Macchiato deze maand]]+Tabel2425678910111213141517161819212022232614151617[[#This Row],[Verbruik Espresso deze maand]]+Tabel2425678910111213141517161819212022232614151617[[#This Row],[Verbruik Coffee deze maand]]</f>
        <v>1141</v>
      </c>
      <c r="AD18" s="53">
        <v>565.20000000000005</v>
      </c>
      <c r="AE18">
        <f>'mei2025'!AD18</f>
        <v>535.6</v>
      </c>
      <c r="AF18">
        <f>Tabel2425678910111213141517161819212022232614151617[[#This Row],[Stand Kamertemp liter einde maand]]-Tabel2425678910111213141517161819212022232614151617[[#This Row],[Stand Kamertemp liter vorige maand]]</f>
        <v>29.600000000000023</v>
      </c>
      <c r="AG18" s="2">
        <f>Tabel2425678910111213141517161819212022232614151617[[#This Row],[Verbruik Kamertemp liter deze maand]]/0.15</f>
        <v>197.33333333333348</v>
      </c>
      <c r="AH18" s="53">
        <v>2363</v>
      </c>
      <c r="AI18">
        <f>'mei2025'!AH18</f>
        <v>2190.1</v>
      </c>
      <c r="AJ18">
        <f>Tabel2425678910111213141517161819212022232614151617[[#This Row],[Stand Gekoeld liter einde maand]]-Tabel2425678910111213141517161819212022232614151617[[#This Row],[Stand Gekoeld liter vorige maand]]</f>
        <v>172.90000000000009</v>
      </c>
      <c r="AK18" s="2">
        <f>Tabel2425678910111213141517161819212022232614151617[[#This Row],[Verbruik Gekoeld liter deze maand]]/0.15</f>
        <v>1152.6666666666674</v>
      </c>
      <c r="AL18" s="53">
        <v>1957.7</v>
      </c>
      <c r="AM18">
        <f>'mei2025'!AL18</f>
        <v>1850.9</v>
      </c>
      <c r="AN18">
        <f>Tabel2425678910111213141517161819212022232614151617[[#This Row],[Stand Bruisend liter einde maand]]-Tabel2425678910111213141517161819212022232614151617[[#This Row],[Stand Bruisend liter vorige maand]]</f>
        <v>106.79999999999995</v>
      </c>
      <c r="AO18" s="2">
        <f>Tabel2425678910111213141517161819212022232614151617[[#This Row],[Verbruik Bruisend liter deze maand]]/0.15</f>
        <v>711.99999999999977</v>
      </c>
      <c r="AP18" s="53">
        <v>721.9</v>
      </c>
      <c r="AQ18">
        <f>'mei2025'!AP18</f>
        <v>657.7</v>
      </c>
      <c r="AR18">
        <f>Tabel2425678910111213141517161819212022232614151617[[#This Row],[Stand licht bruisend liter einde maand]]-Tabel2425678910111213141517161819212022232614151617[[#This Row],[Stand licht bruisend liter vorige maand]]</f>
        <v>64.199999999999932</v>
      </c>
      <c r="AS18" s="2">
        <f>Tabel2425678910111213141517161819212022232614151617[[#This Row],[Verbruik licht bruisend liter deze maand]]/0.15</f>
        <v>427.99999999999955</v>
      </c>
      <c r="AT18" s="53">
        <v>5065.3</v>
      </c>
      <c r="AU18">
        <f>'mei2025'!AT18</f>
        <v>4852.8</v>
      </c>
      <c r="AV18">
        <f>Tabel2425678910111213141517161819212022232614151617[[#This Row],[Stand heet water liter einde maand]]-Tabel2425678910111213141517161819212022232614151617[[#This Row],[Stand heet water liter vorige maand]]</f>
        <v>212.5</v>
      </c>
      <c r="AW18" s="2">
        <f>Tabel2425678910111213141517161819212022232614151617[[#This Row],[Verbruik heet Water liter deze maand ]]/0.15</f>
        <v>1416.6666666666667</v>
      </c>
      <c r="AX18" s="77">
        <f>Tabel2425678910111213141517161819212022232614151617[[#This Row],[Aantal consumpties heet water deze maand]]+Tabel2425678910111213141517161819212022232614151617[[#This Row],[Aantal consumpties licht bruisend water deze maand]]+Tabel2425678910111213141517161819212022232614151617[[#This Row],[aantal consumpties Bruisend water deze maand]]+Tabel2425678910111213141517161819212022232614151617[[#This Row],[Aantal consumpties gekoeld water deze maand]]+Tabel2425678910111213141517161819212022232614151617[[#This Row],[Aantal consumpties Kamertemp deze maand]]</f>
        <v>3906.666666666667</v>
      </c>
      <c r="AY18" s="95">
        <f>Tabel2425678910111213141517161819212022232614151617[[#This Row],[Subtotaal waterbar in consumpties]]+Tabel2425678910111213141517161819212022232614151617[[#This Row],[Subtotaal koffieautomaten]]</f>
        <v>5047.666666666667</v>
      </c>
    </row>
    <row r="19" spans="1:130" ht="14.45" customHeight="1" x14ac:dyDescent="0.25">
      <c r="A19" s="65" t="s">
        <v>60</v>
      </c>
      <c r="B19" t="s">
        <v>61</v>
      </c>
      <c r="C19" t="s">
        <v>31</v>
      </c>
      <c r="E19">
        <v>22326</v>
      </c>
      <c r="F19">
        <f>'mei2025'!E19</f>
        <v>21924</v>
      </c>
      <c r="G19">
        <f>Tabel2425678910111213141517161819212022232614151617[[#This Row],[Stand Coffee einde maand]]-Tabel2425678910111213141517161819212022232614151617[[#This Row],[Coffee vorige maand]]</f>
        <v>402</v>
      </c>
      <c r="H19" s="53">
        <v>5033</v>
      </c>
      <c r="I19">
        <f>'mei2025'!H19</f>
        <v>4943</v>
      </c>
      <c r="J19">
        <f>Tabel2425678910111213141517161819212022232614151617[[#This Row],[Stand Espresso Einde maand]]-Tabel2425678910111213141517161819212022232614151617[[#This Row],[Espresso vorige maand]]</f>
        <v>90</v>
      </c>
      <c r="K19" s="53">
        <v>1625</v>
      </c>
      <c r="L19">
        <f>'mei2025'!K19</f>
        <v>1586</v>
      </c>
      <c r="M19">
        <f>Tabel2425678910111213141517161819212022232614151617[[#This Row],[Stand Latte Macchiato einde maand]]-Tabel2425678910111213141517161819212022232614151617[[#This Row],[Latte Macchiato vorige maand]]</f>
        <v>39</v>
      </c>
      <c r="N19" s="53">
        <v>1039</v>
      </c>
      <c r="O19">
        <f>'mei2025'!N19</f>
        <v>1020</v>
      </c>
      <c r="P19">
        <f>Tabel2425678910111213141517161819212022232614151617[[#This Row],[Stand Coffee Latte einde maand]]-Tabel2425678910111213141517161819212022232614151617[[#This Row],[Coffee Latte vorige maand]]</f>
        <v>19</v>
      </c>
      <c r="Q19" s="53">
        <v>50477</v>
      </c>
      <c r="R19">
        <f>'mei2025'!Q19</f>
        <v>49368</v>
      </c>
      <c r="S19">
        <f>Tabel2425678910111213141517161819212022232614151617[[#This Row],[Stand Hot Water einde maand]]-Tabel2425678910111213141517161819212022232614151617[[#This Row],[Hot Water vorige maand]]</f>
        <v>1109</v>
      </c>
      <c r="T19" s="53">
        <v>12026</v>
      </c>
      <c r="U19">
        <f>'mei2025'!T19</f>
        <v>11847</v>
      </c>
      <c r="V19">
        <f>Tabel2425678910111213141517161819212022232614151617[[#This Row],[Stand Cappucino einde maand]]-Tabel2425678910111213141517161819212022232614151617[[#This Row],[Stand Cappucino vorige maand]]</f>
        <v>179</v>
      </c>
      <c r="W19" s="53">
        <v>2008</v>
      </c>
      <c r="X19">
        <f>'mei2025'!W19</f>
        <v>1980</v>
      </c>
      <c r="Y19">
        <f>Tabel2425678910111213141517161819212022232614151617[[#This Row],[Stand Cappucino Plantaardig einde maand]]-Tabel2425678910111213141517161819212022232614151617[[#This Row],[Stand Cappucino Plantaardig vorige maand]]</f>
        <v>28</v>
      </c>
      <c r="Z19" s="53">
        <v>538</v>
      </c>
      <c r="AA19">
        <f>'mei2025'!Z19</f>
        <v>527</v>
      </c>
      <c r="AB19">
        <f>Tabel2425678910111213141517161819212022232614151617[[#This Row],[Stand Latte Macchiato Plantaardig einde maand]]-Tabel2425678910111213141517161819212022232614151617[[#This Row],[Stand Latte Macchiato Plantaardig vorige maand]]</f>
        <v>11</v>
      </c>
      <c r="AC19" s="71">
        <f>Tabel2425678910111213141517161819212022232614151617[[#This Row],[Verbruik Stand Latte Macchiato Plantaardig deze maand]]+Tabel2425678910111213141517161819212022232614151617[[#This Row],[Verbruik  Cappucino Plantaardig deze maand]]+Tabel2425678910111213141517161819212022232614151617[[#This Row],[Verbruik Cappucino deze maand]]+Tabel2425678910111213141517161819212022232614151617[[#This Row],[Verbruik Hot Water deze maand]]+Tabel2425678910111213141517161819212022232614151617[[#This Row],[Verbruik Coffee Latte deze maand]]+Tabel2425678910111213141517161819212022232614151617[[#This Row],[Verbruik Latte Macchiato deze maand]]+Tabel2425678910111213141517161819212022232614151617[[#This Row],[Verbruik Espresso deze maand]]+Tabel2425678910111213141517161819212022232614151617[[#This Row],[Verbruik Coffee deze maand]]</f>
        <v>1877</v>
      </c>
      <c r="AD19" s="69"/>
      <c r="AE19" s="41"/>
      <c r="AF19" s="5"/>
      <c r="AG19" s="5"/>
      <c r="AH19" s="75"/>
      <c r="AI19" s="41"/>
      <c r="AJ19" s="5"/>
      <c r="AK19" s="5"/>
      <c r="AL19" s="75"/>
      <c r="AM19" s="41"/>
      <c r="AN19" s="5"/>
      <c r="AO19" s="5"/>
      <c r="AP19" s="75"/>
      <c r="AQ19" s="41"/>
      <c r="AR19" s="5"/>
      <c r="AS19" s="5"/>
      <c r="AT19" s="75"/>
      <c r="AU19" s="41"/>
      <c r="AV19" s="5"/>
      <c r="AW19" s="5"/>
      <c r="AX19" s="79"/>
      <c r="AY19" s="95">
        <f>Tabel2425678910111213141517161819212022232614151617[[#This Row],[Subtotaal waterbar in consumpties]]+Tabel2425678910111213141517161819212022232614151617[[#This Row],[Subtotaal koffieautomaten]]</f>
        <v>1877</v>
      </c>
    </row>
    <row r="20" spans="1:130" ht="14.45" customHeight="1" x14ac:dyDescent="0.25">
      <c r="A20" s="65" t="s">
        <v>62</v>
      </c>
      <c r="B20" t="s">
        <v>63</v>
      </c>
      <c r="C20" t="s">
        <v>47</v>
      </c>
      <c r="E20">
        <v>8449</v>
      </c>
      <c r="F20">
        <f>'mei2025'!E20</f>
        <v>7732</v>
      </c>
      <c r="G20">
        <f>Tabel2425678910111213141517161819212022232614151617[[#This Row],[Stand Coffee einde maand]]-Tabel2425678910111213141517161819212022232614151617[[#This Row],[Coffee vorige maand]]</f>
        <v>717</v>
      </c>
      <c r="H20" s="53">
        <v>1656</v>
      </c>
      <c r="I20">
        <f>'mei2025'!H20</f>
        <v>1521</v>
      </c>
      <c r="J20">
        <f>Tabel2425678910111213141517161819212022232614151617[[#This Row],[Stand Espresso Einde maand]]-Tabel2425678910111213141517161819212022232614151617[[#This Row],[Espresso vorige maand]]</f>
        <v>135</v>
      </c>
      <c r="K20" s="53">
        <v>342</v>
      </c>
      <c r="L20">
        <f>'mei2025'!K20</f>
        <v>311</v>
      </c>
      <c r="M20">
        <f>Tabel2425678910111213141517161819212022232614151617[[#This Row],[Stand Latte Macchiato einde maand]]-Tabel2425678910111213141517161819212022232614151617[[#This Row],[Latte Macchiato vorige maand]]</f>
        <v>31</v>
      </c>
      <c r="N20" s="53">
        <v>631</v>
      </c>
      <c r="O20">
        <f>'mei2025'!N20</f>
        <v>591</v>
      </c>
      <c r="P20">
        <f>Tabel2425678910111213141517161819212022232614151617[[#This Row],[Stand Coffee Latte einde maand]]-Tabel2425678910111213141517161819212022232614151617[[#This Row],[Coffee Latte vorige maand]]</f>
        <v>40</v>
      </c>
      <c r="Q20" s="53">
        <v>2975</v>
      </c>
      <c r="R20">
        <f>'mei2025'!Q20</f>
        <v>2728</v>
      </c>
      <c r="S20">
        <f>Tabel2425678910111213141517161819212022232614151617[[#This Row],[Stand Hot Water einde maand]]-Tabel2425678910111213141517161819212022232614151617[[#This Row],[Hot Water vorige maand]]</f>
        <v>247</v>
      </c>
      <c r="T20" s="53">
        <v>2753</v>
      </c>
      <c r="U20">
        <f>'mei2025'!T20</f>
        <v>2562</v>
      </c>
      <c r="V20">
        <f>Tabel2425678910111213141517161819212022232614151617[[#This Row],[Stand Cappucino einde maand]]-Tabel2425678910111213141517161819212022232614151617[[#This Row],[Stand Cappucino vorige maand]]</f>
        <v>191</v>
      </c>
      <c r="W20" s="53">
        <v>907</v>
      </c>
      <c r="X20">
        <f>'mei2025'!W20</f>
        <v>856</v>
      </c>
      <c r="Y20">
        <f>Tabel2425678910111213141517161819212022232614151617[[#This Row],[Stand Cappucino Plantaardig einde maand]]-Tabel2425678910111213141517161819212022232614151617[[#This Row],[Stand Cappucino Plantaardig vorige maand]]</f>
        <v>51</v>
      </c>
      <c r="Z20" s="53">
        <v>340</v>
      </c>
      <c r="AA20">
        <f>'mei2025'!Z20</f>
        <v>322</v>
      </c>
      <c r="AB20">
        <f>Tabel2425678910111213141517161819212022232614151617[[#This Row],[Stand Latte Macchiato Plantaardig einde maand]]-Tabel2425678910111213141517161819212022232614151617[[#This Row],[Stand Latte Macchiato Plantaardig vorige maand]]</f>
        <v>18</v>
      </c>
      <c r="AC20" s="71">
        <f>Tabel2425678910111213141517161819212022232614151617[[#This Row],[Verbruik Stand Latte Macchiato Plantaardig deze maand]]+Tabel2425678910111213141517161819212022232614151617[[#This Row],[Verbruik  Cappucino Plantaardig deze maand]]+Tabel2425678910111213141517161819212022232614151617[[#This Row],[Verbruik Cappucino deze maand]]+Tabel2425678910111213141517161819212022232614151617[[#This Row],[Verbruik Hot Water deze maand]]+Tabel2425678910111213141517161819212022232614151617[[#This Row],[Verbruik Coffee Latte deze maand]]+Tabel2425678910111213141517161819212022232614151617[[#This Row],[Verbruik Latte Macchiato deze maand]]+Tabel2425678910111213141517161819212022232614151617[[#This Row],[Verbruik Espresso deze maand]]+Tabel2425678910111213141517161819212022232614151617[[#This Row],[Verbruik Coffee deze maand]]</f>
        <v>1430</v>
      </c>
      <c r="AD20" s="53">
        <v>207.1</v>
      </c>
      <c r="AE20">
        <f>'mei2025'!AD20</f>
        <v>197.1</v>
      </c>
      <c r="AF20">
        <f>Tabel2425678910111213141517161819212022232614151617[[#This Row],[Stand Kamertemp liter einde maand]]-Tabel2425678910111213141517161819212022232614151617[[#This Row],[Stand Kamertemp liter vorige maand]]</f>
        <v>10</v>
      </c>
      <c r="AG20" s="2">
        <f>Tabel2425678910111213141517161819212022232614151617[[#This Row],[Verbruik Kamertemp liter deze maand]]/0.15</f>
        <v>66.666666666666671</v>
      </c>
      <c r="AH20" s="51">
        <v>1789.6</v>
      </c>
      <c r="AI20">
        <f>'mei2025'!AH20</f>
        <v>1686.7</v>
      </c>
      <c r="AJ20">
        <f>Tabel2425678910111213141517161819212022232614151617[[#This Row],[Stand Gekoeld liter einde maand]]-Tabel2425678910111213141517161819212022232614151617[[#This Row],[Stand Gekoeld liter vorige maand]]</f>
        <v>102.89999999999986</v>
      </c>
      <c r="AK20" s="2">
        <f>Tabel2425678910111213141517161819212022232614151617[[#This Row],[Verbruik Gekoeld liter deze maand]]/0.15</f>
        <v>685.99999999999909</v>
      </c>
      <c r="AL20" s="51">
        <v>2057.1999999999998</v>
      </c>
      <c r="AM20">
        <f>'mei2025'!AL20</f>
        <v>1955</v>
      </c>
      <c r="AN20">
        <f>Tabel2425678910111213141517161819212022232614151617[[#This Row],[Stand Bruisend liter einde maand]]-Tabel2425678910111213141517161819212022232614151617[[#This Row],[Stand Bruisend liter vorige maand]]</f>
        <v>102.19999999999982</v>
      </c>
      <c r="AO20" s="2">
        <f>Tabel2425678910111213141517161819212022232614151617[[#This Row],[Verbruik Bruisend liter deze maand]]/0.15</f>
        <v>681.33333333333212</v>
      </c>
      <c r="AP20" s="51">
        <v>484.5</v>
      </c>
      <c r="AQ20">
        <f>'mei2025'!AP20</f>
        <v>454.4</v>
      </c>
      <c r="AR20">
        <f>Tabel2425678910111213141517161819212022232614151617[[#This Row],[Stand licht bruisend liter einde maand]]-Tabel2425678910111213141517161819212022232614151617[[#This Row],[Stand licht bruisend liter vorige maand]]</f>
        <v>30.100000000000023</v>
      </c>
      <c r="AS20" s="2">
        <f>Tabel2425678910111213141517161819212022232614151617[[#This Row],[Verbruik licht bruisend liter deze maand]]/0.15</f>
        <v>200.66666666666683</v>
      </c>
      <c r="AT20" s="51">
        <v>5190.6000000000004</v>
      </c>
      <c r="AU20">
        <f>'mei2025'!AT20</f>
        <v>4999.8</v>
      </c>
      <c r="AV20">
        <f>Tabel2425678910111213141517161819212022232614151617[[#This Row],[Stand heet water liter einde maand]]-Tabel2425678910111213141517161819212022232614151617[[#This Row],[Stand heet water liter vorige maand]]</f>
        <v>190.80000000000018</v>
      </c>
      <c r="AW20" s="2">
        <f>Tabel2425678910111213141517161819212022232614151617[[#This Row],[Verbruik heet Water liter deze maand ]]/0.15</f>
        <v>1272.0000000000014</v>
      </c>
      <c r="AX20" s="77">
        <f>Tabel2425678910111213141517161819212022232614151617[[#This Row],[Aantal consumpties heet water deze maand]]+Tabel2425678910111213141517161819212022232614151617[[#This Row],[Aantal consumpties licht bruisend water deze maand]]+Tabel2425678910111213141517161819212022232614151617[[#This Row],[aantal consumpties Bruisend water deze maand]]+Tabel2425678910111213141517161819212022232614151617[[#This Row],[Aantal consumpties gekoeld water deze maand]]+Tabel2425678910111213141517161819212022232614151617[[#This Row],[Aantal consumpties Kamertemp deze maand]]</f>
        <v>2906.6666666666656</v>
      </c>
      <c r="AY20" s="95">
        <f>Tabel2425678910111213141517161819212022232614151617[[#This Row],[Subtotaal waterbar in consumpties]]+Tabel2425678910111213141517161819212022232614151617[[#This Row],[Subtotaal koffieautomaten]]</f>
        <v>4336.6666666666661</v>
      </c>
    </row>
    <row r="21" spans="1:130" ht="14.45" customHeight="1" x14ac:dyDescent="0.25">
      <c r="A21" s="65" t="s">
        <v>64</v>
      </c>
      <c r="B21" t="s">
        <v>65</v>
      </c>
      <c r="C21" t="s">
        <v>31</v>
      </c>
      <c r="E21">
        <v>25454</v>
      </c>
      <c r="F21">
        <f>'mei2025'!E21</f>
        <v>24731</v>
      </c>
      <c r="G21">
        <f>Tabel2425678910111213141517161819212022232614151617[[#This Row],[Stand Coffee einde maand]]-Tabel2425678910111213141517161819212022232614151617[[#This Row],[Coffee vorige maand]]</f>
        <v>723</v>
      </c>
      <c r="H21" s="53">
        <v>7001</v>
      </c>
      <c r="I21">
        <f>'mei2025'!H21</f>
        <v>6827</v>
      </c>
      <c r="J21">
        <f>Tabel2425678910111213141517161819212022232614151617[[#This Row],[Stand Espresso Einde maand]]-Tabel2425678910111213141517161819212022232614151617[[#This Row],[Espresso vorige maand]]</f>
        <v>174</v>
      </c>
      <c r="K21" s="53">
        <v>3004</v>
      </c>
      <c r="L21">
        <f>'mei2025'!K21</f>
        <v>2934</v>
      </c>
      <c r="M21">
        <f>Tabel2425678910111213141517161819212022232614151617[[#This Row],[Stand Latte Macchiato einde maand]]-Tabel2425678910111213141517161819212022232614151617[[#This Row],[Latte Macchiato vorige maand]]</f>
        <v>70</v>
      </c>
      <c r="N21" s="53">
        <v>1242</v>
      </c>
      <c r="O21">
        <f>'mei2025'!N21</f>
        <v>1223</v>
      </c>
      <c r="P21">
        <f>Tabel2425678910111213141517161819212022232614151617[[#This Row],[Stand Coffee Latte einde maand]]-Tabel2425678910111213141517161819212022232614151617[[#This Row],[Coffee Latte vorige maand]]</f>
        <v>19</v>
      </c>
      <c r="Q21" s="53">
        <v>54872</v>
      </c>
      <c r="R21">
        <f>'mei2025'!Q21</f>
        <v>53486</v>
      </c>
      <c r="S21">
        <f>Tabel2425678910111213141517161819212022232614151617[[#This Row],[Stand Hot Water einde maand]]-Tabel2425678910111213141517161819212022232614151617[[#This Row],[Hot Water vorige maand]]</f>
        <v>1386</v>
      </c>
      <c r="T21" s="53">
        <v>16130</v>
      </c>
      <c r="U21">
        <f>'mei2025'!T21</f>
        <v>15841</v>
      </c>
      <c r="V21">
        <f>Tabel2425678910111213141517161819212022232614151617[[#This Row],[Stand Cappucino einde maand]]-Tabel2425678910111213141517161819212022232614151617[[#This Row],[Stand Cappucino vorige maand]]</f>
        <v>289</v>
      </c>
      <c r="W21" s="53">
        <v>2779</v>
      </c>
      <c r="X21">
        <f>'mei2025'!W21</f>
        <v>2729</v>
      </c>
      <c r="Y21">
        <f>Tabel2425678910111213141517161819212022232614151617[[#This Row],[Stand Cappucino Plantaardig einde maand]]-Tabel2425678910111213141517161819212022232614151617[[#This Row],[Stand Cappucino Plantaardig vorige maand]]</f>
        <v>50</v>
      </c>
      <c r="Z21" s="53">
        <v>901</v>
      </c>
      <c r="AA21">
        <f>'mei2025'!Z21</f>
        <v>872</v>
      </c>
      <c r="AB21">
        <f>Tabel2425678910111213141517161819212022232614151617[[#This Row],[Stand Latte Macchiato Plantaardig einde maand]]-Tabel2425678910111213141517161819212022232614151617[[#This Row],[Stand Latte Macchiato Plantaardig vorige maand]]</f>
        <v>29</v>
      </c>
      <c r="AC21" s="71">
        <f>Tabel2425678910111213141517161819212022232614151617[[#This Row],[Verbruik Stand Latte Macchiato Plantaardig deze maand]]+Tabel2425678910111213141517161819212022232614151617[[#This Row],[Verbruik  Cappucino Plantaardig deze maand]]+Tabel2425678910111213141517161819212022232614151617[[#This Row],[Verbruik Cappucino deze maand]]+Tabel2425678910111213141517161819212022232614151617[[#This Row],[Verbruik Hot Water deze maand]]+Tabel2425678910111213141517161819212022232614151617[[#This Row],[Verbruik Coffee Latte deze maand]]+Tabel2425678910111213141517161819212022232614151617[[#This Row],[Verbruik Latte Macchiato deze maand]]+Tabel2425678910111213141517161819212022232614151617[[#This Row],[Verbruik Espresso deze maand]]+Tabel2425678910111213141517161819212022232614151617[[#This Row],[Verbruik Coffee deze maand]]</f>
        <v>2740</v>
      </c>
      <c r="AD21" s="69"/>
      <c r="AE21" s="41"/>
      <c r="AF21" s="5"/>
      <c r="AG21" s="5"/>
      <c r="AH21" s="75"/>
      <c r="AI21" s="41"/>
      <c r="AJ21" s="5"/>
      <c r="AK21" s="5"/>
      <c r="AL21" s="75"/>
      <c r="AM21" s="41"/>
      <c r="AN21" s="5"/>
      <c r="AO21" s="5"/>
      <c r="AP21" s="75"/>
      <c r="AQ21" s="41"/>
      <c r="AR21" s="5"/>
      <c r="AS21" s="5"/>
      <c r="AT21" s="75"/>
      <c r="AU21" s="41"/>
      <c r="AV21" s="5"/>
      <c r="AW21" s="5"/>
      <c r="AX21" s="79"/>
      <c r="AY21" s="95">
        <f>Tabel2425678910111213141517161819212022232614151617[[#This Row],[Subtotaal waterbar in consumpties]]+Tabel2425678910111213141517161819212022232614151617[[#This Row],[Subtotaal koffieautomaten]]</f>
        <v>2740</v>
      </c>
    </row>
    <row r="22" spans="1:130" ht="14.45" customHeight="1" x14ac:dyDescent="0.25">
      <c r="A22" s="65" t="s">
        <v>66</v>
      </c>
      <c r="B22" t="s">
        <v>67</v>
      </c>
      <c r="C22" t="s">
        <v>31</v>
      </c>
      <c r="E22">
        <v>30454</v>
      </c>
      <c r="F22">
        <f>'mei2025'!E22</f>
        <v>29699</v>
      </c>
      <c r="G22">
        <f>Tabel2425678910111213141517161819212022232614151617[[#This Row],[Stand Coffee einde maand]]-Tabel2425678910111213141517161819212022232614151617[[#This Row],[Coffee vorige maand]]</f>
        <v>755</v>
      </c>
      <c r="H22" s="53">
        <v>5222</v>
      </c>
      <c r="I22">
        <f>'mei2025'!H22</f>
        <v>5022</v>
      </c>
      <c r="J22">
        <f>Tabel2425678910111213141517161819212022232614151617[[#This Row],[Stand Espresso Einde maand]]-Tabel2425678910111213141517161819212022232614151617[[#This Row],[Espresso vorige maand]]</f>
        <v>200</v>
      </c>
      <c r="K22" s="53">
        <v>3622</v>
      </c>
      <c r="L22">
        <f>'mei2025'!K22</f>
        <v>3567</v>
      </c>
      <c r="M22">
        <f>Tabel2425678910111213141517161819212022232614151617[[#This Row],[Stand Latte Macchiato einde maand]]-Tabel2425678910111213141517161819212022232614151617[[#This Row],[Latte Macchiato vorige maand]]</f>
        <v>55</v>
      </c>
      <c r="N22" s="53">
        <v>885</v>
      </c>
      <c r="O22">
        <f>'mei2025'!N22</f>
        <v>850</v>
      </c>
      <c r="P22">
        <f>Tabel2425678910111213141517161819212022232614151617[[#This Row],[Stand Coffee Latte einde maand]]-Tabel2425678910111213141517161819212022232614151617[[#This Row],[Coffee Latte vorige maand]]</f>
        <v>35</v>
      </c>
      <c r="Q22" s="53">
        <v>49481</v>
      </c>
      <c r="R22">
        <f>'mei2025'!Q22</f>
        <v>48452</v>
      </c>
      <c r="S22">
        <f>Tabel2425678910111213141517161819212022232614151617[[#This Row],[Stand Hot Water einde maand]]-Tabel2425678910111213141517161819212022232614151617[[#This Row],[Hot Water vorige maand]]</f>
        <v>1029</v>
      </c>
      <c r="T22" s="53">
        <v>16588</v>
      </c>
      <c r="U22">
        <f>'mei2025'!T22</f>
        <v>16192</v>
      </c>
      <c r="V22">
        <f>Tabel2425678910111213141517161819212022232614151617[[#This Row],[Stand Cappucino einde maand]]-Tabel2425678910111213141517161819212022232614151617[[#This Row],[Stand Cappucino vorige maand]]</f>
        <v>396</v>
      </c>
      <c r="W22" s="53">
        <v>3610</v>
      </c>
      <c r="X22">
        <f>'mei2025'!W22</f>
        <v>3499</v>
      </c>
      <c r="Y22">
        <f>Tabel2425678910111213141517161819212022232614151617[[#This Row],[Stand Cappucino Plantaardig einde maand]]-Tabel2425678910111213141517161819212022232614151617[[#This Row],[Stand Cappucino Plantaardig vorige maand]]</f>
        <v>111</v>
      </c>
      <c r="Z22" s="53">
        <v>720</v>
      </c>
      <c r="AA22">
        <f>'mei2025'!Z22</f>
        <v>704</v>
      </c>
      <c r="AB22">
        <f>Tabel2425678910111213141517161819212022232614151617[[#This Row],[Stand Latte Macchiato Plantaardig einde maand]]-Tabel2425678910111213141517161819212022232614151617[[#This Row],[Stand Latte Macchiato Plantaardig vorige maand]]</f>
        <v>16</v>
      </c>
      <c r="AC22" s="71">
        <f>Tabel2425678910111213141517161819212022232614151617[[#This Row],[Verbruik Stand Latte Macchiato Plantaardig deze maand]]+Tabel2425678910111213141517161819212022232614151617[[#This Row],[Verbruik  Cappucino Plantaardig deze maand]]+Tabel2425678910111213141517161819212022232614151617[[#This Row],[Verbruik Cappucino deze maand]]+Tabel2425678910111213141517161819212022232614151617[[#This Row],[Verbruik Hot Water deze maand]]+Tabel2425678910111213141517161819212022232614151617[[#This Row],[Verbruik Coffee Latte deze maand]]+Tabel2425678910111213141517161819212022232614151617[[#This Row],[Verbruik Latte Macchiato deze maand]]+Tabel2425678910111213141517161819212022232614151617[[#This Row],[Verbruik Espresso deze maand]]+Tabel2425678910111213141517161819212022232614151617[[#This Row],[Verbruik Coffee deze maand]]</f>
        <v>2597</v>
      </c>
      <c r="AD22" s="69"/>
      <c r="AE22" s="41"/>
      <c r="AF22" s="5"/>
      <c r="AG22" s="5"/>
      <c r="AH22" s="75"/>
      <c r="AI22" s="41"/>
      <c r="AJ22" s="5"/>
      <c r="AK22" s="5"/>
      <c r="AL22" s="75"/>
      <c r="AM22" s="41"/>
      <c r="AN22" s="5"/>
      <c r="AO22" s="5"/>
      <c r="AP22" s="75"/>
      <c r="AQ22" s="41"/>
      <c r="AR22" s="5"/>
      <c r="AS22" s="5"/>
      <c r="AT22" s="75"/>
      <c r="AU22" s="41"/>
      <c r="AV22" s="5"/>
      <c r="AW22" s="5"/>
      <c r="AX22" s="79"/>
      <c r="AY22" s="95">
        <f>Tabel2425678910111213141517161819212022232614151617[[#This Row],[Subtotaal waterbar in consumpties]]+Tabel2425678910111213141517161819212022232614151617[[#This Row],[Subtotaal koffieautomaten]]</f>
        <v>2597</v>
      </c>
    </row>
    <row r="23" spans="1:130" ht="14.45" customHeight="1" x14ac:dyDescent="0.25">
      <c r="A23" s="65" t="s">
        <v>68</v>
      </c>
      <c r="B23" t="s">
        <v>69</v>
      </c>
      <c r="C23" t="s">
        <v>47</v>
      </c>
      <c r="E23">
        <v>17825</v>
      </c>
      <c r="F23">
        <f>'mei2025'!E23</f>
        <v>17405</v>
      </c>
      <c r="G23">
        <f>Tabel2425678910111213141517161819212022232614151617[[#This Row],[Stand Coffee einde maand]]-Tabel2425678910111213141517161819212022232614151617[[#This Row],[Coffee vorige maand]]</f>
        <v>420</v>
      </c>
      <c r="H23" s="53">
        <v>7309</v>
      </c>
      <c r="I23">
        <f>'mei2025'!H23</f>
        <v>7144</v>
      </c>
      <c r="J23">
        <f>Tabel2425678910111213141517161819212022232614151617[[#This Row],[Stand Espresso Einde maand]]-Tabel2425678910111213141517161819212022232614151617[[#This Row],[Espresso vorige maand]]</f>
        <v>165</v>
      </c>
      <c r="K23" s="53">
        <v>5403</v>
      </c>
      <c r="L23">
        <f>'mei2025'!K23</f>
        <v>5280</v>
      </c>
      <c r="M23">
        <f>Tabel2425678910111213141517161819212022232614151617[[#This Row],[Stand Latte Macchiato einde maand]]-Tabel2425678910111213141517161819212022232614151617[[#This Row],[Latte Macchiato vorige maand]]</f>
        <v>123</v>
      </c>
      <c r="N23" s="53">
        <v>985</v>
      </c>
      <c r="O23">
        <f>'mei2025'!N23</f>
        <v>936</v>
      </c>
      <c r="P23">
        <f>Tabel2425678910111213141517161819212022232614151617[[#This Row],[Stand Coffee Latte einde maand]]-Tabel2425678910111213141517161819212022232614151617[[#This Row],[Coffee Latte vorige maand]]</f>
        <v>49</v>
      </c>
      <c r="Q23" s="53">
        <v>1</v>
      </c>
      <c r="R23">
        <f>'mei2025'!Q23</f>
        <v>1</v>
      </c>
      <c r="S23">
        <f>Tabel2425678910111213141517161819212022232614151617[[#This Row],[Stand Hot Water einde maand]]-Tabel2425678910111213141517161819212022232614151617[[#This Row],[Hot Water vorige maand]]</f>
        <v>0</v>
      </c>
      <c r="T23" s="53">
        <v>14893</v>
      </c>
      <c r="U23">
        <f>'mei2025'!T23</f>
        <v>14601</v>
      </c>
      <c r="V23">
        <f>Tabel2425678910111213141517161819212022232614151617[[#This Row],[Stand Cappucino einde maand]]-Tabel2425678910111213141517161819212022232614151617[[#This Row],[Stand Cappucino vorige maand]]</f>
        <v>292</v>
      </c>
      <c r="W23" s="53">
        <v>2941</v>
      </c>
      <c r="X23">
        <f>'mei2025'!W23</f>
        <v>2906</v>
      </c>
      <c r="Y23">
        <f>Tabel2425678910111213141517161819212022232614151617[[#This Row],[Stand Cappucino Plantaardig einde maand]]-Tabel2425678910111213141517161819212022232614151617[[#This Row],[Stand Cappucino Plantaardig vorige maand]]</f>
        <v>35</v>
      </c>
      <c r="Z23" s="53">
        <v>809</v>
      </c>
      <c r="AA23">
        <f>'mei2025'!Z23</f>
        <v>776</v>
      </c>
      <c r="AB23">
        <f>Tabel2425678910111213141517161819212022232614151617[[#This Row],[Stand Latte Macchiato Plantaardig einde maand]]-Tabel2425678910111213141517161819212022232614151617[[#This Row],[Stand Latte Macchiato Plantaardig vorige maand]]</f>
        <v>33</v>
      </c>
      <c r="AC23" s="71">
        <f>Tabel2425678910111213141517161819212022232614151617[[#This Row],[Verbruik Stand Latte Macchiato Plantaardig deze maand]]+Tabel2425678910111213141517161819212022232614151617[[#This Row],[Verbruik  Cappucino Plantaardig deze maand]]+Tabel2425678910111213141517161819212022232614151617[[#This Row],[Verbruik Cappucino deze maand]]+Tabel2425678910111213141517161819212022232614151617[[#This Row],[Verbruik Hot Water deze maand]]+Tabel2425678910111213141517161819212022232614151617[[#This Row],[Verbruik Coffee Latte deze maand]]+Tabel2425678910111213141517161819212022232614151617[[#This Row],[Verbruik Latte Macchiato deze maand]]+Tabel2425678910111213141517161819212022232614151617[[#This Row],[Verbruik Espresso deze maand]]+Tabel2425678910111213141517161819212022232614151617[[#This Row],[Verbruik Coffee deze maand]]</f>
        <v>1117</v>
      </c>
      <c r="AD23" s="53">
        <v>126.2</v>
      </c>
      <c r="AE23">
        <f>'mei2025'!AD23</f>
        <v>112.7</v>
      </c>
      <c r="AF23">
        <f>Tabel2425678910111213141517161819212022232614151617[[#This Row],[Stand Kamertemp liter einde maand]]-Tabel2425678910111213141517161819212022232614151617[[#This Row],[Stand Kamertemp liter vorige maand]]</f>
        <v>13.5</v>
      </c>
      <c r="AG23" s="2">
        <f>Tabel2425678910111213141517161819212022232614151617[[#This Row],[Verbruik Kamertemp liter deze maand]]/0.15</f>
        <v>90</v>
      </c>
      <c r="AH23" s="53">
        <v>1251.8</v>
      </c>
      <c r="AI23">
        <f>'mei2025'!AH23</f>
        <v>1125.7</v>
      </c>
      <c r="AJ23">
        <f>Tabel2425678910111213141517161819212022232614151617[[#This Row],[Stand Gekoeld liter einde maand]]-Tabel2425678910111213141517161819212022232614151617[[#This Row],[Stand Gekoeld liter vorige maand]]</f>
        <v>126.09999999999991</v>
      </c>
      <c r="AK23" s="2">
        <f>Tabel2425678910111213141517161819212022232614151617[[#This Row],[Verbruik Gekoeld liter deze maand]]/0.15</f>
        <v>840.66666666666606</v>
      </c>
      <c r="AL23" s="53">
        <v>601.6</v>
      </c>
      <c r="AM23">
        <f>'mei2025'!AL23</f>
        <v>549.5</v>
      </c>
      <c r="AN23">
        <f>Tabel2425678910111213141517161819212022232614151617[[#This Row],[Stand Bruisend liter einde maand]]-Tabel2425678910111213141517161819212022232614151617[[#This Row],[Stand Bruisend liter vorige maand]]</f>
        <v>52.100000000000023</v>
      </c>
      <c r="AO23" s="2">
        <f>Tabel2425678910111213141517161819212022232614151617[[#This Row],[Verbruik Bruisend liter deze maand]]/0.15</f>
        <v>347.33333333333348</v>
      </c>
      <c r="AP23" s="53">
        <v>108.7</v>
      </c>
      <c r="AQ23">
        <f>'mei2025'!AP23</f>
        <v>99.3</v>
      </c>
      <c r="AR23">
        <f>Tabel2425678910111213141517161819212022232614151617[[#This Row],[Stand licht bruisend liter einde maand]]-Tabel2425678910111213141517161819212022232614151617[[#This Row],[Stand licht bruisend liter vorige maand]]</f>
        <v>9.4000000000000057</v>
      </c>
      <c r="AS23" s="2">
        <f>Tabel2425678910111213141517161819212022232614151617[[#This Row],[Verbruik licht bruisend liter deze maand]]/0.15</f>
        <v>62.666666666666707</v>
      </c>
      <c r="AT23" s="53">
        <v>2711.1</v>
      </c>
      <c r="AU23">
        <f>'mei2025'!AT23</f>
        <v>2513.1</v>
      </c>
      <c r="AV23">
        <f>Tabel2425678910111213141517161819212022232614151617[[#This Row],[Stand heet water liter einde maand]]-Tabel2425678910111213141517161819212022232614151617[[#This Row],[Stand heet water liter vorige maand]]</f>
        <v>198</v>
      </c>
      <c r="AW23" s="2">
        <f>Tabel2425678910111213141517161819212022232614151617[[#This Row],[Verbruik heet Water liter deze maand ]]/0.15</f>
        <v>1320</v>
      </c>
      <c r="AX23" s="77">
        <f>Tabel2425678910111213141517161819212022232614151617[[#This Row],[Aantal consumpties heet water deze maand]]+Tabel2425678910111213141517161819212022232614151617[[#This Row],[Aantal consumpties licht bruisend water deze maand]]+Tabel2425678910111213141517161819212022232614151617[[#This Row],[aantal consumpties Bruisend water deze maand]]+Tabel2425678910111213141517161819212022232614151617[[#This Row],[Aantal consumpties gekoeld water deze maand]]+Tabel2425678910111213141517161819212022232614151617[[#This Row],[Aantal consumpties Kamertemp deze maand]]</f>
        <v>2660.6666666666661</v>
      </c>
      <c r="AY23" s="95">
        <f>Tabel2425678910111213141517161819212022232614151617[[#This Row],[Subtotaal waterbar in consumpties]]+Tabel2425678910111213141517161819212022232614151617[[#This Row],[Subtotaal koffieautomaten]]</f>
        <v>3777.6666666666661</v>
      </c>
    </row>
    <row r="24" spans="1:130" ht="14.45" customHeight="1" x14ac:dyDescent="0.25">
      <c r="A24" s="65" t="s">
        <v>70</v>
      </c>
      <c r="B24" t="s">
        <v>71</v>
      </c>
      <c r="C24" t="s">
        <v>31</v>
      </c>
      <c r="E24">
        <v>19775</v>
      </c>
      <c r="F24">
        <f>'mei2025'!E24</f>
        <v>19235</v>
      </c>
      <c r="G24">
        <f>Tabel2425678910111213141517161819212022232614151617[[#This Row],[Stand Coffee einde maand]]-Tabel2425678910111213141517161819212022232614151617[[#This Row],[Coffee vorige maand]]</f>
        <v>540</v>
      </c>
      <c r="H24" s="53">
        <v>3088</v>
      </c>
      <c r="I24">
        <f>'mei2025'!H24</f>
        <v>2970</v>
      </c>
      <c r="J24">
        <f>Tabel2425678910111213141517161819212022232614151617[[#This Row],[Stand Espresso Einde maand]]-Tabel2425678910111213141517161819212022232614151617[[#This Row],[Espresso vorige maand]]</f>
        <v>118</v>
      </c>
      <c r="K24" s="53">
        <v>1415</v>
      </c>
      <c r="L24">
        <f>'mei2025'!K24</f>
        <v>1389</v>
      </c>
      <c r="M24">
        <f>Tabel2425678910111213141517161819212022232614151617[[#This Row],[Stand Latte Macchiato einde maand]]-Tabel2425678910111213141517161819212022232614151617[[#This Row],[Latte Macchiato vorige maand]]</f>
        <v>26</v>
      </c>
      <c r="N24" s="53">
        <v>2329</v>
      </c>
      <c r="O24">
        <f>'mei2025'!N24</f>
        <v>2274</v>
      </c>
      <c r="P24">
        <f>Tabel2425678910111213141517161819212022232614151617[[#This Row],[Stand Coffee Latte einde maand]]-Tabel2425678910111213141517161819212022232614151617[[#This Row],[Coffee Latte vorige maand]]</f>
        <v>55</v>
      </c>
      <c r="Q24" s="53">
        <v>37939</v>
      </c>
      <c r="R24">
        <f>'mei2025'!Q24</f>
        <v>36912</v>
      </c>
      <c r="S24">
        <f>Tabel2425678910111213141517161819212022232614151617[[#This Row],[Stand Hot Water einde maand]]-Tabel2425678910111213141517161819212022232614151617[[#This Row],[Hot Water vorige maand]]</f>
        <v>1027</v>
      </c>
      <c r="T24" s="53">
        <v>7180</v>
      </c>
      <c r="U24">
        <f>'mei2025'!T24</f>
        <v>7042</v>
      </c>
      <c r="V24">
        <f>Tabel2425678910111213141517161819212022232614151617[[#This Row],[Stand Cappucino einde maand]]-Tabel2425678910111213141517161819212022232614151617[[#This Row],[Stand Cappucino vorige maand]]</f>
        <v>138</v>
      </c>
      <c r="W24" s="53">
        <v>1290</v>
      </c>
      <c r="X24">
        <f>'mei2025'!W24</f>
        <v>1266</v>
      </c>
      <c r="Y24">
        <f>Tabel2425678910111213141517161819212022232614151617[[#This Row],[Stand Cappucino Plantaardig einde maand]]-Tabel2425678910111213141517161819212022232614151617[[#This Row],[Stand Cappucino Plantaardig vorige maand]]</f>
        <v>24</v>
      </c>
      <c r="Z24" s="53">
        <v>2350</v>
      </c>
      <c r="AA24">
        <f>'mei2025'!Z24</f>
        <v>2281</v>
      </c>
      <c r="AB24">
        <f>Tabel2425678910111213141517161819212022232614151617[[#This Row],[Stand Latte Macchiato Plantaardig einde maand]]-Tabel2425678910111213141517161819212022232614151617[[#This Row],[Stand Latte Macchiato Plantaardig vorige maand]]</f>
        <v>69</v>
      </c>
      <c r="AC24" s="71">
        <f>Tabel2425678910111213141517161819212022232614151617[[#This Row],[Verbruik Stand Latte Macchiato Plantaardig deze maand]]+Tabel2425678910111213141517161819212022232614151617[[#This Row],[Verbruik  Cappucino Plantaardig deze maand]]+Tabel2425678910111213141517161819212022232614151617[[#This Row],[Verbruik Cappucino deze maand]]+Tabel2425678910111213141517161819212022232614151617[[#This Row],[Verbruik Hot Water deze maand]]+Tabel2425678910111213141517161819212022232614151617[[#This Row],[Verbruik Coffee Latte deze maand]]+Tabel2425678910111213141517161819212022232614151617[[#This Row],[Verbruik Latte Macchiato deze maand]]+Tabel2425678910111213141517161819212022232614151617[[#This Row],[Verbruik Espresso deze maand]]+Tabel2425678910111213141517161819212022232614151617[[#This Row],[Verbruik Coffee deze maand]]</f>
        <v>1997</v>
      </c>
      <c r="AD24" s="69"/>
      <c r="AE24" s="41"/>
      <c r="AF24" s="5"/>
      <c r="AG24" s="5"/>
      <c r="AH24" s="75"/>
      <c r="AI24" s="41"/>
      <c r="AJ24" s="5"/>
      <c r="AK24" s="5"/>
      <c r="AL24" s="75"/>
      <c r="AM24" s="41"/>
      <c r="AN24" s="5"/>
      <c r="AO24" s="5"/>
      <c r="AP24" s="75"/>
      <c r="AQ24" s="41"/>
      <c r="AR24" s="5"/>
      <c r="AS24" s="5"/>
      <c r="AT24" s="75"/>
      <c r="AU24" s="41"/>
      <c r="AV24" s="5"/>
      <c r="AW24" s="5"/>
      <c r="AX24" s="79"/>
      <c r="AY24" s="95">
        <f>Tabel2425678910111213141517161819212022232614151617[[#This Row],[Subtotaal waterbar in consumpties]]+Tabel2425678910111213141517161819212022232614151617[[#This Row],[Subtotaal koffieautomaten]]</f>
        <v>1997</v>
      </c>
    </row>
    <row r="25" spans="1:130" ht="14.45" customHeight="1" x14ac:dyDescent="0.25">
      <c r="A25" s="65" t="s">
        <v>72</v>
      </c>
      <c r="B25" t="s">
        <v>73</v>
      </c>
      <c r="C25" t="s">
        <v>47</v>
      </c>
      <c r="E25">
        <v>14239</v>
      </c>
      <c r="F25">
        <f>'mei2025'!E25</f>
        <v>13960</v>
      </c>
      <c r="G25">
        <f>Tabel2425678910111213141517161819212022232614151617[[#This Row],[Stand Coffee einde maand]]-Tabel2425678910111213141517161819212022232614151617[[#This Row],[Coffee vorige maand]]</f>
        <v>279</v>
      </c>
      <c r="H25" s="53">
        <v>4500</v>
      </c>
      <c r="I25">
        <f>'mei2025'!H25</f>
        <v>4404</v>
      </c>
      <c r="J25">
        <f>Tabel2425678910111213141517161819212022232614151617[[#This Row],[Stand Espresso Einde maand]]-Tabel2425678910111213141517161819212022232614151617[[#This Row],[Espresso vorige maand]]</f>
        <v>96</v>
      </c>
      <c r="K25" s="53">
        <v>1781</v>
      </c>
      <c r="L25">
        <f>'mei2025'!K25</f>
        <v>1732</v>
      </c>
      <c r="M25">
        <f>Tabel2425678910111213141517161819212022232614151617[[#This Row],[Stand Latte Macchiato einde maand]]-Tabel2425678910111213141517161819212022232614151617[[#This Row],[Latte Macchiato vorige maand]]</f>
        <v>49</v>
      </c>
      <c r="N25" s="53">
        <v>1186</v>
      </c>
      <c r="O25">
        <f>'mei2025'!N25</f>
        <v>1145</v>
      </c>
      <c r="P25">
        <f>Tabel2425678910111213141517161819212022232614151617[[#This Row],[Stand Coffee Latte einde maand]]-Tabel2425678910111213141517161819212022232614151617[[#This Row],[Coffee Latte vorige maand]]</f>
        <v>41</v>
      </c>
      <c r="Q25" s="53">
        <v>1</v>
      </c>
      <c r="R25">
        <f>'mei2025'!Q25</f>
        <v>1</v>
      </c>
      <c r="S25">
        <f>Tabel2425678910111213141517161819212022232614151617[[#This Row],[Stand Hot Water einde maand]]-Tabel2425678910111213141517161819212022232614151617[[#This Row],[Hot Water vorige maand]]</f>
        <v>0</v>
      </c>
      <c r="T25" s="53">
        <v>9294</v>
      </c>
      <c r="U25">
        <f>'mei2025'!T25</f>
        <v>9097</v>
      </c>
      <c r="V25">
        <f>Tabel2425678910111213141517161819212022232614151617[[#This Row],[Stand Cappucino einde maand]]-Tabel2425678910111213141517161819212022232614151617[[#This Row],[Stand Cappucino vorige maand]]</f>
        <v>197</v>
      </c>
      <c r="W25" s="53">
        <v>1690</v>
      </c>
      <c r="X25">
        <f>'mei2025'!W25</f>
        <v>1659</v>
      </c>
      <c r="Y25">
        <f>Tabel2425678910111213141517161819212022232614151617[[#This Row],[Stand Cappucino Plantaardig einde maand]]-Tabel2425678910111213141517161819212022232614151617[[#This Row],[Stand Cappucino Plantaardig vorige maand]]</f>
        <v>31</v>
      </c>
      <c r="Z25" s="53">
        <v>511</v>
      </c>
      <c r="AA25">
        <f>'mei2025'!Z25</f>
        <v>502</v>
      </c>
      <c r="AB25">
        <f>Tabel2425678910111213141517161819212022232614151617[[#This Row],[Stand Latte Macchiato Plantaardig einde maand]]-Tabel2425678910111213141517161819212022232614151617[[#This Row],[Stand Latte Macchiato Plantaardig vorige maand]]</f>
        <v>9</v>
      </c>
      <c r="AC25" s="71">
        <f>Tabel2425678910111213141517161819212022232614151617[[#This Row],[Verbruik Stand Latte Macchiato Plantaardig deze maand]]+Tabel2425678910111213141517161819212022232614151617[[#This Row],[Verbruik  Cappucino Plantaardig deze maand]]+Tabel2425678910111213141517161819212022232614151617[[#This Row],[Verbruik Cappucino deze maand]]+Tabel2425678910111213141517161819212022232614151617[[#This Row],[Verbruik Hot Water deze maand]]+Tabel2425678910111213141517161819212022232614151617[[#This Row],[Verbruik Coffee Latte deze maand]]+Tabel2425678910111213141517161819212022232614151617[[#This Row],[Verbruik Latte Macchiato deze maand]]+Tabel2425678910111213141517161819212022232614151617[[#This Row],[Verbruik Espresso deze maand]]+Tabel2425678910111213141517161819212022232614151617[[#This Row],[Verbruik Coffee deze maand]]</f>
        <v>702</v>
      </c>
      <c r="AD25" s="53">
        <v>459.1</v>
      </c>
      <c r="AE25">
        <f>'mei2025'!AD25</f>
        <v>446.2</v>
      </c>
      <c r="AF25">
        <f>Tabel2425678910111213141517161819212022232614151617[[#This Row],[Stand Kamertemp liter einde maand]]-Tabel2425678910111213141517161819212022232614151617[[#This Row],[Stand Kamertemp liter vorige maand]]</f>
        <v>12.900000000000034</v>
      </c>
      <c r="AG25" s="2">
        <f>Tabel2425678910111213141517161819212022232614151617[[#This Row],[Verbruik Kamertemp liter deze maand]]/0.15</f>
        <v>86.000000000000227</v>
      </c>
      <c r="AH25" s="53">
        <v>2926.7</v>
      </c>
      <c r="AI25">
        <f>'mei2025'!AH25</f>
        <v>2789.3</v>
      </c>
      <c r="AJ25">
        <f>Tabel2425678910111213141517161819212022232614151617[[#This Row],[Stand Gekoeld liter einde maand]]-Tabel2425678910111213141517161819212022232614151617[[#This Row],[Stand Gekoeld liter vorige maand]]</f>
        <v>137.39999999999964</v>
      </c>
      <c r="AK25" s="2">
        <f>Tabel2425678910111213141517161819212022232614151617[[#This Row],[Verbruik Gekoeld liter deze maand]]/0.15</f>
        <v>915.99999999999761</v>
      </c>
      <c r="AL25" s="53">
        <v>2282.1999999999998</v>
      </c>
      <c r="AM25">
        <f>'mei2025'!AL25</f>
        <v>2184.6999999999998</v>
      </c>
      <c r="AN25">
        <f>Tabel2425678910111213141517161819212022232614151617[[#This Row],[Stand Bruisend liter einde maand]]-Tabel2425678910111213141517161819212022232614151617[[#This Row],[Stand Bruisend liter vorige maand]]</f>
        <v>97.5</v>
      </c>
      <c r="AO25" s="2">
        <f>Tabel2425678910111213141517161819212022232614151617[[#This Row],[Verbruik Bruisend liter deze maand]]/0.15</f>
        <v>650</v>
      </c>
      <c r="AP25" s="53">
        <v>702.9</v>
      </c>
      <c r="AQ25">
        <f>'mei2025'!AP25</f>
        <v>675.4</v>
      </c>
      <c r="AR25">
        <f>Tabel2425678910111213141517161819212022232614151617[[#This Row],[Stand licht bruisend liter einde maand]]-Tabel2425678910111213141517161819212022232614151617[[#This Row],[Stand licht bruisend liter vorige maand]]</f>
        <v>27.5</v>
      </c>
      <c r="AS25" s="2">
        <f>Tabel2425678910111213141517161819212022232614151617[[#This Row],[Verbruik licht bruisend liter deze maand]]/0.15</f>
        <v>183.33333333333334</v>
      </c>
      <c r="AT25" s="53">
        <v>3671</v>
      </c>
      <c r="AU25">
        <f>'mei2025'!AT25</f>
        <v>3582.4</v>
      </c>
      <c r="AV25">
        <f>Tabel2425678910111213141517161819212022232614151617[[#This Row],[Stand heet water liter einde maand]]-Tabel2425678910111213141517161819212022232614151617[[#This Row],[Stand heet water liter vorige maand]]</f>
        <v>88.599999999999909</v>
      </c>
      <c r="AW25" s="2">
        <f>Tabel2425678910111213141517161819212022232614151617[[#This Row],[Verbruik heet Water liter deze maand ]]/0.15</f>
        <v>590.66666666666606</v>
      </c>
      <c r="AX25" s="77">
        <f>Tabel2425678910111213141517161819212022232614151617[[#This Row],[Aantal consumpties heet water deze maand]]+Tabel2425678910111213141517161819212022232614151617[[#This Row],[Aantal consumpties licht bruisend water deze maand]]+Tabel2425678910111213141517161819212022232614151617[[#This Row],[aantal consumpties Bruisend water deze maand]]+Tabel2425678910111213141517161819212022232614151617[[#This Row],[Aantal consumpties gekoeld water deze maand]]+Tabel2425678910111213141517161819212022232614151617[[#This Row],[Aantal consumpties Kamertemp deze maand]]</f>
        <v>2425.9999999999973</v>
      </c>
      <c r="AY25" s="95">
        <f>Tabel2425678910111213141517161819212022232614151617[[#This Row],[Subtotaal waterbar in consumpties]]+Tabel2425678910111213141517161819212022232614151617[[#This Row],[Subtotaal koffieautomaten]]</f>
        <v>3127.9999999999973</v>
      </c>
    </row>
    <row r="26" spans="1:130" s="81" customFormat="1" ht="14.45" customHeight="1" x14ac:dyDescent="0.25">
      <c r="A26" s="80" t="s">
        <v>74</v>
      </c>
      <c r="D26" s="82"/>
      <c r="H26" s="86"/>
      <c r="K26" s="86"/>
      <c r="N26" s="86"/>
      <c r="Q26" s="86"/>
      <c r="T26" s="86"/>
      <c r="W26" s="86"/>
      <c r="Z26" s="86"/>
      <c r="AC26" s="85"/>
      <c r="AD26" s="86"/>
      <c r="AG26" s="87"/>
      <c r="AH26" s="86"/>
      <c r="AK26" s="87"/>
      <c r="AL26" s="86"/>
      <c r="AO26" s="87"/>
      <c r="AP26" s="86"/>
      <c r="AS26" s="87"/>
      <c r="AT26" s="86"/>
      <c r="AW26" s="87"/>
      <c r="AX26" s="88"/>
      <c r="AY26" s="94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</row>
    <row r="27" spans="1:130" ht="14.45" customHeight="1" x14ac:dyDescent="0.25">
      <c r="A27" s="65" t="s">
        <v>32</v>
      </c>
      <c r="B27" t="s">
        <v>75</v>
      </c>
      <c r="C27" t="s">
        <v>47</v>
      </c>
      <c r="E27">
        <v>9884</v>
      </c>
      <c r="F27">
        <f>'mei2025'!E27</f>
        <v>9638</v>
      </c>
      <c r="G27">
        <f>Tabel2425678910111213141517161819212022232614151617[[#This Row],[Stand Coffee einde maand]]-Tabel2425678910111213141517161819212022232614151617[[#This Row],[Coffee vorige maand]]</f>
        <v>246</v>
      </c>
      <c r="H27" s="53">
        <v>2603</v>
      </c>
      <c r="I27">
        <f>'mei2025'!H27</f>
        <v>2541</v>
      </c>
      <c r="J27">
        <f>Tabel2425678910111213141517161819212022232614151617[[#This Row],[Stand Espresso Einde maand]]-Tabel2425678910111213141517161819212022232614151617[[#This Row],[Espresso vorige maand]]</f>
        <v>62</v>
      </c>
      <c r="K27" s="53">
        <v>1857</v>
      </c>
      <c r="L27">
        <f>'mei2025'!K27</f>
        <v>1824</v>
      </c>
      <c r="M27">
        <f>Tabel2425678910111213141517161819212022232614151617[[#This Row],[Stand Latte Macchiato einde maand]]-Tabel2425678910111213141517161819212022232614151617[[#This Row],[Latte Macchiato vorige maand]]</f>
        <v>33</v>
      </c>
      <c r="N27" s="53">
        <v>856</v>
      </c>
      <c r="O27">
        <f>'mei2025'!N27</f>
        <v>835</v>
      </c>
      <c r="P27">
        <f>Tabel2425678910111213141517161819212022232614151617[[#This Row],[Stand Coffee Latte einde maand]]-Tabel2425678910111213141517161819212022232614151617[[#This Row],[Coffee Latte vorige maand]]</f>
        <v>21</v>
      </c>
      <c r="Q27" s="53">
        <v>1</v>
      </c>
      <c r="R27">
        <f>'mei2025'!Q27</f>
        <v>1</v>
      </c>
      <c r="S27">
        <f>Tabel2425678910111213141517161819212022232614151617[[#This Row],[Stand Hot Water einde maand]]-Tabel2425678910111213141517161819212022232614151617[[#This Row],[Hot Water vorige maand]]</f>
        <v>0</v>
      </c>
      <c r="T27" s="53">
        <v>6038</v>
      </c>
      <c r="U27">
        <f>'mei2025'!T27</f>
        <v>5884</v>
      </c>
      <c r="V27">
        <f>Tabel2425678910111213141517161819212022232614151617[[#This Row],[Stand Cappucino einde maand]]-Tabel2425678910111213141517161819212022232614151617[[#This Row],[Stand Cappucino vorige maand]]</f>
        <v>154</v>
      </c>
      <c r="W27" s="53">
        <v>960</v>
      </c>
      <c r="X27">
        <f>'mei2025'!W27</f>
        <v>940</v>
      </c>
      <c r="Y27">
        <f>Tabel2425678910111213141517161819212022232614151617[[#This Row],[Stand Cappucino Plantaardig einde maand]]-Tabel2425678910111213141517161819212022232614151617[[#This Row],[Stand Cappucino Plantaardig vorige maand]]</f>
        <v>20</v>
      </c>
      <c r="Z27" s="53">
        <v>476</v>
      </c>
      <c r="AA27">
        <f>'mei2025'!Z27</f>
        <v>466</v>
      </c>
      <c r="AB27">
        <f>Tabel2425678910111213141517161819212022232614151617[[#This Row],[Stand Latte Macchiato Plantaardig einde maand]]-Tabel2425678910111213141517161819212022232614151617[[#This Row],[Stand Latte Macchiato Plantaardig vorige maand]]</f>
        <v>10</v>
      </c>
      <c r="AC27" s="71">
        <f>Tabel2425678910111213141517161819212022232614151617[[#This Row],[Verbruik Stand Latte Macchiato Plantaardig deze maand]]+Tabel2425678910111213141517161819212022232614151617[[#This Row],[Verbruik  Cappucino Plantaardig deze maand]]+Tabel2425678910111213141517161819212022232614151617[[#This Row],[Verbruik Cappucino deze maand]]+Tabel2425678910111213141517161819212022232614151617[[#This Row],[Verbruik Hot Water deze maand]]+Tabel2425678910111213141517161819212022232614151617[[#This Row],[Verbruik Coffee Latte deze maand]]+Tabel2425678910111213141517161819212022232614151617[[#This Row],[Verbruik Latte Macchiato deze maand]]+Tabel2425678910111213141517161819212022232614151617[[#This Row],[Verbruik Espresso deze maand]]+Tabel2425678910111213141517161819212022232614151617[[#This Row],[Verbruik Coffee deze maand]]</f>
        <v>546</v>
      </c>
      <c r="AD27" s="53">
        <v>15.7</v>
      </c>
      <c r="AE27">
        <f>'mei2025'!AD27</f>
        <v>4.5999999999999996</v>
      </c>
      <c r="AF27">
        <f>Tabel2425678910111213141517161819212022232614151617[[#This Row],[Stand Kamertemp liter einde maand]]-Tabel2425678910111213141517161819212022232614151617[[#This Row],[Stand Kamertemp liter vorige maand]]</f>
        <v>11.1</v>
      </c>
      <c r="AG27" s="2">
        <f>Tabel2425678910111213141517161819212022232614151617[[#This Row],[Verbruik Kamertemp liter deze maand]]/0.15</f>
        <v>74</v>
      </c>
      <c r="AH27" s="53">
        <v>73.599999999999994</v>
      </c>
      <c r="AI27">
        <f>'mei2025'!AH27</f>
        <v>29.2</v>
      </c>
      <c r="AJ27">
        <f>Tabel2425678910111213141517161819212022232614151617[[#This Row],[Stand Gekoeld liter einde maand]]-Tabel2425678910111213141517161819212022232614151617[[#This Row],[Stand Gekoeld liter vorige maand]]</f>
        <v>44.399999999999991</v>
      </c>
      <c r="AK27" s="2">
        <f>Tabel2425678910111213141517161819212022232614151617[[#This Row],[Verbruik Gekoeld liter deze maand]]/0.15</f>
        <v>295.99999999999994</v>
      </c>
      <c r="AL27" s="53">
        <v>29.4</v>
      </c>
      <c r="AM27">
        <f>'mei2025'!AL27</f>
        <v>15.1</v>
      </c>
      <c r="AN27">
        <f>Tabel2425678910111213141517161819212022232614151617[[#This Row],[Stand Bruisend liter einde maand]]-Tabel2425678910111213141517161819212022232614151617[[#This Row],[Stand Bruisend liter vorige maand]]</f>
        <v>14.299999999999999</v>
      </c>
      <c r="AO27" s="2">
        <f>Tabel2425678910111213141517161819212022232614151617[[#This Row],[Verbruik Bruisend liter deze maand]]/0.15</f>
        <v>95.333333333333329</v>
      </c>
      <c r="AP27" s="53">
        <v>22.2</v>
      </c>
      <c r="AQ27">
        <f>'mei2025'!AP27</f>
        <v>10</v>
      </c>
      <c r="AR27">
        <f>Tabel2425678910111213141517161819212022232614151617[[#This Row],[Stand licht bruisend liter einde maand]]-Tabel2425678910111213141517161819212022232614151617[[#This Row],[Stand licht bruisend liter vorige maand]]</f>
        <v>12.2</v>
      </c>
      <c r="AS27" s="2">
        <f>Tabel2425678910111213141517161819212022232614151617[[#This Row],[Verbruik licht bruisend liter deze maand]]/0.15</f>
        <v>81.333333333333329</v>
      </c>
      <c r="AT27" s="53">
        <v>145.6</v>
      </c>
      <c r="AU27">
        <f>'mei2025'!AT27</f>
        <v>64.2</v>
      </c>
      <c r="AV27">
        <f>Tabel2425678910111213141517161819212022232614151617[[#This Row],[Stand heet water liter einde maand]]-Tabel2425678910111213141517161819212022232614151617[[#This Row],[Stand heet water liter vorige maand]]</f>
        <v>81.399999999999991</v>
      </c>
      <c r="AW27" s="2">
        <f>Tabel2425678910111213141517161819212022232614151617[[#This Row],[Verbruik heet Water liter deze maand ]]/0.15</f>
        <v>542.66666666666663</v>
      </c>
      <c r="AX27" s="77">
        <f>Tabel2425678910111213141517161819212022232614151617[[#This Row],[Aantal consumpties heet water deze maand]]+Tabel2425678910111213141517161819212022232614151617[[#This Row],[Aantal consumpties licht bruisend water deze maand]]+Tabel2425678910111213141517161819212022232614151617[[#This Row],[aantal consumpties Bruisend water deze maand]]+Tabel2425678910111213141517161819212022232614151617[[#This Row],[Aantal consumpties gekoeld water deze maand]]+Tabel2425678910111213141517161819212022232614151617[[#This Row],[Aantal consumpties Kamertemp deze maand]]</f>
        <v>1089.3333333333333</v>
      </c>
      <c r="AY27" s="95">
        <f>Tabel2425678910111213141517161819212022232614151617[[#This Row],[Subtotaal waterbar in consumpties]]+Tabel2425678910111213141517161819212022232614151617[[#This Row],[Subtotaal koffieautomaten]]</f>
        <v>1635.3333333333333</v>
      </c>
    </row>
    <row r="28" spans="1:130" ht="14.45" customHeight="1" x14ac:dyDescent="0.25">
      <c r="A28" s="65" t="s">
        <v>39</v>
      </c>
      <c r="B28" t="s">
        <v>163</v>
      </c>
      <c r="C28" t="s">
        <v>31</v>
      </c>
      <c r="E28">
        <v>28094</v>
      </c>
      <c r="F28">
        <f>'mei2025'!E28</f>
        <v>27686</v>
      </c>
      <c r="G28">
        <f>Tabel2425678910111213141517161819212022232614151617[[#This Row],[Stand Coffee einde maand]]-Tabel2425678910111213141517161819212022232614151617[[#This Row],[Coffee vorige maand]]</f>
        <v>408</v>
      </c>
      <c r="H28" s="53">
        <v>7017</v>
      </c>
      <c r="I28">
        <f>'mei2025'!H28</f>
        <v>6928</v>
      </c>
      <c r="J28">
        <f>Tabel2425678910111213141517161819212022232614151617[[#This Row],[Stand Espresso Einde maand]]-Tabel2425678910111213141517161819212022232614151617[[#This Row],[Espresso vorige maand]]</f>
        <v>89</v>
      </c>
      <c r="K28" s="53">
        <v>3429</v>
      </c>
      <c r="L28">
        <f>'mei2025'!K28</f>
        <v>3365</v>
      </c>
      <c r="M28">
        <f>Tabel2425678910111213141517161819212022232614151617[[#This Row],[Stand Latte Macchiato einde maand]]-Tabel2425678910111213141517161819212022232614151617[[#This Row],[Latte Macchiato vorige maand]]</f>
        <v>64</v>
      </c>
      <c r="N28" s="53">
        <v>1490</v>
      </c>
      <c r="O28">
        <f>'mei2025'!N28</f>
        <v>1449</v>
      </c>
      <c r="P28">
        <f>Tabel2425678910111213141517161819212022232614151617[[#This Row],[Stand Coffee Latte einde maand]]-Tabel2425678910111213141517161819212022232614151617[[#This Row],[Coffee Latte vorige maand]]</f>
        <v>41</v>
      </c>
      <c r="Q28" s="53">
        <v>24117</v>
      </c>
      <c r="R28">
        <f>'mei2025'!Q28</f>
        <v>23735</v>
      </c>
      <c r="S28">
        <f>Tabel2425678910111213141517161819212022232614151617[[#This Row],[Stand Hot Water einde maand]]-Tabel2425678910111213141517161819212022232614151617[[#This Row],[Hot Water vorige maand]]</f>
        <v>382</v>
      </c>
      <c r="T28" s="53">
        <v>19699</v>
      </c>
      <c r="U28">
        <f>'mei2025'!T28</f>
        <v>19350</v>
      </c>
      <c r="V28">
        <f>Tabel2425678910111213141517161819212022232614151617[[#This Row],[Stand Cappucino einde maand]]-Tabel2425678910111213141517161819212022232614151617[[#This Row],[Stand Cappucino vorige maand]]</f>
        <v>349</v>
      </c>
      <c r="W28" s="53">
        <v>2397</v>
      </c>
      <c r="X28">
        <f>'mei2025'!W28</f>
        <v>2361</v>
      </c>
      <c r="Y28">
        <f>Tabel2425678910111213141517161819212022232614151617[[#This Row],[Stand Cappucino Plantaardig einde maand]]-Tabel2425678910111213141517161819212022232614151617[[#This Row],[Stand Cappucino Plantaardig vorige maand]]</f>
        <v>36</v>
      </c>
      <c r="Z28" s="53">
        <v>738</v>
      </c>
      <c r="AA28">
        <f>'mei2025'!Z28</f>
        <v>727</v>
      </c>
      <c r="AB28">
        <f>Tabel2425678910111213141517161819212022232614151617[[#This Row],[Stand Latte Macchiato Plantaardig einde maand]]-Tabel2425678910111213141517161819212022232614151617[[#This Row],[Stand Latte Macchiato Plantaardig vorige maand]]</f>
        <v>11</v>
      </c>
      <c r="AC28" s="71">
        <f>Tabel2425678910111213141517161819212022232614151617[[#This Row],[Verbruik Stand Latte Macchiato Plantaardig deze maand]]+Tabel2425678910111213141517161819212022232614151617[[#This Row],[Verbruik  Cappucino Plantaardig deze maand]]+Tabel2425678910111213141517161819212022232614151617[[#This Row],[Verbruik Cappucino deze maand]]+Tabel2425678910111213141517161819212022232614151617[[#This Row],[Verbruik Hot Water deze maand]]+Tabel2425678910111213141517161819212022232614151617[[#This Row],[Verbruik Coffee Latte deze maand]]+Tabel2425678910111213141517161819212022232614151617[[#This Row],[Verbruik Latte Macchiato deze maand]]+Tabel2425678910111213141517161819212022232614151617[[#This Row],[Verbruik Espresso deze maand]]+Tabel2425678910111213141517161819212022232614151617[[#This Row],[Verbruik Coffee deze maand]]</f>
        <v>1380</v>
      </c>
      <c r="AD28" s="69"/>
      <c r="AE28" s="41"/>
      <c r="AF28" s="5"/>
      <c r="AG28" s="5"/>
      <c r="AH28" s="75"/>
      <c r="AI28" s="41"/>
      <c r="AJ28" s="5"/>
      <c r="AK28" s="5"/>
      <c r="AL28" s="75"/>
      <c r="AM28" s="41"/>
      <c r="AN28" s="5"/>
      <c r="AO28" s="5"/>
      <c r="AP28" s="75"/>
      <c r="AQ28" s="41"/>
      <c r="AR28" s="5"/>
      <c r="AS28" s="5"/>
      <c r="AT28" s="75"/>
      <c r="AU28" s="41"/>
      <c r="AV28" s="5"/>
      <c r="AW28" s="5"/>
      <c r="AX28" s="79"/>
      <c r="AY28" s="95">
        <f>Tabel2425678910111213141517161819212022232614151617[[#This Row],[Subtotaal waterbar in consumpties]]+Tabel2425678910111213141517161819212022232614151617[[#This Row],[Subtotaal koffieautomaten]]</f>
        <v>1380</v>
      </c>
    </row>
    <row r="29" spans="1:130" ht="14.45" customHeight="1" x14ac:dyDescent="0.25">
      <c r="A29" s="65" t="s">
        <v>39</v>
      </c>
      <c r="B29" t="s">
        <v>77</v>
      </c>
      <c r="C29" t="s">
        <v>36</v>
      </c>
      <c r="E29" s="46"/>
      <c r="F29" s="46"/>
      <c r="G29" s="47"/>
      <c r="H29" s="54"/>
      <c r="I29" s="46"/>
      <c r="J29" s="47"/>
      <c r="K29" s="54"/>
      <c r="L29" s="46"/>
      <c r="M29" s="47"/>
      <c r="N29" s="54"/>
      <c r="O29" s="46"/>
      <c r="P29" s="47"/>
      <c r="Q29" s="54"/>
      <c r="R29" s="46"/>
      <c r="S29" s="47"/>
      <c r="T29" s="54"/>
      <c r="U29" s="46"/>
      <c r="V29" s="47"/>
      <c r="W29" s="54"/>
      <c r="X29" s="46"/>
      <c r="Y29" s="47"/>
      <c r="Z29" s="54"/>
      <c r="AA29" s="46"/>
      <c r="AB29" s="47"/>
      <c r="AC29" s="72"/>
      <c r="AD29" s="53">
        <v>66</v>
      </c>
      <c r="AE29">
        <f>'mei2025'!AD29</f>
        <v>45.5</v>
      </c>
      <c r="AF29">
        <f>Tabel2425678910111213141517161819212022232614151617[[#This Row],[Stand Kamertemp liter einde maand]]-Tabel2425678910111213141517161819212022232614151617[[#This Row],[Stand Kamertemp liter vorige maand]]</f>
        <v>20.5</v>
      </c>
      <c r="AG29" s="2">
        <f>Tabel2425678910111213141517161819212022232614151617[[#This Row],[Verbruik Kamertemp liter deze maand]]/0.15</f>
        <v>136.66666666666669</v>
      </c>
      <c r="AH29" s="53">
        <v>469.5</v>
      </c>
      <c r="AI29">
        <f>'mei2025'!AH29</f>
        <v>309.89999999999998</v>
      </c>
      <c r="AJ29">
        <f>Tabel2425678910111213141517161819212022232614151617[[#This Row],[Stand Gekoeld liter einde maand]]-Tabel2425678910111213141517161819212022232614151617[[#This Row],[Stand Gekoeld liter vorige maand]]</f>
        <v>159.60000000000002</v>
      </c>
      <c r="AK29" s="2">
        <f>Tabel2425678910111213141517161819212022232614151617[[#This Row],[Verbruik Gekoeld liter deze maand]]/0.15</f>
        <v>1064.0000000000002</v>
      </c>
      <c r="AL29" s="53">
        <v>234.9</v>
      </c>
      <c r="AM29">
        <f>'mei2025'!AL29</f>
        <v>176.6</v>
      </c>
      <c r="AN29">
        <f>Tabel2425678910111213141517161819212022232614151617[[#This Row],[Stand Bruisend liter einde maand]]-Tabel2425678910111213141517161819212022232614151617[[#This Row],[Stand Bruisend liter vorige maand]]</f>
        <v>58.300000000000011</v>
      </c>
      <c r="AO29" s="2">
        <f>Tabel2425678910111213141517161819212022232614151617[[#This Row],[Verbruik Bruisend liter deze maand]]/0.15</f>
        <v>388.66666666666674</v>
      </c>
      <c r="AP29" s="53">
        <v>79</v>
      </c>
      <c r="AQ29">
        <f>'mei2025'!AP29</f>
        <v>63.7</v>
      </c>
      <c r="AR29">
        <f>Tabel2425678910111213141517161819212022232614151617[[#This Row],[Stand licht bruisend liter einde maand]]-Tabel2425678910111213141517161819212022232614151617[[#This Row],[Stand licht bruisend liter vorige maand]]</f>
        <v>15.299999999999997</v>
      </c>
      <c r="AS29" s="2">
        <f>Tabel2425678910111213141517161819212022232614151617[[#This Row],[Verbruik licht bruisend liter deze maand]]/0.15</f>
        <v>101.99999999999999</v>
      </c>
      <c r="AT29" s="53">
        <v>194.5</v>
      </c>
      <c r="AU29">
        <f>'mei2025'!AT29</f>
        <v>130.19999999999999</v>
      </c>
      <c r="AV29">
        <f>Tabel2425678910111213141517161819212022232614151617[[#This Row],[Stand heet water liter einde maand]]-Tabel2425678910111213141517161819212022232614151617[[#This Row],[Stand heet water liter vorige maand]]</f>
        <v>64.300000000000011</v>
      </c>
      <c r="AW29" s="2">
        <f>Tabel2425678910111213141517161819212022232614151617[[#This Row],[Verbruik heet Water liter deze maand ]]/0.15</f>
        <v>428.66666666666674</v>
      </c>
      <c r="AX29" s="77">
        <f>Tabel2425678910111213141517161819212022232614151617[[#This Row],[Aantal consumpties heet water deze maand]]+Tabel2425678910111213141517161819212022232614151617[[#This Row],[Aantal consumpties licht bruisend water deze maand]]+Tabel2425678910111213141517161819212022232614151617[[#This Row],[aantal consumpties Bruisend water deze maand]]+Tabel2425678910111213141517161819212022232614151617[[#This Row],[Aantal consumpties gekoeld water deze maand]]+Tabel2425678910111213141517161819212022232614151617[[#This Row],[Aantal consumpties Kamertemp deze maand]]</f>
        <v>2120.0000000000005</v>
      </c>
      <c r="AY29" s="95">
        <f>Tabel2425678910111213141517161819212022232614151617[[#This Row],[Subtotaal waterbar in consumpties]]+Tabel2425678910111213141517161819212022232614151617[[#This Row],[Subtotaal koffieautomaten]]</f>
        <v>2120.0000000000005</v>
      </c>
    </row>
    <row r="30" spans="1:130" ht="14.45" customHeight="1" x14ac:dyDescent="0.25">
      <c r="A30" s="65" t="s">
        <v>41</v>
      </c>
      <c r="B30" t="s">
        <v>78</v>
      </c>
      <c r="C30" t="s">
        <v>47</v>
      </c>
      <c r="E30">
        <v>6983</v>
      </c>
      <c r="F30">
        <f>'mei2025'!E30</f>
        <v>6776</v>
      </c>
      <c r="G30">
        <f>Tabel2425678910111213141517161819212022232614151617[[#This Row],[Stand Coffee einde maand]]-Tabel2425678910111213141517161819212022232614151617[[#This Row],[Coffee vorige maand]]</f>
        <v>207</v>
      </c>
      <c r="H30" s="53">
        <v>2160</v>
      </c>
      <c r="I30">
        <f>'mei2025'!H30</f>
        <v>2153</v>
      </c>
      <c r="J30">
        <f>Tabel2425678910111213141517161819212022232614151617[[#This Row],[Stand Espresso Einde maand]]-Tabel2425678910111213141517161819212022232614151617[[#This Row],[Espresso vorige maand]]</f>
        <v>7</v>
      </c>
      <c r="K30" s="53">
        <v>530</v>
      </c>
      <c r="L30">
        <f>'mei2025'!K30</f>
        <v>520</v>
      </c>
      <c r="M30">
        <f>Tabel2425678910111213141517161819212022232614151617[[#This Row],[Stand Latte Macchiato einde maand]]-Tabel2425678910111213141517161819212022232614151617[[#This Row],[Latte Macchiato vorige maand]]</f>
        <v>10</v>
      </c>
      <c r="N30" s="53">
        <v>373</v>
      </c>
      <c r="O30">
        <f>'mei2025'!N30</f>
        <v>366</v>
      </c>
      <c r="P30">
        <f>Tabel2425678910111213141517161819212022232614151617[[#This Row],[Stand Coffee Latte einde maand]]-Tabel2425678910111213141517161819212022232614151617[[#This Row],[Coffee Latte vorige maand]]</f>
        <v>7</v>
      </c>
      <c r="Q30" s="53">
        <v>1</v>
      </c>
      <c r="R30">
        <f>'mei2025'!Q30</f>
        <v>1</v>
      </c>
      <c r="S30">
        <f>Tabel2425678910111213141517161819212022232614151617[[#This Row],[Stand Hot Water einde maand]]-Tabel2425678910111213141517161819212022232614151617[[#This Row],[Hot Water vorige maand]]</f>
        <v>0</v>
      </c>
      <c r="T30" s="53">
        <v>3070</v>
      </c>
      <c r="U30">
        <f>'mei2025'!T30</f>
        <v>3030</v>
      </c>
      <c r="V30">
        <f>Tabel2425678910111213141517161819212022232614151617[[#This Row],[Stand Cappucino einde maand]]-Tabel2425678910111213141517161819212022232614151617[[#This Row],[Stand Cappucino vorige maand]]</f>
        <v>40</v>
      </c>
      <c r="W30" s="53">
        <v>1554</v>
      </c>
      <c r="X30">
        <f>'mei2025'!W30</f>
        <v>1540</v>
      </c>
      <c r="Y30">
        <f>Tabel2425678910111213141517161819212022232614151617[[#This Row],[Stand Cappucino Plantaardig einde maand]]-Tabel2425678910111213141517161819212022232614151617[[#This Row],[Stand Cappucino Plantaardig vorige maand]]</f>
        <v>14</v>
      </c>
      <c r="Z30" s="53">
        <v>1102</v>
      </c>
      <c r="AA30">
        <f>'mei2025'!Z30</f>
        <v>1069</v>
      </c>
      <c r="AB30">
        <f>Tabel2425678910111213141517161819212022232614151617[[#This Row],[Stand Latte Macchiato Plantaardig einde maand]]-Tabel2425678910111213141517161819212022232614151617[[#This Row],[Stand Latte Macchiato Plantaardig vorige maand]]</f>
        <v>33</v>
      </c>
      <c r="AC30" s="71">
        <f>Tabel2425678910111213141517161819212022232614151617[[#This Row],[Verbruik Stand Latte Macchiato Plantaardig deze maand]]+Tabel2425678910111213141517161819212022232614151617[[#This Row],[Verbruik  Cappucino Plantaardig deze maand]]+Tabel2425678910111213141517161819212022232614151617[[#This Row],[Verbruik Cappucino deze maand]]+Tabel2425678910111213141517161819212022232614151617[[#This Row],[Verbruik Hot Water deze maand]]+Tabel2425678910111213141517161819212022232614151617[[#This Row],[Verbruik Coffee Latte deze maand]]+Tabel2425678910111213141517161819212022232614151617[[#This Row],[Verbruik Latte Macchiato deze maand]]+Tabel2425678910111213141517161819212022232614151617[[#This Row],[Verbruik Espresso deze maand]]+Tabel2425678910111213141517161819212022232614151617[[#This Row],[Verbruik Coffee deze maand]]</f>
        <v>318</v>
      </c>
      <c r="AD30" s="53">
        <v>215.2</v>
      </c>
      <c r="AE30">
        <f>'mei2025'!AD30</f>
        <v>204.5</v>
      </c>
      <c r="AF30">
        <f>Tabel2425678910111213141517161819212022232614151617[[#This Row],[Stand Kamertemp liter einde maand]]-Tabel2425678910111213141517161819212022232614151617[[#This Row],[Stand Kamertemp liter vorige maand]]</f>
        <v>10.699999999999989</v>
      </c>
      <c r="AG30" s="2">
        <f>Tabel2425678910111213141517161819212022232614151617[[#This Row],[Verbruik Kamertemp liter deze maand]]/0.15</f>
        <v>71.333333333333258</v>
      </c>
      <c r="AH30" s="53">
        <v>1553.5</v>
      </c>
      <c r="AI30">
        <f>'mei2025'!AH30</f>
        <v>1447.7</v>
      </c>
      <c r="AJ30">
        <f>Tabel2425678910111213141517161819212022232614151617[[#This Row],[Stand Gekoeld liter einde maand]]-Tabel2425678910111213141517161819212022232614151617[[#This Row],[Stand Gekoeld liter vorige maand]]</f>
        <v>105.79999999999995</v>
      </c>
      <c r="AK30" s="2">
        <f>Tabel2425678910111213141517161819212022232614151617[[#This Row],[Verbruik Gekoeld liter deze maand]]/0.15</f>
        <v>705.33333333333303</v>
      </c>
      <c r="AL30" s="53">
        <v>914.2</v>
      </c>
      <c r="AM30">
        <f>'mei2025'!AL30</f>
        <v>885.5</v>
      </c>
      <c r="AN30">
        <f>Tabel2425678910111213141517161819212022232614151617[[#This Row],[Stand Bruisend liter einde maand]]-Tabel2425678910111213141517161819212022232614151617[[#This Row],[Stand Bruisend liter vorige maand]]</f>
        <v>28.700000000000045</v>
      </c>
      <c r="AO30" s="2">
        <f>Tabel2425678910111213141517161819212022232614151617[[#This Row],[Verbruik Bruisend liter deze maand]]/0.15</f>
        <v>191.33333333333366</v>
      </c>
      <c r="AP30" s="53">
        <v>650.20000000000005</v>
      </c>
      <c r="AQ30">
        <f>'mei2025'!AP30</f>
        <v>625</v>
      </c>
      <c r="AR30">
        <f>Tabel2425678910111213141517161819212022232614151617[[#This Row],[Stand licht bruisend liter einde maand]]-Tabel2425678910111213141517161819212022232614151617[[#This Row],[Stand licht bruisend liter vorige maand]]</f>
        <v>25.200000000000045</v>
      </c>
      <c r="AS30" s="2">
        <f>Tabel2425678910111213141517161819212022232614151617[[#This Row],[Verbruik licht bruisend liter deze maand]]/0.15</f>
        <v>168.00000000000031</v>
      </c>
      <c r="AT30" s="53">
        <v>4336.3</v>
      </c>
      <c r="AU30">
        <f>'mei2025'!AT30</f>
        <v>4174</v>
      </c>
      <c r="AV30">
        <f>Tabel2425678910111213141517161819212022232614151617[[#This Row],[Stand heet water liter einde maand]]-Tabel2425678910111213141517161819212022232614151617[[#This Row],[Stand heet water liter vorige maand]]</f>
        <v>162.30000000000018</v>
      </c>
      <c r="AW30" s="2">
        <f>Tabel2425678910111213141517161819212022232614151617[[#This Row],[Verbruik heet Water liter deze maand ]]/0.15</f>
        <v>1082.0000000000014</v>
      </c>
      <c r="AX30" s="77">
        <f>Tabel2425678910111213141517161819212022232614151617[[#This Row],[Aantal consumpties heet water deze maand]]+Tabel2425678910111213141517161819212022232614151617[[#This Row],[Aantal consumpties licht bruisend water deze maand]]+Tabel2425678910111213141517161819212022232614151617[[#This Row],[aantal consumpties Bruisend water deze maand]]+Tabel2425678910111213141517161819212022232614151617[[#This Row],[Aantal consumpties gekoeld water deze maand]]+Tabel2425678910111213141517161819212022232614151617[[#This Row],[Aantal consumpties Kamertemp deze maand]]</f>
        <v>2218.0000000000018</v>
      </c>
      <c r="AY30" s="95">
        <f>Tabel2425678910111213141517161819212022232614151617[[#This Row],[Subtotaal waterbar in consumpties]]+Tabel2425678910111213141517161819212022232614151617[[#This Row],[Subtotaal koffieautomaten]]</f>
        <v>2536.0000000000018</v>
      </c>
    </row>
    <row r="31" spans="1:130" ht="14.45" customHeight="1" x14ac:dyDescent="0.25">
      <c r="A31" s="65" t="s">
        <v>43</v>
      </c>
      <c r="B31" t="s">
        <v>79</v>
      </c>
      <c r="C31" t="s">
        <v>31</v>
      </c>
      <c r="E31">
        <v>12976</v>
      </c>
      <c r="F31">
        <f>'mei2025'!E31</f>
        <v>12657</v>
      </c>
      <c r="G31">
        <f>Tabel2425678910111213141517161819212022232614151617[[#This Row],[Stand Coffee einde maand]]-Tabel2425678910111213141517161819212022232614151617[[#This Row],[Coffee vorige maand]]</f>
        <v>319</v>
      </c>
      <c r="H31" s="53">
        <v>5508</v>
      </c>
      <c r="I31">
        <f>'mei2025'!H31</f>
        <v>5296</v>
      </c>
      <c r="J31">
        <f>Tabel2425678910111213141517161819212022232614151617[[#This Row],[Stand Espresso Einde maand]]-Tabel2425678910111213141517161819212022232614151617[[#This Row],[Espresso vorige maand]]</f>
        <v>212</v>
      </c>
      <c r="K31" s="53">
        <v>827</v>
      </c>
      <c r="L31">
        <f>'mei2025'!K31</f>
        <v>799</v>
      </c>
      <c r="M31">
        <f>Tabel2425678910111213141517161819212022232614151617[[#This Row],[Stand Latte Macchiato einde maand]]-Tabel2425678910111213141517161819212022232614151617[[#This Row],[Latte Macchiato vorige maand]]</f>
        <v>28</v>
      </c>
      <c r="N31" s="53">
        <v>158</v>
      </c>
      <c r="O31">
        <f>'mei2025'!N31</f>
        <v>155</v>
      </c>
      <c r="P31">
        <f>Tabel2425678910111213141517161819212022232614151617[[#This Row],[Stand Coffee Latte einde maand]]-Tabel2425678910111213141517161819212022232614151617[[#This Row],[Coffee Latte vorige maand]]</f>
        <v>3</v>
      </c>
      <c r="Q31" s="53">
        <v>11336</v>
      </c>
      <c r="R31">
        <f>'mei2025'!Q31</f>
        <v>11025</v>
      </c>
      <c r="S31">
        <f>Tabel2425678910111213141517161819212022232614151617[[#This Row],[Stand Hot Water einde maand]]-Tabel2425678910111213141517161819212022232614151617[[#This Row],[Hot Water vorige maand]]</f>
        <v>311</v>
      </c>
      <c r="T31" s="53">
        <v>7374</v>
      </c>
      <c r="U31">
        <f>'mei2025'!T31</f>
        <v>7113</v>
      </c>
      <c r="V31">
        <f>Tabel2425678910111213141517161819212022232614151617[[#This Row],[Stand Cappucino einde maand]]-Tabel2425678910111213141517161819212022232614151617[[#This Row],[Stand Cappucino vorige maand]]</f>
        <v>261</v>
      </c>
      <c r="W31" s="53">
        <v>533</v>
      </c>
      <c r="X31">
        <f>'mei2025'!W31</f>
        <v>526</v>
      </c>
      <c r="Y31">
        <f>Tabel2425678910111213141517161819212022232614151617[[#This Row],[Stand Cappucino Plantaardig einde maand]]-Tabel2425678910111213141517161819212022232614151617[[#This Row],[Stand Cappucino Plantaardig vorige maand]]</f>
        <v>7</v>
      </c>
      <c r="Z31" s="53">
        <v>125</v>
      </c>
      <c r="AA31">
        <f>'mei2025'!Z31</f>
        <v>120</v>
      </c>
      <c r="AB31">
        <f>Tabel2425678910111213141517161819212022232614151617[[#This Row],[Stand Latte Macchiato Plantaardig einde maand]]-Tabel2425678910111213141517161819212022232614151617[[#This Row],[Stand Latte Macchiato Plantaardig vorige maand]]</f>
        <v>5</v>
      </c>
      <c r="AC31" s="71">
        <f>Tabel2425678910111213141517161819212022232614151617[[#This Row],[Verbruik Stand Latte Macchiato Plantaardig deze maand]]+Tabel2425678910111213141517161819212022232614151617[[#This Row],[Verbruik  Cappucino Plantaardig deze maand]]+Tabel2425678910111213141517161819212022232614151617[[#This Row],[Verbruik Cappucino deze maand]]+Tabel2425678910111213141517161819212022232614151617[[#This Row],[Verbruik Hot Water deze maand]]+Tabel2425678910111213141517161819212022232614151617[[#This Row],[Verbruik Coffee Latte deze maand]]+Tabel2425678910111213141517161819212022232614151617[[#This Row],[Verbruik Latte Macchiato deze maand]]+Tabel2425678910111213141517161819212022232614151617[[#This Row],[Verbruik Espresso deze maand]]+Tabel2425678910111213141517161819212022232614151617[[#This Row],[Verbruik Coffee deze maand]]</f>
        <v>1146</v>
      </c>
      <c r="AD31" s="69"/>
      <c r="AE31" s="41"/>
      <c r="AF31" s="5"/>
      <c r="AG31" s="5"/>
      <c r="AH31" s="75"/>
      <c r="AI31" s="41"/>
      <c r="AJ31" s="5"/>
      <c r="AK31" s="5"/>
      <c r="AL31" s="75"/>
      <c r="AM31" s="41"/>
      <c r="AN31" s="5"/>
      <c r="AO31" s="5"/>
      <c r="AP31" s="75"/>
      <c r="AQ31" s="41"/>
      <c r="AR31" s="5"/>
      <c r="AS31" s="5"/>
      <c r="AT31" s="75"/>
      <c r="AU31" s="41"/>
      <c r="AV31" s="5"/>
      <c r="AW31" s="5"/>
      <c r="AX31" s="79"/>
      <c r="AY31" s="95">
        <f>Tabel2425678910111213141517161819212022232614151617[[#This Row],[Subtotaal waterbar in consumpties]]+Tabel2425678910111213141517161819212022232614151617[[#This Row],[Subtotaal koffieautomaten]]</f>
        <v>1146</v>
      </c>
    </row>
    <row r="32" spans="1:130" ht="14.45" customHeight="1" x14ac:dyDescent="0.25">
      <c r="A32" s="65" t="s">
        <v>45</v>
      </c>
      <c r="B32" t="s">
        <v>80</v>
      </c>
      <c r="C32" t="s">
        <v>36</v>
      </c>
      <c r="E32" s="46"/>
      <c r="F32" s="46"/>
      <c r="G32" s="47"/>
      <c r="H32" s="54"/>
      <c r="I32" s="46"/>
      <c r="J32" s="47"/>
      <c r="K32" s="54"/>
      <c r="L32" s="46"/>
      <c r="M32" s="47"/>
      <c r="N32" s="54"/>
      <c r="O32" s="46"/>
      <c r="P32" s="47"/>
      <c r="Q32" s="54"/>
      <c r="R32" s="46"/>
      <c r="S32" s="47"/>
      <c r="T32" s="54"/>
      <c r="U32" s="46"/>
      <c r="V32" s="47"/>
      <c r="W32" s="54"/>
      <c r="X32" s="46"/>
      <c r="Y32" s="47"/>
      <c r="Z32" s="54"/>
      <c r="AA32" s="46"/>
      <c r="AB32" s="47"/>
      <c r="AC32" s="72"/>
      <c r="AD32" s="53">
        <v>17.7</v>
      </c>
      <c r="AE32">
        <f>'mei2025'!AD32</f>
        <v>7.3</v>
      </c>
      <c r="AF32">
        <f>Tabel2425678910111213141517161819212022232614151617[[#This Row],[Stand Kamertemp liter einde maand]]-Tabel2425678910111213141517161819212022232614151617[[#This Row],[Stand Kamertemp liter vorige maand]]</f>
        <v>10.399999999999999</v>
      </c>
      <c r="AG32" s="2">
        <f>Tabel2425678910111213141517161819212022232614151617[[#This Row],[Verbruik Kamertemp liter deze maand]]/0.15</f>
        <v>69.333333333333329</v>
      </c>
      <c r="AH32" s="53">
        <v>86.5</v>
      </c>
      <c r="AI32">
        <f>'mei2025'!AH32</f>
        <v>42</v>
      </c>
      <c r="AJ32">
        <f>Tabel2425678910111213141517161819212022232614151617[[#This Row],[Stand Gekoeld liter einde maand]]-Tabel2425678910111213141517161819212022232614151617[[#This Row],[Stand Gekoeld liter vorige maand]]</f>
        <v>44.5</v>
      </c>
      <c r="AK32" s="2">
        <f>Tabel2425678910111213141517161819212022232614151617[[#This Row],[Verbruik Gekoeld liter deze maand]]/0.15</f>
        <v>296.66666666666669</v>
      </c>
      <c r="AL32" s="53">
        <v>61.8</v>
      </c>
      <c r="AM32">
        <f>'mei2025'!AL32</f>
        <v>34</v>
      </c>
      <c r="AN32">
        <f>Tabel2425678910111213141517161819212022232614151617[[#This Row],[Stand Bruisend liter einde maand]]-Tabel2425678910111213141517161819212022232614151617[[#This Row],[Stand Bruisend liter vorige maand]]</f>
        <v>27.799999999999997</v>
      </c>
      <c r="AO32" s="2">
        <f>Tabel2425678910111213141517161819212022232614151617[[#This Row],[Verbruik Bruisend liter deze maand]]/0.15</f>
        <v>185.33333333333331</v>
      </c>
      <c r="AP32" s="53">
        <v>22.4</v>
      </c>
      <c r="AQ32">
        <f>'mei2025'!AP32</f>
        <v>14.2</v>
      </c>
      <c r="AR32">
        <f>Tabel2425678910111213141517161819212022232614151617[[#This Row],[Stand licht bruisend liter einde maand]]-Tabel2425678910111213141517161819212022232614151617[[#This Row],[Stand licht bruisend liter vorige maand]]</f>
        <v>8.1999999999999993</v>
      </c>
      <c r="AS32" s="2">
        <f>Tabel2425678910111213141517161819212022232614151617[[#This Row],[Verbruik licht bruisend liter deze maand]]/0.15</f>
        <v>54.666666666666664</v>
      </c>
      <c r="AT32" s="53">
        <v>204</v>
      </c>
      <c r="AU32">
        <f>'mei2025'!AT32</f>
        <v>119</v>
      </c>
      <c r="AV32">
        <f>Tabel2425678910111213141517161819212022232614151617[[#This Row],[Stand heet water liter einde maand]]-Tabel2425678910111213141517161819212022232614151617[[#This Row],[Stand heet water liter vorige maand]]</f>
        <v>85</v>
      </c>
      <c r="AW32" s="2">
        <f>Tabel2425678910111213141517161819212022232614151617[[#This Row],[Verbruik heet Water liter deze maand ]]/0.15</f>
        <v>566.66666666666674</v>
      </c>
      <c r="AX32" s="77">
        <f>Tabel2425678910111213141517161819212022232614151617[[#This Row],[Aantal consumpties heet water deze maand]]+Tabel2425678910111213141517161819212022232614151617[[#This Row],[Aantal consumpties licht bruisend water deze maand]]+Tabel2425678910111213141517161819212022232614151617[[#This Row],[aantal consumpties Bruisend water deze maand]]+Tabel2425678910111213141517161819212022232614151617[[#This Row],[Aantal consumpties gekoeld water deze maand]]+Tabel2425678910111213141517161819212022232614151617[[#This Row],[Aantal consumpties Kamertemp deze maand]]</f>
        <v>1172.6666666666667</v>
      </c>
      <c r="AY32" s="95">
        <f>Tabel2425678910111213141517161819212022232614151617[[#This Row],[Subtotaal waterbar in consumpties]]+Tabel2425678910111213141517161819212022232614151617[[#This Row],[Subtotaal koffieautomaten]]</f>
        <v>1172.6666666666667</v>
      </c>
    </row>
    <row r="33" spans="1:130" ht="14.45" customHeight="1" x14ac:dyDescent="0.25">
      <c r="A33" s="65" t="s">
        <v>48</v>
      </c>
      <c r="B33" t="s">
        <v>81</v>
      </c>
      <c r="C33" t="s">
        <v>31</v>
      </c>
      <c r="E33">
        <v>12060</v>
      </c>
      <c r="F33">
        <f>'mei2025'!E33</f>
        <v>11713</v>
      </c>
      <c r="G33">
        <f>Tabel2425678910111213141517161819212022232614151617[[#This Row],[Stand Coffee einde maand]]-Tabel2425678910111213141517161819212022232614151617[[#This Row],[Coffee vorige maand]]</f>
        <v>347</v>
      </c>
      <c r="H33" s="53">
        <v>544</v>
      </c>
      <c r="I33">
        <f>'mei2025'!H33</f>
        <v>511</v>
      </c>
      <c r="J33">
        <f>Tabel2425678910111213141517161819212022232614151617[[#This Row],[Stand Espresso Einde maand]]-Tabel2425678910111213141517161819212022232614151617[[#This Row],[Espresso vorige maand]]</f>
        <v>33</v>
      </c>
      <c r="K33" s="53">
        <v>732</v>
      </c>
      <c r="L33">
        <f>'mei2025'!K33</f>
        <v>732</v>
      </c>
      <c r="M33">
        <f>Tabel2425678910111213141517161819212022232614151617[[#This Row],[Stand Latte Macchiato einde maand]]-Tabel2425678910111213141517161819212022232614151617[[#This Row],[Latte Macchiato vorige maand]]</f>
        <v>0</v>
      </c>
      <c r="N33" s="53">
        <v>422</v>
      </c>
      <c r="O33">
        <f>'mei2025'!N33</f>
        <v>409</v>
      </c>
      <c r="P33">
        <f>Tabel2425678910111213141517161819212022232614151617[[#This Row],[Stand Coffee Latte einde maand]]-Tabel2425678910111213141517161819212022232614151617[[#This Row],[Coffee Latte vorige maand]]</f>
        <v>13</v>
      </c>
      <c r="Q33" s="53">
        <v>26533</v>
      </c>
      <c r="R33">
        <f>'mei2025'!Q33</f>
        <v>25923</v>
      </c>
      <c r="S33">
        <f>Tabel2425678910111213141517161819212022232614151617[[#This Row],[Stand Hot Water einde maand]]-Tabel2425678910111213141517161819212022232614151617[[#This Row],[Hot Water vorige maand]]</f>
        <v>610</v>
      </c>
      <c r="T33" s="53">
        <v>4483</v>
      </c>
      <c r="U33">
        <f>'mei2025'!T33</f>
        <v>4421</v>
      </c>
      <c r="V33">
        <f>Tabel2425678910111213141517161819212022232614151617[[#This Row],[Stand Cappucino einde maand]]-Tabel2425678910111213141517161819212022232614151617[[#This Row],[Stand Cappucino vorige maand]]</f>
        <v>62</v>
      </c>
      <c r="W33" s="53">
        <v>428</v>
      </c>
      <c r="X33">
        <f>'mei2025'!W33</f>
        <v>428</v>
      </c>
      <c r="Y33">
        <f>Tabel2425678910111213141517161819212022232614151617[[#This Row],[Stand Cappucino Plantaardig einde maand]]-Tabel2425678910111213141517161819212022232614151617[[#This Row],[Stand Cappucino Plantaardig vorige maand]]</f>
        <v>0</v>
      </c>
      <c r="Z33" s="53">
        <v>71</v>
      </c>
      <c r="AA33">
        <f>'mei2025'!Z33</f>
        <v>71</v>
      </c>
      <c r="AB33">
        <f>Tabel2425678910111213141517161819212022232614151617[[#This Row],[Stand Latte Macchiato Plantaardig einde maand]]-Tabel2425678910111213141517161819212022232614151617[[#This Row],[Stand Latte Macchiato Plantaardig vorige maand]]</f>
        <v>0</v>
      </c>
      <c r="AC33" s="71">
        <f>Tabel2425678910111213141517161819212022232614151617[[#This Row],[Verbruik Stand Latte Macchiato Plantaardig deze maand]]+Tabel2425678910111213141517161819212022232614151617[[#This Row],[Verbruik  Cappucino Plantaardig deze maand]]+Tabel2425678910111213141517161819212022232614151617[[#This Row],[Verbruik Cappucino deze maand]]+Tabel2425678910111213141517161819212022232614151617[[#This Row],[Verbruik Hot Water deze maand]]+Tabel2425678910111213141517161819212022232614151617[[#This Row],[Verbruik Coffee Latte deze maand]]+Tabel2425678910111213141517161819212022232614151617[[#This Row],[Verbruik Latte Macchiato deze maand]]+Tabel2425678910111213141517161819212022232614151617[[#This Row],[Verbruik Espresso deze maand]]+Tabel2425678910111213141517161819212022232614151617[[#This Row],[Verbruik Coffee deze maand]]</f>
        <v>1065</v>
      </c>
      <c r="AD33" s="69"/>
      <c r="AE33" s="41"/>
      <c r="AF33" s="5"/>
      <c r="AG33" s="5"/>
      <c r="AH33" s="75"/>
      <c r="AI33" s="41"/>
      <c r="AJ33" s="5"/>
      <c r="AK33" s="5"/>
      <c r="AL33" s="75"/>
      <c r="AM33" s="41"/>
      <c r="AN33" s="5"/>
      <c r="AO33" s="5"/>
      <c r="AP33" s="75"/>
      <c r="AQ33" s="41"/>
      <c r="AR33" s="5"/>
      <c r="AS33" s="5"/>
      <c r="AT33" s="75"/>
      <c r="AU33" s="41"/>
      <c r="AV33" s="5"/>
      <c r="AW33" s="5"/>
      <c r="AX33" s="79"/>
      <c r="AY33" s="95">
        <f>Tabel2425678910111213141517161819212022232614151617[[#This Row],[Subtotaal waterbar in consumpties]]+Tabel2425678910111213141517161819212022232614151617[[#This Row],[Subtotaal koffieautomaten]]</f>
        <v>1065</v>
      </c>
    </row>
    <row r="34" spans="1:130" ht="14.45" customHeight="1" x14ac:dyDescent="0.25">
      <c r="A34" s="65" t="s">
        <v>50</v>
      </c>
      <c r="B34" t="s">
        <v>82</v>
      </c>
      <c r="C34" t="s">
        <v>47</v>
      </c>
      <c r="E34">
        <v>8329</v>
      </c>
      <c r="F34">
        <f>'mei2025'!E34</f>
        <v>8118</v>
      </c>
      <c r="G34">
        <f>Tabel2425678910111213141517161819212022232614151617[[#This Row],[Stand Coffee einde maand]]-Tabel2425678910111213141517161819212022232614151617[[#This Row],[Coffee vorige maand]]</f>
        <v>211</v>
      </c>
      <c r="H34" s="53">
        <v>1529</v>
      </c>
      <c r="I34">
        <f>'mei2025'!H34</f>
        <v>1497</v>
      </c>
      <c r="J34">
        <f>Tabel2425678910111213141517161819212022232614151617[[#This Row],[Stand Espresso Einde maand]]-Tabel2425678910111213141517161819212022232614151617[[#This Row],[Espresso vorige maand]]</f>
        <v>32</v>
      </c>
      <c r="K34" s="53">
        <v>2127</v>
      </c>
      <c r="L34">
        <f>'mei2025'!K34</f>
        <v>2046</v>
      </c>
      <c r="M34">
        <f>Tabel2425678910111213141517161819212022232614151617[[#This Row],[Stand Latte Macchiato einde maand]]-Tabel2425678910111213141517161819212022232614151617[[#This Row],[Latte Macchiato vorige maand]]</f>
        <v>81</v>
      </c>
      <c r="N34" s="53">
        <v>2231</v>
      </c>
      <c r="O34">
        <f>'mei2025'!N34</f>
        <v>2121</v>
      </c>
      <c r="P34">
        <f>Tabel2425678910111213141517161819212022232614151617[[#This Row],[Stand Coffee Latte einde maand]]-Tabel2425678910111213141517161819212022232614151617[[#This Row],[Coffee Latte vorige maand]]</f>
        <v>110</v>
      </c>
      <c r="Q34" s="53">
        <v>1</v>
      </c>
      <c r="R34">
        <f>'mei2025'!Q34</f>
        <v>1</v>
      </c>
      <c r="S34">
        <f>Tabel2425678910111213141517161819212022232614151617[[#This Row],[Stand Hot Water einde maand]]-Tabel2425678910111213141517161819212022232614151617[[#This Row],[Hot Water vorige maand]]</f>
        <v>0</v>
      </c>
      <c r="T34" s="53">
        <v>4471</v>
      </c>
      <c r="U34">
        <f>'mei2025'!T34</f>
        <v>4388</v>
      </c>
      <c r="V34">
        <f>Tabel2425678910111213141517161819212022232614151617[[#This Row],[Stand Cappucino einde maand]]-Tabel2425678910111213141517161819212022232614151617[[#This Row],[Stand Cappucino vorige maand]]</f>
        <v>83</v>
      </c>
      <c r="W34" s="53">
        <v>885</v>
      </c>
      <c r="X34">
        <f>'mei2025'!W34</f>
        <v>855</v>
      </c>
      <c r="Y34">
        <f>Tabel2425678910111213141517161819212022232614151617[[#This Row],[Stand Cappucino Plantaardig einde maand]]-Tabel2425678910111213141517161819212022232614151617[[#This Row],[Stand Cappucino Plantaardig vorige maand]]</f>
        <v>30</v>
      </c>
      <c r="Z34" s="53">
        <v>102</v>
      </c>
      <c r="AA34">
        <f>'mei2025'!Z34</f>
        <v>102</v>
      </c>
      <c r="AB34">
        <f>Tabel2425678910111213141517161819212022232614151617[[#This Row],[Stand Latte Macchiato Plantaardig einde maand]]-Tabel2425678910111213141517161819212022232614151617[[#This Row],[Stand Latte Macchiato Plantaardig vorige maand]]</f>
        <v>0</v>
      </c>
      <c r="AC34" s="71">
        <f>Tabel2425678910111213141517161819212022232614151617[[#This Row],[Verbruik Stand Latte Macchiato Plantaardig deze maand]]+Tabel2425678910111213141517161819212022232614151617[[#This Row],[Verbruik  Cappucino Plantaardig deze maand]]+Tabel2425678910111213141517161819212022232614151617[[#This Row],[Verbruik Cappucino deze maand]]+Tabel2425678910111213141517161819212022232614151617[[#This Row],[Verbruik Hot Water deze maand]]+Tabel2425678910111213141517161819212022232614151617[[#This Row],[Verbruik Coffee Latte deze maand]]+Tabel2425678910111213141517161819212022232614151617[[#This Row],[Verbruik Latte Macchiato deze maand]]+Tabel2425678910111213141517161819212022232614151617[[#This Row],[Verbruik Espresso deze maand]]+Tabel2425678910111213141517161819212022232614151617[[#This Row],[Verbruik Coffee deze maand]]</f>
        <v>547</v>
      </c>
      <c r="AD34" s="53">
        <v>78.8</v>
      </c>
      <c r="AE34">
        <f>'mei2025'!AD34</f>
        <v>71.2</v>
      </c>
      <c r="AF34">
        <f>Tabel2425678910111213141517161819212022232614151617[[#This Row],[Stand Kamertemp liter einde maand]]-Tabel2425678910111213141517161819212022232614151617[[#This Row],[Stand Kamertemp liter vorige maand]]</f>
        <v>7.5999999999999943</v>
      </c>
      <c r="AG34" s="2">
        <f>Tabel2425678910111213141517161819212022232614151617[[#This Row],[Verbruik Kamertemp liter deze maand]]/0.15</f>
        <v>50.666666666666629</v>
      </c>
      <c r="AH34" s="53">
        <v>331.7</v>
      </c>
      <c r="AI34">
        <f>'mei2025'!AH34</f>
        <v>287.39999999999998</v>
      </c>
      <c r="AJ34">
        <f>Tabel2425678910111213141517161819212022232614151617[[#This Row],[Stand Gekoeld liter einde maand]]-Tabel2425678910111213141517161819212022232614151617[[#This Row],[Stand Gekoeld liter vorige maand]]</f>
        <v>44.300000000000011</v>
      </c>
      <c r="AK34" s="2">
        <f>Tabel2425678910111213141517161819212022232614151617[[#This Row],[Verbruik Gekoeld liter deze maand]]/0.15</f>
        <v>295.33333333333343</v>
      </c>
      <c r="AL34" s="53">
        <v>210.5</v>
      </c>
      <c r="AM34">
        <f>'mei2025'!AL34</f>
        <v>180.5</v>
      </c>
      <c r="AN34">
        <f>Tabel2425678910111213141517161819212022232614151617[[#This Row],[Stand Bruisend liter einde maand]]-Tabel2425678910111213141517161819212022232614151617[[#This Row],[Stand Bruisend liter vorige maand]]</f>
        <v>30</v>
      </c>
      <c r="AO34" s="2">
        <f>Tabel2425678910111213141517161819212022232614151617[[#This Row],[Verbruik Bruisend liter deze maand]]/0.15</f>
        <v>200</v>
      </c>
      <c r="AP34" s="53">
        <v>97.2</v>
      </c>
      <c r="AQ34">
        <f>'mei2025'!AP34</f>
        <v>82.6</v>
      </c>
      <c r="AR34">
        <f>Tabel2425678910111213141517161819212022232614151617[[#This Row],[Stand licht bruisend liter einde maand]]-Tabel2425678910111213141517161819212022232614151617[[#This Row],[Stand licht bruisend liter vorige maand]]</f>
        <v>14.600000000000009</v>
      </c>
      <c r="AS34" s="2">
        <f>Tabel2425678910111213141517161819212022232614151617[[#This Row],[Verbruik licht bruisend liter deze maand]]/0.15</f>
        <v>97.3333333333334</v>
      </c>
      <c r="AT34" s="53">
        <v>1360.8</v>
      </c>
      <c r="AU34">
        <f>'mei2025'!AT34</f>
        <v>1245.4000000000001</v>
      </c>
      <c r="AV34">
        <f>Tabel2425678910111213141517161819212022232614151617[[#This Row],[Stand heet water liter einde maand]]-Tabel2425678910111213141517161819212022232614151617[[#This Row],[Stand heet water liter vorige maand]]</f>
        <v>115.39999999999986</v>
      </c>
      <c r="AW34" s="2">
        <f>Tabel2425678910111213141517161819212022232614151617[[#This Row],[Verbruik heet Water liter deze maand ]]/0.15</f>
        <v>769.33333333333246</v>
      </c>
      <c r="AX34" s="77">
        <f>Tabel2425678910111213141517161819212022232614151617[[#This Row],[Aantal consumpties heet water deze maand]]+Tabel2425678910111213141517161819212022232614151617[[#This Row],[Aantal consumpties licht bruisend water deze maand]]+Tabel2425678910111213141517161819212022232614151617[[#This Row],[aantal consumpties Bruisend water deze maand]]+Tabel2425678910111213141517161819212022232614151617[[#This Row],[Aantal consumpties gekoeld water deze maand]]+Tabel2425678910111213141517161819212022232614151617[[#This Row],[Aantal consumpties Kamertemp deze maand]]</f>
        <v>1412.6666666666661</v>
      </c>
      <c r="AY34" s="95">
        <f>Tabel2425678910111213141517161819212022232614151617[[#This Row],[Subtotaal waterbar in consumpties]]+Tabel2425678910111213141517161819212022232614151617[[#This Row],[Subtotaal koffieautomaten]]</f>
        <v>1959.6666666666661</v>
      </c>
    </row>
    <row r="35" spans="1:130" ht="14.45" customHeight="1" x14ac:dyDescent="0.25">
      <c r="A35" s="65" t="s">
        <v>52</v>
      </c>
      <c r="B35" t="s">
        <v>83</v>
      </c>
      <c r="C35" t="s">
        <v>47</v>
      </c>
      <c r="E35">
        <v>8843</v>
      </c>
      <c r="F35">
        <f>'mei2025'!E35</f>
        <v>8707</v>
      </c>
      <c r="G35">
        <f>Tabel2425678910111213141517161819212022232614151617[[#This Row],[Stand Coffee einde maand]]-Tabel2425678910111213141517161819212022232614151617[[#This Row],[Coffee vorige maand]]</f>
        <v>136</v>
      </c>
      <c r="H35" s="53">
        <v>3259</v>
      </c>
      <c r="I35">
        <f>'mei2025'!H35</f>
        <v>3217</v>
      </c>
      <c r="J35">
        <f>Tabel2425678910111213141517161819212022232614151617[[#This Row],[Stand Espresso Einde maand]]-Tabel2425678910111213141517161819212022232614151617[[#This Row],[Espresso vorige maand]]</f>
        <v>42</v>
      </c>
      <c r="K35" s="53">
        <v>1537</v>
      </c>
      <c r="L35">
        <f>'mei2025'!K35</f>
        <v>1501</v>
      </c>
      <c r="M35">
        <f>Tabel2425678910111213141517161819212022232614151617[[#This Row],[Stand Latte Macchiato einde maand]]-Tabel2425678910111213141517161819212022232614151617[[#This Row],[Latte Macchiato vorige maand]]</f>
        <v>36</v>
      </c>
      <c r="N35" s="53">
        <v>282</v>
      </c>
      <c r="O35">
        <f>'mei2025'!N35</f>
        <v>278</v>
      </c>
      <c r="P35">
        <f>Tabel2425678910111213141517161819212022232614151617[[#This Row],[Stand Coffee Latte einde maand]]-Tabel2425678910111213141517161819212022232614151617[[#This Row],[Coffee Latte vorige maand]]</f>
        <v>4</v>
      </c>
      <c r="Q35" s="53">
        <v>1</v>
      </c>
      <c r="R35">
        <f>'mei2025'!Q35</f>
        <v>1</v>
      </c>
      <c r="S35">
        <f>Tabel2425678910111213141517161819212022232614151617[[#This Row],[Stand Hot Water einde maand]]-Tabel2425678910111213141517161819212022232614151617[[#This Row],[Hot Water vorige maand]]</f>
        <v>0</v>
      </c>
      <c r="T35" s="53">
        <v>3442</v>
      </c>
      <c r="U35">
        <f>'mei2025'!T35</f>
        <v>3318</v>
      </c>
      <c r="V35">
        <f>Tabel2425678910111213141517161819212022232614151617[[#This Row],[Stand Cappucino einde maand]]-Tabel2425678910111213141517161819212022232614151617[[#This Row],[Stand Cappucino vorige maand]]</f>
        <v>124</v>
      </c>
      <c r="W35" s="53">
        <v>1013</v>
      </c>
      <c r="X35">
        <f>'mei2025'!W35</f>
        <v>989</v>
      </c>
      <c r="Y35">
        <f>Tabel2425678910111213141517161819212022232614151617[[#This Row],[Stand Cappucino Plantaardig einde maand]]-Tabel2425678910111213141517161819212022232614151617[[#This Row],[Stand Cappucino Plantaardig vorige maand]]</f>
        <v>24</v>
      </c>
      <c r="Z35" s="53">
        <v>606</v>
      </c>
      <c r="AA35">
        <f>'mei2025'!Z35</f>
        <v>598</v>
      </c>
      <c r="AB35">
        <f>Tabel2425678910111213141517161819212022232614151617[[#This Row],[Stand Latte Macchiato Plantaardig einde maand]]-Tabel2425678910111213141517161819212022232614151617[[#This Row],[Stand Latte Macchiato Plantaardig vorige maand]]</f>
        <v>8</v>
      </c>
      <c r="AC35" s="71">
        <f>Tabel2425678910111213141517161819212022232614151617[[#This Row],[Verbruik Stand Latte Macchiato Plantaardig deze maand]]+Tabel2425678910111213141517161819212022232614151617[[#This Row],[Verbruik  Cappucino Plantaardig deze maand]]+Tabel2425678910111213141517161819212022232614151617[[#This Row],[Verbruik Cappucino deze maand]]+Tabel2425678910111213141517161819212022232614151617[[#This Row],[Verbruik Hot Water deze maand]]+Tabel2425678910111213141517161819212022232614151617[[#This Row],[Verbruik Coffee Latte deze maand]]+Tabel2425678910111213141517161819212022232614151617[[#This Row],[Verbruik Latte Macchiato deze maand]]+Tabel2425678910111213141517161819212022232614151617[[#This Row],[Verbruik Espresso deze maand]]+Tabel2425678910111213141517161819212022232614151617[[#This Row],[Verbruik Coffee deze maand]]</f>
        <v>374</v>
      </c>
      <c r="AD35" s="53">
        <v>209.4</v>
      </c>
      <c r="AE35">
        <f>'mei2025'!AD35</f>
        <v>204.3</v>
      </c>
      <c r="AF35">
        <f>Tabel2425678910111213141517161819212022232614151617[[#This Row],[Stand Kamertemp liter einde maand]]-Tabel2425678910111213141517161819212022232614151617[[#This Row],[Stand Kamertemp liter vorige maand]]</f>
        <v>5.0999999999999943</v>
      </c>
      <c r="AG35" s="2">
        <f>Tabel2425678910111213141517161819212022232614151617[[#This Row],[Verbruik Kamertemp liter deze maand]]/0.15</f>
        <v>33.999999999999964</v>
      </c>
      <c r="AH35" s="53">
        <v>999.3</v>
      </c>
      <c r="AI35">
        <f>'mei2025'!AH35</f>
        <v>965.9</v>
      </c>
      <c r="AJ35">
        <f>Tabel2425678910111213141517161819212022232614151617[[#This Row],[Stand Gekoeld liter einde maand]]-Tabel2425678910111213141517161819212022232614151617[[#This Row],[Stand Gekoeld liter vorige maand]]</f>
        <v>33.399999999999977</v>
      </c>
      <c r="AK35" s="2">
        <f>Tabel2425678910111213141517161819212022232614151617[[#This Row],[Verbruik Gekoeld liter deze maand]]/0.15</f>
        <v>222.66666666666652</v>
      </c>
      <c r="AL35" s="53">
        <v>965.8</v>
      </c>
      <c r="AM35">
        <f>'mei2025'!AL35</f>
        <v>934.3</v>
      </c>
      <c r="AN35">
        <f>Tabel2425678910111213141517161819212022232614151617[[#This Row],[Stand Bruisend liter einde maand]]-Tabel2425678910111213141517161819212022232614151617[[#This Row],[Stand Bruisend liter vorige maand]]</f>
        <v>31.5</v>
      </c>
      <c r="AO35" s="2">
        <f>Tabel2425678910111213141517161819212022232614151617[[#This Row],[Verbruik Bruisend liter deze maand]]/0.15</f>
        <v>210</v>
      </c>
      <c r="AP35" s="53">
        <v>386.1</v>
      </c>
      <c r="AQ35">
        <f>'mei2025'!AP35</f>
        <v>373.7</v>
      </c>
      <c r="AR35">
        <f>Tabel2425678910111213141517161819212022232614151617[[#This Row],[Stand licht bruisend liter einde maand]]-Tabel2425678910111213141517161819212022232614151617[[#This Row],[Stand licht bruisend liter vorige maand]]</f>
        <v>12.400000000000034</v>
      </c>
      <c r="AS35" s="2">
        <f>Tabel2425678910111213141517161819212022232614151617[[#This Row],[Verbruik licht bruisend liter deze maand]]/0.15</f>
        <v>82.666666666666899</v>
      </c>
      <c r="AT35" s="53">
        <v>6587.6</v>
      </c>
      <c r="AU35">
        <f>'mei2025'!AT35</f>
        <v>6468.2</v>
      </c>
      <c r="AV35">
        <f>Tabel2425678910111213141517161819212022232614151617[[#This Row],[Stand heet water liter einde maand]]-Tabel2425678910111213141517161819212022232614151617[[#This Row],[Stand heet water liter vorige maand]]</f>
        <v>119.40000000000055</v>
      </c>
      <c r="AW35" s="2">
        <f>Tabel2425678910111213141517161819212022232614151617[[#This Row],[Verbruik heet Water liter deze maand ]]/0.15</f>
        <v>796.00000000000364</v>
      </c>
      <c r="AX35" s="77">
        <f>Tabel2425678910111213141517161819212022232614151617[[#This Row],[Aantal consumpties heet water deze maand]]+Tabel2425678910111213141517161819212022232614151617[[#This Row],[Aantal consumpties licht bruisend water deze maand]]+Tabel2425678910111213141517161819212022232614151617[[#This Row],[aantal consumpties Bruisend water deze maand]]+Tabel2425678910111213141517161819212022232614151617[[#This Row],[Aantal consumpties gekoeld water deze maand]]+Tabel2425678910111213141517161819212022232614151617[[#This Row],[Aantal consumpties Kamertemp deze maand]]</f>
        <v>1345.3333333333371</v>
      </c>
      <c r="AY35" s="95">
        <f>Tabel2425678910111213141517161819212022232614151617[[#This Row],[Subtotaal waterbar in consumpties]]+Tabel2425678910111213141517161819212022232614151617[[#This Row],[Subtotaal koffieautomaten]]</f>
        <v>1719.3333333333371</v>
      </c>
    </row>
    <row r="36" spans="1:130" ht="14.45" customHeight="1" x14ac:dyDescent="0.25">
      <c r="A36" s="65" t="s">
        <v>54</v>
      </c>
      <c r="B36" t="s">
        <v>84</v>
      </c>
      <c r="C36" t="s">
        <v>31</v>
      </c>
      <c r="E36">
        <v>13913</v>
      </c>
      <c r="F36">
        <f>'mei2025'!E36</f>
        <v>13510</v>
      </c>
      <c r="G36">
        <f>Tabel2425678910111213141517161819212022232614151617[[#This Row],[Stand Coffee einde maand]]-Tabel2425678910111213141517161819212022232614151617[[#This Row],[Coffee vorige maand]]</f>
        <v>403</v>
      </c>
      <c r="H36" s="53">
        <v>2357</v>
      </c>
      <c r="I36">
        <f>'mei2025'!H36</f>
        <v>2246</v>
      </c>
      <c r="J36">
        <f>Tabel2425678910111213141517161819212022232614151617[[#This Row],[Stand Espresso Einde maand]]-Tabel2425678910111213141517161819212022232614151617[[#This Row],[Espresso vorige maand]]</f>
        <v>111</v>
      </c>
      <c r="K36" s="53">
        <v>1320</v>
      </c>
      <c r="L36">
        <f>'mei2025'!K36</f>
        <v>1288</v>
      </c>
      <c r="M36">
        <f>Tabel2425678910111213141517161819212022232614151617[[#This Row],[Stand Latte Macchiato einde maand]]-Tabel2425678910111213141517161819212022232614151617[[#This Row],[Latte Macchiato vorige maand]]</f>
        <v>32</v>
      </c>
      <c r="N36" s="53">
        <v>435</v>
      </c>
      <c r="O36">
        <f>'mei2025'!N36</f>
        <v>420</v>
      </c>
      <c r="P36">
        <f>Tabel2425678910111213141517161819212022232614151617[[#This Row],[Stand Coffee Latte einde maand]]-Tabel2425678910111213141517161819212022232614151617[[#This Row],[Coffee Latte vorige maand]]</f>
        <v>15</v>
      </c>
      <c r="Q36" s="53">
        <v>19691</v>
      </c>
      <c r="R36">
        <f>'mei2025'!Q36</f>
        <v>19191</v>
      </c>
      <c r="S36">
        <f>Tabel2425678910111213141517161819212022232614151617[[#This Row],[Stand Hot Water einde maand]]-Tabel2425678910111213141517161819212022232614151617[[#This Row],[Hot Water vorige maand]]</f>
        <v>500</v>
      </c>
      <c r="T36" s="53">
        <v>4627</v>
      </c>
      <c r="U36">
        <f>'mei2025'!T36</f>
        <v>4519</v>
      </c>
      <c r="V36">
        <f>Tabel2425678910111213141517161819212022232614151617[[#This Row],[Stand Cappucino einde maand]]-Tabel2425678910111213141517161819212022232614151617[[#This Row],[Stand Cappucino vorige maand]]</f>
        <v>108</v>
      </c>
      <c r="W36" s="53">
        <v>644</v>
      </c>
      <c r="X36">
        <f>'mei2025'!W36</f>
        <v>630</v>
      </c>
      <c r="Y36">
        <f>Tabel2425678910111213141517161819212022232614151617[[#This Row],[Stand Cappucino Plantaardig einde maand]]-Tabel2425678910111213141517161819212022232614151617[[#This Row],[Stand Cappucino Plantaardig vorige maand]]</f>
        <v>14</v>
      </c>
      <c r="Z36" s="53">
        <v>918</v>
      </c>
      <c r="AA36">
        <f>'mei2025'!Z36</f>
        <v>867</v>
      </c>
      <c r="AB36">
        <f>Tabel2425678910111213141517161819212022232614151617[[#This Row],[Stand Latte Macchiato Plantaardig einde maand]]-Tabel2425678910111213141517161819212022232614151617[[#This Row],[Stand Latte Macchiato Plantaardig vorige maand]]</f>
        <v>51</v>
      </c>
      <c r="AC36" s="71">
        <f>Tabel2425678910111213141517161819212022232614151617[[#This Row],[Verbruik Stand Latte Macchiato Plantaardig deze maand]]+Tabel2425678910111213141517161819212022232614151617[[#This Row],[Verbruik  Cappucino Plantaardig deze maand]]+Tabel2425678910111213141517161819212022232614151617[[#This Row],[Verbruik Cappucino deze maand]]+Tabel2425678910111213141517161819212022232614151617[[#This Row],[Verbruik Hot Water deze maand]]+Tabel2425678910111213141517161819212022232614151617[[#This Row],[Verbruik Coffee Latte deze maand]]+Tabel2425678910111213141517161819212022232614151617[[#This Row],[Verbruik Latte Macchiato deze maand]]+Tabel2425678910111213141517161819212022232614151617[[#This Row],[Verbruik Espresso deze maand]]+Tabel2425678910111213141517161819212022232614151617[[#This Row],[Verbruik Coffee deze maand]]</f>
        <v>1234</v>
      </c>
      <c r="AD36" s="69"/>
      <c r="AE36" s="41"/>
      <c r="AF36" s="5"/>
      <c r="AG36" s="5"/>
      <c r="AH36" s="75"/>
      <c r="AI36" s="41"/>
      <c r="AJ36" s="5"/>
      <c r="AK36" s="5"/>
      <c r="AL36" s="75"/>
      <c r="AM36" s="41"/>
      <c r="AN36" s="5"/>
      <c r="AO36" s="5"/>
      <c r="AP36" s="75"/>
      <c r="AQ36" s="41"/>
      <c r="AR36" s="5"/>
      <c r="AS36" s="5"/>
      <c r="AT36" s="75"/>
      <c r="AU36" s="41"/>
      <c r="AV36" s="5"/>
      <c r="AW36" s="5"/>
      <c r="AX36" s="79"/>
      <c r="AY36" s="95">
        <f>Tabel2425678910111213141517161819212022232614151617[[#This Row],[Subtotaal waterbar in consumpties]]+Tabel2425678910111213141517161819212022232614151617[[#This Row],[Subtotaal koffieautomaten]]</f>
        <v>1234</v>
      </c>
    </row>
    <row r="37" spans="1:130" ht="14.45" customHeight="1" x14ac:dyDescent="0.25">
      <c r="A37" s="65" t="s">
        <v>56</v>
      </c>
      <c r="B37" t="s">
        <v>85</v>
      </c>
      <c r="C37" t="s">
        <v>36</v>
      </c>
      <c r="E37" s="46"/>
      <c r="F37" s="46"/>
      <c r="G37" s="47"/>
      <c r="H37" s="54"/>
      <c r="I37" s="46"/>
      <c r="J37" s="47"/>
      <c r="K37" s="54"/>
      <c r="L37" s="46"/>
      <c r="M37" s="47"/>
      <c r="N37" s="54"/>
      <c r="O37" s="46"/>
      <c r="P37" s="47"/>
      <c r="Q37" s="54"/>
      <c r="R37" s="46"/>
      <c r="S37" s="47"/>
      <c r="T37" s="54"/>
      <c r="U37" s="46"/>
      <c r="V37" s="47"/>
      <c r="W37" s="54"/>
      <c r="X37" s="46"/>
      <c r="Y37" s="47"/>
      <c r="Z37" s="54"/>
      <c r="AA37" s="46"/>
      <c r="AB37" s="47"/>
      <c r="AC37" s="72"/>
      <c r="AD37" s="53">
        <v>149.30000000000001</v>
      </c>
      <c r="AE37">
        <f>'mei2025'!AD37</f>
        <v>143.5</v>
      </c>
      <c r="AF37">
        <f>Tabel2425678910111213141517161819212022232614151617[[#This Row],[Stand Kamertemp liter einde maand]]-Tabel2425678910111213141517161819212022232614151617[[#This Row],[Stand Kamertemp liter vorige maand]]</f>
        <v>5.8000000000000114</v>
      </c>
      <c r="AG37" s="2">
        <f>Tabel2425678910111213141517161819212022232614151617[[#This Row],[Verbruik Kamertemp liter deze maand]]/0.15</f>
        <v>38.666666666666742</v>
      </c>
      <c r="AH37" s="53">
        <v>802.6</v>
      </c>
      <c r="AI37">
        <f>'mei2025'!AH37</f>
        <v>758.6</v>
      </c>
      <c r="AJ37">
        <f>Tabel2425678910111213141517161819212022232614151617[[#This Row],[Stand Gekoeld liter einde maand]]-Tabel2425678910111213141517161819212022232614151617[[#This Row],[Stand Gekoeld liter vorige maand]]</f>
        <v>44</v>
      </c>
      <c r="AK37" s="2">
        <f>Tabel2425678910111213141517161819212022232614151617[[#This Row],[Verbruik Gekoeld liter deze maand]]/0.15</f>
        <v>293.33333333333337</v>
      </c>
      <c r="AL37" s="53">
        <v>597.70000000000005</v>
      </c>
      <c r="AM37">
        <f>'mei2025'!AL37</f>
        <v>550</v>
      </c>
      <c r="AN37">
        <f>Tabel2425678910111213141517161819212022232614151617[[#This Row],[Stand Bruisend liter einde maand]]-Tabel2425678910111213141517161819212022232614151617[[#This Row],[Stand Bruisend liter vorige maand]]</f>
        <v>47.700000000000045</v>
      </c>
      <c r="AO37" s="2">
        <f>Tabel2425678910111213141517161819212022232614151617[[#This Row],[Verbruik Bruisend liter deze maand]]/0.15</f>
        <v>318.00000000000034</v>
      </c>
      <c r="AP37" s="53">
        <v>327.60000000000002</v>
      </c>
      <c r="AQ37">
        <f>'mei2025'!AP37</f>
        <v>311.10000000000002</v>
      </c>
      <c r="AR37">
        <f>Tabel2425678910111213141517161819212022232614151617[[#This Row],[Stand licht bruisend liter einde maand]]-Tabel2425678910111213141517161819212022232614151617[[#This Row],[Stand licht bruisend liter vorige maand]]</f>
        <v>16.5</v>
      </c>
      <c r="AS37" s="2">
        <f>Tabel2425678910111213141517161819212022232614151617[[#This Row],[Verbruik licht bruisend liter deze maand]]/0.15</f>
        <v>110</v>
      </c>
      <c r="AT37" s="53">
        <v>2472.8000000000002</v>
      </c>
      <c r="AU37">
        <f>'mei2025'!AT37</f>
        <v>2374.6</v>
      </c>
      <c r="AV37">
        <f>Tabel2425678910111213141517161819212022232614151617[[#This Row],[Stand heet water liter einde maand]]-Tabel2425678910111213141517161819212022232614151617[[#This Row],[Stand heet water liter vorige maand]]</f>
        <v>98.200000000000273</v>
      </c>
      <c r="AW37" s="2">
        <f>Tabel2425678910111213141517161819212022232614151617[[#This Row],[Verbruik heet Water liter deze maand ]]/0.15</f>
        <v>654.66666666666856</v>
      </c>
      <c r="AX37" s="77">
        <f>Tabel2425678910111213141517161819212022232614151617[[#This Row],[Aantal consumpties heet water deze maand]]+Tabel2425678910111213141517161819212022232614151617[[#This Row],[Aantal consumpties licht bruisend water deze maand]]+Tabel2425678910111213141517161819212022232614151617[[#This Row],[aantal consumpties Bruisend water deze maand]]+Tabel2425678910111213141517161819212022232614151617[[#This Row],[Aantal consumpties gekoeld water deze maand]]+Tabel2425678910111213141517161819212022232614151617[[#This Row],[Aantal consumpties Kamertemp deze maand]]</f>
        <v>1414.666666666669</v>
      </c>
      <c r="AY37" s="95">
        <f>Tabel2425678910111213141517161819212022232614151617[[#This Row],[Subtotaal waterbar in consumpties]]+Tabel2425678910111213141517161819212022232614151617[[#This Row],[Subtotaal koffieautomaten]]</f>
        <v>1414.666666666669</v>
      </c>
    </row>
    <row r="38" spans="1:130" ht="14.45" customHeight="1" x14ac:dyDescent="0.25">
      <c r="A38" s="65" t="s">
        <v>58</v>
      </c>
      <c r="B38" t="s">
        <v>86</v>
      </c>
      <c r="C38" t="s">
        <v>47</v>
      </c>
      <c r="E38">
        <v>12920</v>
      </c>
      <c r="F38">
        <f>'mei2025'!E38</f>
        <v>12695</v>
      </c>
      <c r="G38">
        <f>Tabel2425678910111213141517161819212022232614151617[[#This Row],[Stand Coffee einde maand]]-Tabel2425678910111213141517161819212022232614151617[[#This Row],[Coffee vorige maand]]</f>
        <v>225</v>
      </c>
      <c r="H38" s="53">
        <v>3686</v>
      </c>
      <c r="I38">
        <f>'mei2025'!H38</f>
        <v>3646</v>
      </c>
      <c r="J38">
        <f>Tabel2425678910111213141517161819212022232614151617[[#This Row],[Stand Espresso Einde maand]]-Tabel2425678910111213141517161819212022232614151617[[#This Row],[Espresso vorige maand]]</f>
        <v>40</v>
      </c>
      <c r="K38" s="53">
        <v>2228</v>
      </c>
      <c r="L38">
        <f>'mei2025'!K38</f>
        <v>2156</v>
      </c>
      <c r="M38">
        <f>Tabel2425678910111213141517161819212022232614151617[[#This Row],[Stand Latte Macchiato einde maand]]-Tabel2425678910111213141517161819212022232614151617[[#This Row],[Latte Macchiato vorige maand]]</f>
        <v>72</v>
      </c>
      <c r="N38" s="53">
        <v>1087</v>
      </c>
      <c r="O38">
        <f>'mei2025'!N38</f>
        <v>1072</v>
      </c>
      <c r="P38">
        <f>Tabel2425678910111213141517161819212022232614151617[[#This Row],[Stand Coffee Latte einde maand]]-Tabel2425678910111213141517161819212022232614151617[[#This Row],[Coffee Latte vorige maand]]</f>
        <v>15</v>
      </c>
      <c r="Q38" s="53">
        <v>1354</v>
      </c>
      <c r="R38">
        <f>'mei2025'!Q38</f>
        <v>1316</v>
      </c>
      <c r="S38">
        <f>Tabel2425678910111213141517161819212022232614151617[[#This Row],[Stand Hot Water einde maand]]-Tabel2425678910111213141517161819212022232614151617[[#This Row],[Hot Water vorige maand]]</f>
        <v>38</v>
      </c>
      <c r="T38" s="53">
        <v>6709</v>
      </c>
      <c r="U38">
        <f>'mei2025'!T38</f>
        <v>6586</v>
      </c>
      <c r="V38">
        <f>Tabel2425678910111213141517161819212022232614151617[[#This Row],[Stand Cappucino einde maand]]-Tabel2425678910111213141517161819212022232614151617[[#This Row],[Stand Cappucino vorige maand]]</f>
        <v>123</v>
      </c>
      <c r="W38" s="53">
        <v>1023</v>
      </c>
      <c r="X38">
        <f>'mei2025'!W38</f>
        <v>1011</v>
      </c>
      <c r="Y38">
        <f>Tabel2425678910111213141517161819212022232614151617[[#This Row],[Stand Cappucino Plantaardig einde maand]]-Tabel2425678910111213141517161819212022232614151617[[#This Row],[Stand Cappucino Plantaardig vorige maand]]</f>
        <v>12</v>
      </c>
      <c r="Z38" s="53">
        <v>807</v>
      </c>
      <c r="AA38">
        <f>'mei2025'!Z38</f>
        <v>796</v>
      </c>
      <c r="AB38">
        <f>Tabel2425678910111213141517161819212022232614151617[[#This Row],[Stand Latte Macchiato Plantaardig einde maand]]-Tabel2425678910111213141517161819212022232614151617[[#This Row],[Stand Latte Macchiato Plantaardig vorige maand]]</f>
        <v>11</v>
      </c>
      <c r="AC38" s="71">
        <f>Tabel2425678910111213141517161819212022232614151617[[#This Row],[Verbruik Stand Latte Macchiato Plantaardig deze maand]]+Tabel2425678910111213141517161819212022232614151617[[#This Row],[Verbruik  Cappucino Plantaardig deze maand]]+Tabel2425678910111213141517161819212022232614151617[[#This Row],[Verbruik Cappucino deze maand]]+Tabel2425678910111213141517161819212022232614151617[[#This Row],[Verbruik Hot Water deze maand]]+Tabel2425678910111213141517161819212022232614151617[[#This Row],[Verbruik Coffee Latte deze maand]]+Tabel2425678910111213141517161819212022232614151617[[#This Row],[Verbruik Latte Macchiato deze maand]]+Tabel2425678910111213141517161819212022232614151617[[#This Row],[Verbruik Espresso deze maand]]+Tabel2425678910111213141517161819212022232614151617[[#This Row],[Verbruik Coffee deze maand]]</f>
        <v>536</v>
      </c>
      <c r="AD38" s="53">
        <v>125.7</v>
      </c>
      <c r="AE38">
        <f>'mei2025'!AD38</f>
        <v>121.1</v>
      </c>
      <c r="AF38">
        <f>Tabel2425678910111213141517161819212022232614151617[[#This Row],[Stand Kamertemp liter einde maand]]-Tabel2425678910111213141517161819212022232614151617[[#This Row],[Stand Kamertemp liter vorige maand]]</f>
        <v>4.6000000000000085</v>
      </c>
      <c r="AG38" s="2">
        <f>Tabel2425678910111213141517161819212022232614151617[[#This Row],[Verbruik Kamertemp liter deze maand]]/0.15</f>
        <v>30.666666666666725</v>
      </c>
      <c r="AH38" s="53">
        <v>629.4</v>
      </c>
      <c r="AI38">
        <f>'mei2025'!AH38</f>
        <v>578.4</v>
      </c>
      <c r="AJ38">
        <f>Tabel2425678910111213141517161819212022232614151617[[#This Row],[Stand Gekoeld liter einde maand]]-Tabel2425678910111213141517161819212022232614151617[[#This Row],[Stand Gekoeld liter vorige maand]]</f>
        <v>51</v>
      </c>
      <c r="AK38" s="2">
        <f>Tabel2425678910111213141517161819212022232614151617[[#This Row],[Verbruik Gekoeld liter deze maand]]/0.15</f>
        <v>340</v>
      </c>
      <c r="AL38" s="53">
        <v>528.9</v>
      </c>
      <c r="AM38">
        <f>'mei2025'!AL38</f>
        <v>492.3</v>
      </c>
      <c r="AN38">
        <f>Tabel2425678910111213141517161819212022232614151617[[#This Row],[Stand Bruisend liter einde maand]]-Tabel2425678910111213141517161819212022232614151617[[#This Row],[Stand Bruisend liter vorige maand]]</f>
        <v>36.599999999999966</v>
      </c>
      <c r="AO38" s="2">
        <f>Tabel2425678910111213141517161819212022232614151617[[#This Row],[Verbruik Bruisend liter deze maand]]/0.15</f>
        <v>243.99999999999977</v>
      </c>
      <c r="AP38" s="53">
        <v>152.5</v>
      </c>
      <c r="AQ38">
        <f>'mei2025'!AP38</f>
        <v>141.69999999999999</v>
      </c>
      <c r="AR38">
        <f>Tabel2425678910111213141517161819212022232614151617[[#This Row],[Stand licht bruisend liter einde maand]]-Tabel2425678910111213141517161819212022232614151617[[#This Row],[Stand licht bruisend liter vorige maand]]</f>
        <v>10.800000000000011</v>
      </c>
      <c r="AS38" s="2">
        <f>Tabel2425678910111213141517161819212022232614151617[[#This Row],[Verbruik licht bruisend liter deze maand]]/0.15</f>
        <v>72.000000000000085</v>
      </c>
      <c r="AT38" s="53">
        <v>1989.7</v>
      </c>
      <c r="AU38">
        <f>'mei2025'!AT38</f>
        <v>1898.6</v>
      </c>
      <c r="AV38">
        <f>Tabel2425678910111213141517161819212022232614151617[[#This Row],[Stand heet water liter einde maand]]-Tabel2425678910111213141517161819212022232614151617[[#This Row],[Stand heet water liter vorige maand]]</f>
        <v>91.100000000000136</v>
      </c>
      <c r="AW38" s="2">
        <f>Tabel2425678910111213141517161819212022232614151617[[#This Row],[Verbruik heet Water liter deze maand ]]/0.15</f>
        <v>607.33333333333428</v>
      </c>
      <c r="AX38" s="77">
        <f>Tabel2425678910111213141517161819212022232614151617[[#This Row],[Aantal consumpties heet water deze maand]]+Tabel2425678910111213141517161819212022232614151617[[#This Row],[Aantal consumpties licht bruisend water deze maand]]+Tabel2425678910111213141517161819212022232614151617[[#This Row],[aantal consumpties Bruisend water deze maand]]+Tabel2425678910111213141517161819212022232614151617[[#This Row],[Aantal consumpties gekoeld water deze maand]]+Tabel2425678910111213141517161819212022232614151617[[#This Row],[Aantal consumpties Kamertemp deze maand]]</f>
        <v>1294.0000000000009</v>
      </c>
      <c r="AY38" s="95">
        <f>Tabel2425678910111213141517161819212022232614151617[[#This Row],[Subtotaal waterbar in consumpties]]+Tabel2425678910111213141517161819212022232614151617[[#This Row],[Subtotaal koffieautomaten]]</f>
        <v>1830.0000000000009</v>
      </c>
    </row>
    <row r="39" spans="1:130" ht="14.45" customHeight="1" x14ac:dyDescent="0.25">
      <c r="A39" s="65" t="s">
        <v>60</v>
      </c>
      <c r="B39" t="s">
        <v>87</v>
      </c>
      <c r="C39" t="s">
        <v>31</v>
      </c>
      <c r="E39">
        <v>7180</v>
      </c>
      <c r="F39">
        <f>'mei2025'!E39</f>
        <v>6962</v>
      </c>
      <c r="G39">
        <f>Tabel2425678910111213141517161819212022232614151617[[#This Row],[Stand Coffee einde maand]]-Tabel2425678910111213141517161819212022232614151617[[#This Row],[Coffee vorige maand]]</f>
        <v>218</v>
      </c>
      <c r="H39" s="53">
        <v>1068</v>
      </c>
      <c r="I39">
        <f>'mei2025'!H39</f>
        <v>1050</v>
      </c>
      <c r="J39">
        <f>Tabel2425678910111213141517161819212022232614151617[[#This Row],[Stand Espresso Einde maand]]-Tabel2425678910111213141517161819212022232614151617[[#This Row],[Espresso vorige maand]]</f>
        <v>18</v>
      </c>
      <c r="K39" s="53">
        <v>707</v>
      </c>
      <c r="L39">
        <f>'mei2025'!K39</f>
        <v>705</v>
      </c>
      <c r="M39">
        <f>Tabel2425678910111213141517161819212022232614151617[[#This Row],[Stand Latte Macchiato einde maand]]-Tabel2425678910111213141517161819212022232614151617[[#This Row],[Latte Macchiato vorige maand]]</f>
        <v>2</v>
      </c>
      <c r="N39" s="53">
        <v>859</v>
      </c>
      <c r="O39">
        <f>'mei2025'!N39</f>
        <v>845</v>
      </c>
      <c r="P39">
        <f>Tabel2425678910111213141517161819212022232614151617[[#This Row],[Stand Coffee Latte einde maand]]-Tabel2425678910111213141517161819212022232614151617[[#This Row],[Coffee Latte vorige maand]]</f>
        <v>14</v>
      </c>
      <c r="Q39" s="53">
        <v>18989</v>
      </c>
      <c r="R39">
        <f>'mei2025'!Q39</f>
        <v>18572</v>
      </c>
      <c r="S39">
        <f>Tabel2425678910111213141517161819212022232614151617[[#This Row],[Stand Hot Water einde maand]]-Tabel2425678910111213141517161819212022232614151617[[#This Row],[Hot Water vorige maand]]</f>
        <v>417</v>
      </c>
      <c r="T39" s="53">
        <v>4499</v>
      </c>
      <c r="U39">
        <f>'mei2025'!T39</f>
        <v>4399</v>
      </c>
      <c r="V39">
        <f>Tabel2425678910111213141517161819212022232614151617[[#This Row],[Stand Cappucino einde maand]]-Tabel2425678910111213141517161819212022232614151617[[#This Row],[Stand Cappucino vorige maand]]</f>
        <v>100</v>
      </c>
      <c r="W39" s="53">
        <v>360</v>
      </c>
      <c r="X39">
        <f>'mei2025'!W39</f>
        <v>356</v>
      </c>
      <c r="Y39">
        <f>Tabel2425678910111213141517161819212022232614151617[[#This Row],[Stand Cappucino Plantaardig einde maand]]-Tabel2425678910111213141517161819212022232614151617[[#This Row],[Stand Cappucino Plantaardig vorige maand]]</f>
        <v>4</v>
      </c>
      <c r="Z39" s="53">
        <v>237</v>
      </c>
      <c r="AA39">
        <f>'mei2025'!Z39</f>
        <v>230</v>
      </c>
      <c r="AB39">
        <f>Tabel2425678910111213141517161819212022232614151617[[#This Row],[Stand Latte Macchiato Plantaardig einde maand]]-Tabel2425678910111213141517161819212022232614151617[[#This Row],[Stand Latte Macchiato Plantaardig vorige maand]]</f>
        <v>7</v>
      </c>
      <c r="AC39" s="71">
        <f>Tabel2425678910111213141517161819212022232614151617[[#This Row],[Verbruik Stand Latte Macchiato Plantaardig deze maand]]+Tabel2425678910111213141517161819212022232614151617[[#This Row],[Verbruik  Cappucino Plantaardig deze maand]]+Tabel2425678910111213141517161819212022232614151617[[#This Row],[Verbruik Cappucino deze maand]]+Tabel2425678910111213141517161819212022232614151617[[#This Row],[Verbruik Hot Water deze maand]]+Tabel2425678910111213141517161819212022232614151617[[#This Row],[Verbruik Coffee Latte deze maand]]+Tabel2425678910111213141517161819212022232614151617[[#This Row],[Verbruik Latte Macchiato deze maand]]+Tabel2425678910111213141517161819212022232614151617[[#This Row],[Verbruik Espresso deze maand]]+Tabel2425678910111213141517161819212022232614151617[[#This Row],[Verbruik Coffee deze maand]]</f>
        <v>780</v>
      </c>
      <c r="AD39" s="69"/>
      <c r="AE39" s="41"/>
      <c r="AF39" s="5"/>
      <c r="AG39" s="5"/>
      <c r="AH39" s="75"/>
      <c r="AI39" s="41"/>
      <c r="AJ39" s="5"/>
      <c r="AK39" s="5"/>
      <c r="AL39" s="75"/>
      <c r="AM39" s="41"/>
      <c r="AN39" s="5"/>
      <c r="AO39" s="5"/>
      <c r="AP39" s="75"/>
      <c r="AQ39" s="41"/>
      <c r="AR39" s="5"/>
      <c r="AS39" s="5"/>
      <c r="AT39" s="75"/>
      <c r="AU39" s="41"/>
      <c r="AV39" s="5"/>
      <c r="AW39" s="5"/>
      <c r="AX39" s="79"/>
      <c r="AY39" s="95">
        <f>Tabel2425678910111213141517161819212022232614151617[[#This Row],[Subtotaal waterbar in consumpties]]+Tabel2425678910111213141517161819212022232614151617[[#This Row],[Subtotaal koffieautomaten]]</f>
        <v>780</v>
      </c>
    </row>
    <row r="40" spans="1:130" s="81" customFormat="1" ht="14.45" customHeight="1" x14ac:dyDescent="0.25">
      <c r="A40" s="80" t="s">
        <v>88</v>
      </c>
      <c r="D40" s="82"/>
      <c r="H40" s="86"/>
      <c r="K40" s="86"/>
      <c r="N40" s="86"/>
      <c r="Q40" s="86"/>
      <c r="T40" s="86"/>
      <c r="W40" s="86"/>
      <c r="Z40" s="86"/>
      <c r="AC40" s="85"/>
      <c r="AD40" s="86"/>
      <c r="AG40" s="87"/>
      <c r="AH40" s="86"/>
      <c r="AK40" s="87"/>
      <c r="AL40" s="86"/>
      <c r="AO40" s="87"/>
      <c r="AP40" s="86"/>
      <c r="AS40" s="87"/>
      <c r="AT40" s="86"/>
      <c r="AW40" s="87"/>
      <c r="AX40" s="88"/>
      <c r="AY40" s="94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</row>
    <row r="41" spans="1:130" ht="14.45" customHeight="1" x14ac:dyDescent="0.25">
      <c r="A41" s="65" t="s">
        <v>39</v>
      </c>
      <c r="B41" t="s">
        <v>89</v>
      </c>
      <c r="C41" t="s">
        <v>47</v>
      </c>
      <c r="E41">
        <v>9539</v>
      </c>
      <c r="F41">
        <f>'mei2025'!E41</f>
        <v>9147</v>
      </c>
      <c r="G41" s="40">
        <f>Tabel2425678910111213141517161819212022232614151617[[#This Row],[Stand Coffee einde maand]]-Tabel2425678910111213141517161819212022232614151617[[#This Row],[Coffee vorige maand]]</f>
        <v>392</v>
      </c>
      <c r="H41" s="53">
        <v>2317</v>
      </c>
      <c r="I41">
        <f>'mei2025'!H41</f>
        <v>2183</v>
      </c>
      <c r="J41" s="40">
        <f>Tabel2425678910111213141517161819212022232614151617[[#This Row],[Stand Espresso Einde maand]]-Tabel2425678910111213141517161819212022232614151617[[#This Row],[Espresso vorige maand]]</f>
        <v>134</v>
      </c>
      <c r="K41" s="53">
        <v>1204</v>
      </c>
      <c r="L41">
        <f>'mei2025'!K41</f>
        <v>1141</v>
      </c>
      <c r="M41" s="40">
        <f>Tabel2425678910111213141517161819212022232614151617[[#This Row],[Stand Latte Macchiato einde maand]]-Tabel2425678910111213141517161819212022232614151617[[#This Row],[Latte Macchiato vorige maand]]</f>
        <v>63</v>
      </c>
      <c r="N41" s="53">
        <v>633</v>
      </c>
      <c r="O41">
        <f>'mei2025'!N41</f>
        <v>600</v>
      </c>
      <c r="P41" s="40">
        <f>Tabel2425678910111213141517161819212022232614151617[[#This Row],[Stand Coffee Latte einde maand]]-Tabel2425678910111213141517161819212022232614151617[[#This Row],[Coffee Latte vorige maand]]</f>
        <v>33</v>
      </c>
      <c r="Q41" s="53">
        <v>4193</v>
      </c>
      <c r="R41">
        <f>'mei2025'!Q41</f>
        <v>4058</v>
      </c>
      <c r="S41" s="40">
        <f>Tabel2425678910111213141517161819212022232614151617[[#This Row],[Stand Hot Water einde maand]]-Tabel2425678910111213141517161819212022232614151617[[#This Row],[Hot Water vorige maand]]</f>
        <v>135</v>
      </c>
      <c r="T41" s="53">
        <v>7050</v>
      </c>
      <c r="U41">
        <f>'mei2025'!T41</f>
        <v>6788</v>
      </c>
      <c r="V41" s="40">
        <f>Tabel2425678910111213141517161819212022232614151617[[#This Row],[Stand Cappucino einde maand]]-Tabel2425678910111213141517161819212022232614151617[[#This Row],[Stand Cappucino vorige maand]]</f>
        <v>262</v>
      </c>
      <c r="W41" s="53">
        <v>618</v>
      </c>
      <c r="X41">
        <f>'mei2025'!W41</f>
        <v>585</v>
      </c>
      <c r="Y41" s="40">
        <f>Tabel2425678910111213141517161819212022232614151617[[#This Row],[Stand Cappucino Plantaardig einde maand]]-Tabel2425678910111213141517161819212022232614151617[[#This Row],[Stand Cappucino Plantaardig vorige maand]]</f>
        <v>33</v>
      </c>
      <c r="Z41" s="53">
        <v>210</v>
      </c>
      <c r="AA41">
        <f>'mei2025'!Z41</f>
        <v>206</v>
      </c>
      <c r="AB41" s="40">
        <f>Tabel2425678910111213141517161819212022232614151617[[#This Row],[Stand Latte Macchiato Plantaardig einde maand]]-Tabel2425678910111213141517161819212022232614151617[[#This Row],[Stand Latte Macchiato Plantaardig vorige maand]]</f>
        <v>4</v>
      </c>
      <c r="AC41" s="73">
        <f>Tabel2425678910111213141517161819212022232614151617[[#This Row],[Verbruik Stand Latte Macchiato Plantaardig deze maand]]+Tabel2425678910111213141517161819212022232614151617[[#This Row],[Verbruik  Cappucino Plantaardig deze maand]]+Tabel2425678910111213141517161819212022232614151617[[#This Row],[Verbruik Cappucino deze maand]]+Tabel2425678910111213141517161819212022232614151617[[#This Row],[Verbruik Hot Water deze maand]]+Tabel2425678910111213141517161819212022232614151617[[#This Row],[Verbruik Coffee Latte deze maand]]+Tabel2425678910111213141517161819212022232614151617[[#This Row],[Verbruik Latte Macchiato deze maand]]+Tabel2425678910111213141517161819212022232614151617[[#This Row],[Verbruik Espresso deze maand]]+Tabel2425678910111213141517161819212022232614151617[[#This Row],[Verbruik Coffee deze maand]]</f>
        <v>1056</v>
      </c>
      <c r="AD41" s="53">
        <v>198.2</v>
      </c>
      <c r="AE41">
        <f>'mei2025'!AD41</f>
        <v>186.4</v>
      </c>
      <c r="AF41">
        <f>Tabel2425678910111213141517161819212022232614151617[[#This Row],[Stand Kamertemp liter einde maand]]-Tabel2425678910111213141517161819212022232614151617[[#This Row],[Stand Kamertemp liter vorige maand]]</f>
        <v>11.799999999999983</v>
      </c>
      <c r="AG41" s="2">
        <f>Tabel2425678910111213141517161819212022232614151617[[#This Row],[Verbruik Kamertemp liter deze maand]]/0.15</f>
        <v>78.666666666666558</v>
      </c>
      <c r="AH41" s="53">
        <v>1363.4</v>
      </c>
      <c r="AI41">
        <f>'mei2025'!AH41</f>
        <v>1213.5</v>
      </c>
      <c r="AJ41">
        <f>Tabel2425678910111213141517161819212022232614151617[[#This Row],[Stand Gekoeld liter einde maand]]-Tabel2425678910111213141517161819212022232614151617[[#This Row],[Stand Gekoeld liter vorige maand]]</f>
        <v>149.90000000000009</v>
      </c>
      <c r="AK41" s="2">
        <f>Tabel2425678910111213141517161819212022232614151617[[#This Row],[Verbruik Gekoeld liter deze maand]]/0.15</f>
        <v>999.33333333333394</v>
      </c>
      <c r="AL41" s="53">
        <v>576.29999999999995</v>
      </c>
      <c r="AM41">
        <f>'mei2025'!AL41</f>
        <v>518.5</v>
      </c>
      <c r="AN41">
        <f>Tabel2425678910111213141517161819212022232614151617[[#This Row],[Stand Bruisend liter einde maand]]-Tabel2425678910111213141517161819212022232614151617[[#This Row],[Stand Bruisend liter vorige maand]]</f>
        <v>57.799999999999955</v>
      </c>
      <c r="AO41" s="2">
        <f>Tabel2425678910111213141517161819212022232614151617[[#This Row],[Verbruik Bruisend liter deze maand]]/0.15</f>
        <v>385.33333333333303</v>
      </c>
      <c r="AP41" s="53">
        <v>208.8</v>
      </c>
      <c r="AQ41">
        <f>'mei2025'!AP41</f>
        <v>192.2</v>
      </c>
      <c r="AR41">
        <f>Tabel2425678910111213141517161819212022232614151617[[#This Row],[Stand licht bruisend liter einde maand]]-Tabel2425678910111213141517161819212022232614151617[[#This Row],[Stand licht bruisend liter vorige maand]]</f>
        <v>16.600000000000023</v>
      </c>
      <c r="AS41" s="2">
        <f>Tabel2425678910111213141517161819212022232614151617[[#This Row],[Verbruik licht bruisend liter deze maand]]/0.15</f>
        <v>110.66666666666683</v>
      </c>
      <c r="AT41" s="53">
        <v>612.20000000000005</v>
      </c>
      <c r="AU41">
        <f>'mei2025'!AT41</f>
        <v>566</v>
      </c>
      <c r="AV41">
        <f>Tabel2425678910111213141517161819212022232614151617[[#This Row],[Stand heet water liter einde maand]]-Tabel2425678910111213141517161819212022232614151617[[#This Row],[Stand heet water liter vorige maand]]</f>
        <v>46.200000000000045</v>
      </c>
      <c r="AW41" s="2">
        <f>Tabel2425678910111213141517161819212022232614151617[[#This Row],[Verbruik heet Water liter deze maand ]]/0.15</f>
        <v>308.00000000000034</v>
      </c>
      <c r="AX41" s="77">
        <f>Tabel2425678910111213141517161819212022232614151617[[#This Row],[Aantal consumpties heet water deze maand]]+Tabel2425678910111213141517161819212022232614151617[[#This Row],[Aantal consumpties licht bruisend water deze maand]]+Tabel2425678910111213141517161819212022232614151617[[#This Row],[aantal consumpties Bruisend water deze maand]]+Tabel2425678910111213141517161819212022232614151617[[#This Row],[Aantal consumpties gekoeld water deze maand]]+Tabel2425678910111213141517161819212022232614151617[[#This Row],[Aantal consumpties Kamertemp deze maand]]</f>
        <v>1882.0000000000007</v>
      </c>
      <c r="AY41" s="95">
        <f>Tabel2425678910111213141517161819212022232614151617[[#This Row],[Subtotaal waterbar in consumpties]]+Tabel2425678910111213141517161819212022232614151617[[#This Row],[Subtotaal koffieautomaten]]</f>
        <v>2938.0000000000009</v>
      </c>
    </row>
    <row r="42" spans="1:130" ht="14.45" customHeight="1" x14ac:dyDescent="0.25">
      <c r="A42" s="65" t="s">
        <v>41</v>
      </c>
      <c r="B42" t="s">
        <v>90</v>
      </c>
      <c r="C42" t="s">
        <v>31</v>
      </c>
      <c r="E42">
        <v>13999</v>
      </c>
      <c r="F42">
        <f>'mei2025'!E42</f>
        <v>13732</v>
      </c>
      <c r="G42">
        <f>Tabel2425678910111213141517161819212022232614151617[[#This Row],[Stand Coffee einde maand]]-Tabel2425678910111213141517161819212022232614151617[[#This Row],[Coffee vorige maand]]</f>
        <v>267</v>
      </c>
      <c r="H42" s="53">
        <v>4662</v>
      </c>
      <c r="I42">
        <f>'mei2025'!H42</f>
        <v>4583</v>
      </c>
      <c r="J42">
        <f>Tabel2425678910111213141517161819212022232614151617[[#This Row],[Stand Espresso Einde maand]]-Tabel2425678910111213141517161819212022232614151617[[#This Row],[Espresso vorige maand]]</f>
        <v>79</v>
      </c>
      <c r="K42" s="53">
        <v>1191</v>
      </c>
      <c r="L42">
        <f>'mei2025'!K42</f>
        <v>1160</v>
      </c>
      <c r="M42">
        <f>Tabel2425678910111213141517161819212022232614151617[[#This Row],[Stand Latte Macchiato einde maand]]-Tabel2425678910111213141517161819212022232614151617[[#This Row],[Latte Macchiato vorige maand]]</f>
        <v>31</v>
      </c>
      <c r="N42" s="53">
        <v>2393</v>
      </c>
      <c r="O42">
        <f>'mei2025'!N42</f>
        <v>2316</v>
      </c>
      <c r="P42">
        <f>Tabel2425678910111213141517161819212022232614151617[[#This Row],[Stand Coffee Latte einde maand]]-Tabel2425678910111213141517161819212022232614151617[[#This Row],[Coffee Latte vorige maand]]</f>
        <v>77</v>
      </c>
      <c r="Q42" s="53">
        <v>42170</v>
      </c>
      <c r="R42">
        <f>'mei2025'!Q42</f>
        <v>41226</v>
      </c>
      <c r="S42">
        <f>Tabel2425678910111213141517161819212022232614151617[[#This Row],[Stand Hot Water einde maand]]-Tabel2425678910111213141517161819212022232614151617[[#This Row],[Hot Water vorige maand]]</f>
        <v>944</v>
      </c>
      <c r="T42" s="53">
        <v>6492</v>
      </c>
      <c r="U42">
        <f>'mei2025'!T42</f>
        <v>6274</v>
      </c>
      <c r="V42">
        <f>Tabel2425678910111213141517161819212022232614151617[[#This Row],[Stand Cappucino einde maand]]-Tabel2425678910111213141517161819212022232614151617[[#This Row],[Stand Cappucino vorige maand]]</f>
        <v>218</v>
      </c>
      <c r="W42" s="53">
        <v>491</v>
      </c>
      <c r="X42">
        <f>'mei2025'!W42</f>
        <v>481</v>
      </c>
      <c r="Y42">
        <f>Tabel2425678910111213141517161819212022232614151617[[#This Row],[Stand Cappucino Plantaardig einde maand]]-Tabel2425678910111213141517161819212022232614151617[[#This Row],[Stand Cappucino Plantaardig vorige maand]]</f>
        <v>10</v>
      </c>
      <c r="Z42" s="53">
        <v>463</v>
      </c>
      <c r="AA42">
        <f>'mei2025'!Z42</f>
        <v>438</v>
      </c>
      <c r="AB42">
        <f>Tabel2425678910111213141517161819212022232614151617[[#This Row],[Stand Latte Macchiato Plantaardig einde maand]]-Tabel2425678910111213141517161819212022232614151617[[#This Row],[Stand Latte Macchiato Plantaardig vorige maand]]</f>
        <v>25</v>
      </c>
      <c r="AC42" s="71">
        <f>Tabel2425678910111213141517161819212022232614151617[[#This Row],[Verbruik Stand Latte Macchiato Plantaardig deze maand]]+Tabel2425678910111213141517161819212022232614151617[[#This Row],[Verbruik  Cappucino Plantaardig deze maand]]+Tabel2425678910111213141517161819212022232614151617[[#This Row],[Verbruik Cappucino deze maand]]+Tabel2425678910111213141517161819212022232614151617[[#This Row],[Verbruik Hot Water deze maand]]+Tabel2425678910111213141517161819212022232614151617[[#This Row],[Verbruik Coffee Latte deze maand]]+Tabel2425678910111213141517161819212022232614151617[[#This Row],[Verbruik Latte Macchiato deze maand]]+Tabel2425678910111213141517161819212022232614151617[[#This Row],[Verbruik Espresso deze maand]]+Tabel2425678910111213141517161819212022232614151617[[#This Row],[Verbruik Coffee deze maand]]</f>
        <v>1651</v>
      </c>
      <c r="AD42" s="69"/>
      <c r="AE42" s="41"/>
      <c r="AF42" s="5"/>
      <c r="AG42" s="5"/>
      <c r="AH42" s="75"/>
      <c r="AI42" s="41"/>
      <c r="AJ42" s="5"/>
      <c r="AK42" s="5"/>
      <c r="AL42" s="75"/>
      <c r="AM42" s="41"/>
      <c r="AN42" s="5"/>
      <c r="AO42" s="5"/>
      <c r="AP42" s="75"/>
      <c r="AQ42" s="41"/>
      <c r="AR42" s="5"/>
      <c r="AS42" s="5"/>
      <c r="AT42" s="75"/>
      <c r="AU42" s="41"/>
      <c r="AV42" s="5"/>
      <c r="AW42" s="5"/>
      <c r="AX42" s="79"/>
      <c r="AY42" s="95">
        <f>Tabel2425678910111213141517161819212022232614151617[[#This Row],[Subtotaal waterbar in consumpties]]+Tabel2425678910111213141517161819212022232614151617[[#This Row],[Subtotaal koffieautomaten]]</f>
        <v>1651</v>
      </c>
    </row>
    <row r="43" spans="1:130" ht="14.45" customHeight="1" x14ac:dyDescent="0.25">
      <c r="A43" s="65" t="s">
        <v>43</v>
      </c>
      <c r="B43" t="s">
        <v>91</v>
      </c>
      <c r="C43" t="s">
        <v>47</v>
      </c>
      <c r="E43">
        <v>16064</v>
      </c>
      <c r="F43">
        <f>'mei2025'!E43</f>
        <v>15609</v>
      </c>
      <c r="G43">
        <f>Tabel2425678910111213141517161819212022232614151617[[#This Row],[Stand Coffee einde maand]]-Tabel2425678910111213141517161819212022232614151617[[#This Row],[Coffee vorige maand]]</f>
        <v>455</v>
      </c>
      <c r="H43" s="53">
        <v>3170</v>
      </c>
      <c r="I43">
        <f>'mei2025'!H43</f>
        <v>3052</v>
      </c>
      <c r="J43">
        <f>Tabel2425678910111213141517161819212022232614151617[[#This Row],[Stand Espresso Einde maand]]-Tabel2425678910111213141517161819212022232614151617[[#This Row],[Espresso vorige maand]]</f>
        <v>118</v>
      </c>
      <c r="K43" s="53">
        <v>768</v>
      </c>
      <c r="L43">
        <f>'mei2025'!K43</f>
        <v>744</v>
      </c>
      <c r="M43">
        <f>Tabel2425678910111213141517161819212022232614151617[[#This Row],[Stand Latte Macchiato einde maand]]-Tabel2425678910111213141517161819212022232614151617[[#This Row],[Latte Macchiato vorige maand]]</f>
        <v>24</v>
      </c>
      <c r="N43" s="53">
        <v>1290</v>
      </c>
      <c r="O43">
        <f>'mei2025'!N43</f>
        <v>1264</v>
      </c>
      <c r="P43">
        <f>Tabel2425678910111213141517161819212022232614151617[[#This Row],[Stand Coffee Latte einde maand]]-Tabel2425678910111213141517161819212022232614151617[[#This Row],[Coffee Latte vorige maand]]</f>
        <v>26</v>
      </c>
      <c r="Q43" s="53">
        <v>1632</v>
      </c>
      <c r="R43">
        <f>'mei2025'!Q43</f>
        <v>1611</v>
      </c>
      <c r="S43">
        <f>Tabel2425678910111213141517161819212022232614151617[[#This Row],[Stand Hot Water einde maand]]-Tabel2425678910111213141517161819212022232614151617[[#This Row],[Hot Water vorige maand]]</f>
        <v>21</v>
      </c>
      <c r="T43" s="53">
        <v>4891</v>
      </c>
      <c r="U43">
        <f>'mei2025'!T43</f>
        <v>4774</v>
      </c>
      <c r="V43">
        <f>Tabel2425678910111213141517161819212022232614151617[[#This Row],[Stand Cappucino einde maand]]-Tabel2425678910111213141517161819212022232614151617[[#This Row],[Stand Cappucino vorige maand]]</f>
        <v>117</v>
      </c>
      <c r="W43" s="53">
        <v>3559</v>
      </c>
      <c r="X43">
        <f>'mei2025'!W43</f>
        <v>3489</v>
      </c>
      <c r="Y43">
        <f>Tabel2425678910111213141517161819212022232614151617[[#This Row],[Stand Cappucino Plantaardig einde maand]]-Tabel2425678910111213141517161819212022232614151617[[#This Row],[Stand Cappucino Plantaardig vorige maand]]</f>
        <v>70</v>
      </c>
      <c r="Z43" s="53">
        <v>416</v>
      </c>
      <c r="AA43">
        <f>'mei2025'!Z43</f>
        <v>405</v>
      </c>
      <c r="AB43">
        <f>Tabel2425678910111213141517161819212022232614151617[[#This Row],[Stand Latte Macchiato Plantaardig einde maand]]-Tabel2425678910111213141517161819212022232614151617[[#This Row],[Stand Latte Macchiato Plantaardig vorige maand]]</f>
        <v>11</v>
      </c>
      <c r="AC43" s="71">
        <f>Tabel2425678910111213141517161819212022232614151617[[#This Row],[Verbruik Stand Latte Macchiato Plantaardig deze maand]]+Tabel2425678910111213141517161819212022232614151617[[#This Row],[Verbruik  Cappucino Plantaardig deze maand]]+Tabel2425678910111213141517161819212022232614151617[[#This Row],[Verbruik Cappucino deze maand]]+Tabel2425678910111213141517161819212022232614151617[[#This Row],[Verbruik Hot Water deze maand]]+Tabel2425678910111213141517161819212022232614151617[[#This Row],[Verbruik Coffee Latte deze maand]]+Tabel2425678910111213141517161819212022232614151617[[#This Row],[Verbruik Latte Macchiato deze maand]]+Tabel2425678910111213141517161819212022232614151617[[#This Row],[Verbruik Espresso deze maand]]+Tabel2425678910111213141517161819212022232614151617[[#This Row],[Verbruik Coffee deze maand]]</f>
        <v>842</v>
      </c>
      <c r="AD43" s="53">
        <v>282.39999999999998</v>
      </c>
      <c r="AE43">
        <f>'mei2025'!AD43</f>
        <v>251.5</v>
      </c>
      <c r="AF43">
        <f>Tabel2425678910111213141517161819212022232614151617[[#This Row],[Stand Kamertemp liter einde maand]]-Tabel2425678910111213141517161819212022232614151617[[#This Row],[Stand Kamertemp liter vorige maand]]</f>
        <v>30.899999999999977</v>
      </c>
      <c r="AG43" s="2">
        <f>Tabel2425678910111213141517161819212022232614151617[[#This Row],[Verbruik Kamertemp liter deze maand]]/0.15</f>
        <v>205.99999999999986</v>
      </c>
      <c r="AH43" s="53">
        <v>1755.8</v>
      </c>
      <c r="AI43">
        <f>'mei2025'!AH43</f>
        <v>1621.9</v>
      </c>
      <c r="AJ43">
        <f>Tabel2425678910111213141517161819212022232614151617[[#This Row],[Stand Gekoeld liter einde maand]]-Tabel2425678910111213141517161819212022232614151617[[#This Row],[Stand Gekoeld liter vorige maand]]</f>
        <v>133.89999999999986</v>
      </c>
      <c r="AK43" s="2">
        <f>Tabel2425678910111213141517161819212022232614151617[[#This Row],[Verbruik Gekoeld liter deze maand]]/0.15</f>
        <v>892.66666666666583</v>
      </c>
      <c r="AL43" s="53">
        <v>1221.5999999999999</v>
      </c>
      <c r="AM43">
        <f>'mei2025'!AL43</f>
        <v>1122.5999999999999</v>
      </c>
      <c r="AN43">
        <f>Tabel2425678910111213141517161819212022232614151617[[#This Row],[Stand Bruisend liter einde maand]]-Tabel2425678910111213141517161819212022232614151617[[#This Row],[Stand Bruisend liter vorige maand]]</f>
        <v>99</v>
      </c>
      <c r="AO43" s="2">
        <f>Tabel2425678910111213141517161819212022232614151617[[#This Row],[Verbruik Bruisend liter deze maand]]/0.15</f>
        <v>660</v>
      </c>
      <c r="AP43" s="53">
        <v>453.6</v>
      </c>
      <c r="AQ43">
        <f>'mei2025'!AP43</f>
        <v>426.9</v>
      </c>
      <c r="AR43">
        <f>Tabel2425678910111213141517161819212022232614151617[[#This Row],[Stand licht bruisend liter einde maand]]-Tabel2425678910111213141517161819212022232614151617[[#This Row],[Stand licht bruisend liter vorige maand]]</f>
        <v>26.700000000000045</v>
      </c>
      <c r="AS43" s="2">
        <f>Tabel2425678910111213141517161819212022232614151617[[#This Row],[Verbruik licht bruisend liter deze maand]]/0.15</f>
        <v>178.00000000000031</v>
      </c>
      <c r="AT43" s="53">
        <v>4800.2</v>
      </c>
      <c r="AU43">
        <f>'mei2025'!AT43</f>
        <v>4525.3</v>
      </c>
      <c r="AV43">
        <f>Tabel2425678910111213141517161819212022232614151617[[#This Row],[Stand heet water liter einde maand]]-Tabel2425678910111213141517161819212022232614151617[[#This Row],[Stand heet water liter vorige maand]]</f>
        <v>274.89999999999964</v>
      </c>
      <c r="AW43" s="2">
        <f>Tabel2425678910111213141517161819212022232614151617[[#This Row],[Verbruik heet Water liter deze maand ]]/0.15</f>
        <v>1832.6666666666642</v>
      </c>
      <c r="AX43" s="77">
        <f>Tabel2425678910111213141517161819212022232614151617[[#This Row],[Aantal consumpties heet water deze maand]]+Tabel2425678910111213141517161819212022232614151617[[#This Row],[Aantal consumpties licht bruisend water deze maand]]+Tabel2425678910111213141517161819212022232614151617[[#This Row],[aantal consumpties Bruisend water deze maand]]+Tabel2425678910111213141517161819212022232614151617[[#This Row],[Aantal consumpties gekoeld water deze maand]]+Tabel2425678910111213141517161819212022232614151617[[#This Row],[Aantal consumpties Kamertemp deze maand]]</f>
        <v>3769.3333333333303</v>
      </c>
      <c r="AY43" s="95">
        <f>Tabel2425678910111213141517161819212022232614151617[[#This Row],[Subtotaal waterbar in consumpties]]+Tabel2425678910111213141517161819212022232614151617[[#This Row],[Subtotaal koffieautomaten]]</f>
        <v>4611.3333333333303</v>
      </c>
    </row>
    <row r="44" spans="1:130" ht="14.45" customHeight="1" x14ac:dyDescent="0.25">
      <c r="A44" s="65" t="s">
        <v>45</v>
      </c>
      <c r="B44" t="s">
        <v>92</v>
      </c>
      <c r="C44" t="s">
        <v>36</v>
      </c>
      <c r="E44" s="46"/>
      <c r="F44" s="46"/>
      <c r="G44" s="47"/>
      <c r="H44" s="54"/>
      <c r="I44" s="46"/>
      <c r="J44" s="47"/>
      <c r="K44" s="54"/>
      <c r="L44" s="46"/>
      <c r="M44" s="47"/>
      <c r="N44" s="54"/>
      <c r="O44" s="46"/>
      <c r="P44" s="47"/>
      <c r="Q44" s="54"/>
      <c r="R44" s="46"/>
      <c r="S44" s="47"/>
      <c r="T44" s="54"/>
      <c r="U44" s="46"/>
      <c r="V44" s="47"/>
      <c r="W44" s="54"/>
      <c r="X44" s="46"/>
      <c r="Y44" s="47"/>
      <c r="Z44" s="54"/>
      <c r="AA44" s="46"/>
      <c r="AB44" s="47"/>
      <c r="AC44" s="72"/>
      <c r="AD44" s="53">
        <v>221</v>
      </c>
      <c r="AE44">
        <f>'mei2025'!AD44</f>
        <v>202.2</v>
      </c>
      <c r="AF44">
        <f>Tabel2425678910111213141517161819212022232614151617[[#This Row],[Stand Kamertemp liter einde maand]]-Tabel2425678910111213141517161819212022232614151617[[#This Row],[Stand Kamertemp liter vorige maand]]</f>
        <v>18.800000000000011</v>
      </c>
      <c r="AG44" s="2">
        <f>Tabel2425678910111213141517161819212022232614151617[[#This Row],[Verbruik Kamertemp liter deze maand]]/0.15</f>
        <v>125.33333333333341</v>
      </c>
      <c r="AH44" s="53">
        <v>613</v>
      </c>
      <c r="AI44">
        <f>'mei2025'!AH44</f>
        <v>557.1</v>
      </c>
      <c r="AJ44">
        <f>Tabel2425678910111213141517161819212022232614151617[[#This Row],[Stand Gekoeld liter einde maand]]-Tabel2425678910111213141517161819212022232614151617[[#This Row],[Stand Gekoeld liter vorige maand]]</f>
        <v>55.899999999999977</v>
      </c>
      <c r="AK44" s="2">
        <f>Tabel2425678910111213141517161819212022232614151617[[#This Row],[Verbruik Gekoeld liter deze maand]]/0.15</f>
        <v>372.66666666666652</v>
      </c>
      <c r="AL44" s="53">
        <v>695.5</v>
      </c>
      <c r="AM44">
        <f>'mei2025'!AL44</f>
        <v>628.4</v>
      </c>
      <c r="AN44">
        <f>Tabel2425678910111213141517161819212022232614151617[[#This Row],[Stand Bruisend liter einde maand]]-Tabel2425678910111213141517161819212022232614151617[[#This Row],[Stand Bruisend liter vorige maand]]</f>
        <v>67.100000000000023</v>
      </c>
      <c r="AO44" s="2">
        <f>Tabel2425678910111213141517161819212022232614151617[[#This Row],[Verbruik Bruisend liter deze maand]]/0.15</f>
        <v>447.33333333333348</v>
      </c>
      <c r="AP44" s="53">
        <v>220.1</v>
      </c>
      <c r="AQ44">
        <f>'mei2025'!AP44</f>
        <v>183.9</v>
      </c>
      <c r="AR44">
        <f>Tabel2425678910111213141517161819212022232614151617[[#This Row],[Stand licht bruisend liter einde maand]]-Tabel2425678910111213141517161819212022232614151617[[#This Row],[Stand licht bruisend liter vorige maand]]</f>
        <v>36.199999999999989</v>
      </c>
      <c r="AS44" s="2">
        <f>Tabel2425678910111213141517161819212022232614151617[[#This Row],[Verbruik licht bruisend liter deze maand]]/0.15</f>
        <v>241.33333333333326</v>
      </c>
      <c r="AT44" s="53">
        <v>2248.4</v>
      </c>
      <c r="AU44">
        <f>'mei2025'!AT44</f>
        <v>2080.1</v>
      </c>
      <c r="AV44">
        <f>Tabel2425678910111213141517161819212022232614151617[[#This Row],[Stand heet water liter einde maand]]-Tabel2425678910111213141517161819212022232614151617[[#This Row],[Stand heet water liter vorige maand]]</f>
        <v>168.30000000000018</v>
      </c>
      <c r="AW44" s="2">
        <f>Tabel2425678910111213141517161819212022232614151617[[#This Row],[Verbruik heet Water liter deze maand ]]/0.15</f>
        <v>1122.0000000000014</v>
      </c>
      <c r="AX44" s="77">
        <f>Tabel2425678910111213141517161819212022232614151617[[#This Row],[Aantal consumpties heet water deze maand]]+Tabel2425678910111213141517161819212022232614151617[[#This Row],[Aantal consumpties licht bruisend water deze maand]]+Tabel2425678910111213141517161819212022232614151617[[#This Row],[aantal consumpties Bruisend water deze maand]]+Tabel2425678910111213141517161819212022232614151617[[#This Row],[Aantal consumpties gekoeld water deze maand]]+Tabel2425678910111213141517161819212022232614151617[[#This Row],[Aantal consumpties Kamertemp deze maand]]</f>
        <v>2308.6666666666683</v>
      </c>
      <c r="AY44" s="95">
        <f>Tabel2425678910111213141517161819212022232614151617[[#This Row],[Subtotaal waterbar in consumpties]]+Tabel2425678910111213141517161819212022232614151617[[#This Row],[Subtotaal koffieautomaten]]</f>
        <v>2308.6666666666683</v>
      </c>
    </row>
    <row r="45" spans="1:130" ht="14.45" customHeight="1" x14ac:dyDescent="0.25">
      <c r="A45" s="65" t="s">
        <v>48</v>
      </c>
      <c r="B45" t="s">
        <v>158</v>
      </c>
      <c r="C45" t="s">
        <v>31</v>
      </c>
      <c r="E45">
        <v>27569</v>
      </c>
      <c r="F45">
        <f>'mei2025'!E45</f>
        <v>26724</v>
      </c>
      <c r="G45">
        <f>Tabel2425678910111213141517161819212022232614151617[[#This Row],[Stand Coffee einde maand]]-Tabel2425678910111213141517161819212022232614151617[[#This Row],[Coffee vorige maand]]</f>
        <v>845</v>
      </c>
      <c r="H45" s="53">
        <v>7106</v>
      </c>
      <c r="I45">
        <f>'mei2025'!H45</f>
        <v>6910</v>
      </c>
      <c r="J45">
        <f>Tabel2425678910111213141517161819212022232614151617[[#This Row],[Stand Espresso Einde maand]]-Tabel2425678910111213141517161819212022232614151617[[#This Row],[Espresso vorige maand]]</f>
        <v>196</v>
      </c>
      <c r="K45" s="53">
        <v>2769</v>
      </c>
      <c r="L45">
        <f>'mei2025'!K45</f>
        <v>2678</v>
      </c>
      <c r="M45">
        <f>Tabel2425678910111213141517161819212022232614151617[[#This Row],[Stand Latte Macchiato einde maand]]-Tabel2425678910111213141517161819212022232614151617[[#This Row],[Latte Macchiato vorige maand]]</f>
        <v>91</v>
      </c>
      <c r="N45" s="53">
        <v>611</v>
      </c>
      <c r="O45">
        <f>'mei2025'!N45</f>
        <v>582</v>
      </c>
      <c r="P45">
        <f>Tabel2425678910111213141517161819212022232614151617[[#This Row],[Stand Coffee Latte einde maand]]-Tabel2425678910111213141517161819212022232614151617[[#This Row],[Coffee Latte vorige maand]]</f>
        <v>29</v>
      </c>
      <c r="Q45" s="53">
        <v>26473</v>
      </c>
      <c r="R45">
        <f>'mei2025'!Q45</f>
        <v>25732</v>
      </c>
      <c r="S45">
        <f>Tabel2425678910111213141517161819212022232614151617[[#This Row],[Stand Hot Water einde maand]]-Tabel2425678910111213141517161819212022232614151617[[#This Row],[Hot Water vorige maand]]</f>
        <v>741</v>
      </c>
      <c r="T45" s="53">
        <v>10053</v>
      </c>
      <c r="U45">
        <f>'mei2025'!T45</f>
        <v>9799</v>
      </c>
      <c r="V45">
        <f>Tabel2425678910111213141517161819212022232614151617[[#This Row],[Stand Cappucino einde maand]]-Tabel2425678910111213141517161819212022232614151617[[#This Row],[Stand Cappucino vorige maand]]</f>
        <v>254</v>
      </c>
      <c r="W45" s="53">
        <v>1624</v>
      </c>
      <c r="X45">
        <f>'mei2025'!W45</f>
        <v>1594</v>
      </c>
      <c r="Y45">
        <f>Tabel2425678910111213141517161819212022232614151617[[#This Row],[Stand Cappucino Plantaardig einde maand]]-Tabel2425678910111213141517161819212022232614151617[[#This Row],[Stand Cappucino Plantaardig vorige maand]]</f>
        <v>30</v>
      </c>
      <c r="Z45" s="53">
        <v>1256</v>
      </c>
      <c r="AA45">
        <f>'mei2025'!Z45</f>
        <v>1213</v>
      </c>
      <c r="AB45">
        <f>Tabel2425678910111213141517161819212022232614151617[[#This Row],[Stand Latte Macchiato Plantaardig einde maand]]-Tabel2425678910111213141517161819212022232614151617[[#This Row],[Stand Latte Macchiato Plantaardig vorige maand]]</f>
        <v>43</v>
      </c>
      <c r="AC45" s="71">
        <f>Tabel2425678910111213141517161819212022232614151617[[#This Row],[Verbruik Stand Latte Macchiato Plantaardig deze maand]]+Tabel2425678910111213141517161819212022232614151617[[#This Row],[Verbruik  Cappucino Plantaardig deze maand]]+Tabel2425678910111213141517161819212022232614151617[[#This Row],[Verbruik Cappucino deze maand]]+Tabel2425678910111213141517161819212022232614151617[[#This Row],[Verbruik Hot Water deze maand]]+Tabel2425678910111213141517161819212022232614151617[[#This Row],[Verbruik Coffee Latte deze maand]]+Tabel2425678910111213141517161819212022232614151617[[#This Row],[Verbruik Latte Macchiato deze maand]]+Tabel2425678910111213141517161819212022232614151617[[#This Row],[Verbruik Espresso deze maand]]+Tabel2425678910111213141517161819212022232614151617[[#This Row],[Verbruik Coffee deze maand]]</f>
        <v>2229</v>
      </c>
      <c r="AD45" s="69"/>
      <c r="AE45" s="41"/>
      <c r="AF45" s="5"/>
      <c r="AG45" s="5"/>
      <c r="AH45" s="75"/>
      <c r="AI45" s="41"/>
      <c r="AJ45" s="5"/>
      <c r="AK45" s="5"/>
      <c r="AL45" s="75"/>
      <c r="AM45" s="41"/>
      <c r="AN45" s="5"/>
      <c r="AO45" s="5"/>
      <c r="AP45" s="75"/>
      <c r="AQ45" s="41"/>
      <c r="AR45" s="5"/>
      <c r="AS45" s="5"/>
      <c r="AT45" s="75"/>
      <c r="AU45" s="41"/>
      <c r="AV45" s="5"/>
      <c r="AW45" s="5"/>
      <c r="AX45" s="79"/>
      <c r="AY45" s="95">
        <f>Tabel2425678910111213141517161819212022232614151617[[#This Row],[Subtotaal waterbar in consumpties]]+Tabel2425678910111213141517161819212022232614151617[[#This Row],[Subtotaal koffieautomaten]]</f>
        <v>2229</v>
      </c>
    </row>
    <row r="46" spans="1:130" ht="14.45" customHeight="1" x14ac:dyDescent="0.25">
      <c r="A46" s="65" t="s">
        <v>50</v>
      </c>
      <c r="B46" t="s">
        <v>93</v>
      </c>
      <c r="C46" t="s">
        <v>36</v>
      </c>
      <c r="E46" s="46"/>
      <c r="F46" s="46"/>
      <c r="G46" s="47"/>
      <c r="H46" s="54"/>
      <c r="I46" s="46"/>
      <c r="J46" s="47"/>
      <c r="K46" s="54"/>
      <c r="L46" s="46"/>
      <c r="M46" s="47"/>
      <c r="N46" s="54"/>
      <c r="O46" s="46"/>
      <c r="P46" s="47"/>
      <c r="Q46" s="54"/>
      <c r="R46" s="46"/>
      <c r="S46" s="47"/>
      <c r="T46" s="54"/>
      <c r="U46" s="46"/>
      <c r="V46" s="47"/>
      <c r="W46" s="54"/>
      <c r="X46" s="46"/>
      <c r="Y46" s="47"/>
      <c r="Z46" s="54"/>
      <c r="AA46" s="46"/>
      <c r="AB46" s="47"/>
      <c r="AC46" s="72"/>
      <c r="AD46" s="53">
        <v>86.9</v>
      </c>
      <c r="AE46">
        <f>'mei2025'!AD46</f>
        <v>78</v>
      </c>
      <c r="AF46">
        <f>Tabel2425678910111213141517161819212022232614151617[[#This Row],[Stand Kamertemp liter einde maand]]-Tabel2425678910111213141517161819212022232614151617[[#This Row],[Stand Kamertemp liter vorige maand]]</f>
        <v>8.9000000000000057</v>
      </c>
      <c r="AG46" s="2">
        <f>Tabel2425678910111213141517161819212022232614151617[[#This Row],[Verbruik Kamertemp liter deze maand]]/0.15</f>
        <v>59.333333333333371</v>
      </c>
      <c r="AH46" s="53">
        <v>653.5</v>
      </c>
      <c r="AI46">
        <f>'mei2025'!AH46</f>
        <v>585.20000000000005</v>
      </c>
      <c r="AJ46">
        <f>Tabel2425678910111213141517161819212022232614151617[[#This Row],[Stand Gekoeld liter einde maand]]-Tabel2425678910111213141517161819212022232614151617[[#This Row],[Stand Gekoeld liter vorige maand]]</f>
        <v>68.299999999999955</v>
      </c>
      <c r="AK46" s="2">
        <f>Tabel2425678910111213141517161819212022232614151617[[#This Row],[Verbruik Gekoeld liter deze maand]]/0.15</f>
        <v>455.33333333333303</v>
      </c>
      <c r="AL46" s="53">
        <v>338.4</v>
      </c>
      <c r="AM46">
        <f>'mei2025'!AL46</f>
        <v>308.10000000000002</v>
      </c>
      <c r="AN46">
        <f>Tabel2425678910111213141517161819212022232614151617[[#This Row],[Stand Bruisend liter einde maand]]-Tabel2425678910111213141517161819212022232614151617[[#This Row],[Stand Bruisend liter vorige maand]]</f>
        <v>30.299999999999955</v>
      </c>
      <c r="AO46" s="2">
        <f>Tabel2425678910111213141517161819212022232614151617[[#This Row],[Verbruik Bruisend liter deze maand]]/0.15</f>
        <v>201.99999999999972</v>
      </c>
      <c r="AP46" s="53">
        <v>132.69999999999999</v>
      </c>
      <c r="AQ46">
        <f>'mei2025'!AP46</f>
        <v>124.6</v>
      </c>
      <c r="AR46">
        <f>Tabel2425678910111213141517161819212022232614151617[[#This Row],[Stand licht bruisend liter einde maand]]-Tabel2425678910111213141517161819212022232614151617[[#This Row],[Stand licht bruisend liter vorige maand]]</f>
        <v>8.0999999999999943</v>
      </c>
      <c r="AS46" s="2">
        <f>Tabel2425678910111213141517161819212022232614151617[[#This Row],[Verbruik licht bruisend liter deze maand]]/0.15</f>
        <v>53.999999999999964</v>
      </c>
      <c r="AT46" s="53">
        <v>1370.5</v>
      </c>
      <c r="AU46">
        <f>'mei2025'!AT46</f>
        <v>1307.5999999999999</v>
      </c>
      <c r="AV46">
        <f>Tabel2425678910111213141517161819212022232614151617[[#This Row],[Stand heet water liter einde maand]]-Tabel2425678910111213141517161819212022232614151617[[#This Row],[Stand heet water liter vorige maand]]</f>
        <v>62.900000000000091</v>
      </c>
      <c r="AW46" s="2">
        <f>Tabel2425678910111213141517161819212022232614151617[[#This Row],[Verbruik heet Water liter deze maand ]]/0.15</f>
        <v>419.33333333333394</v>
      </c>
      <c r="AX46" s="77">
        <f>Tabel2425678910111213141517161819212022232614151617[[#This Row],[Aantal consumpties heet water deze maand]]+Tabel2425678910111213141517161819212022232614151617[[#This Row],[Aantal consumpties licht bruisend water deze maand]]+Tabel2425678910111213141517161819212022232614151617[[#This Row],[aantal consumpties Bruisend water deze maand]]+Tabel2425678910111213141517161819212022232614151617[[#This Row],[Aantal consumpties gekoeld water deze maand]]+Tabel2425678910111213141517161819212022232614151617[[#This Row],[Aantal consumpties Kamertemp deze maand]]</f>
        <v>1190</v>
      </c>
      <c r="AY46" s="95">
        <f>Tabel2425678910111213141517161819212022232614151617[[#This Row],[Subtotaal waterbar in consumpties]]+Tabel2425678910111213141517161819212022232614151617[[#This Row],[Subtotaal koffieautomaten]]</f>
        <v>1190</v>
      </c>
    </row>
    <row r="47" spans="1:130" ht="14.45" customHeight="1" x14ac:dyDescent="0.25">
      <c r="A47" s="67">
        <v>10</v>
      </c>
      <c r="B47" t="s">
        <v>94</v>
      </c>
      <c r="C47" t="s">
        <v>31</v>
      </c>
      <c r="E47">
        <v>10030</v>
      </c>
      <c r="F47">
        <f>'mei2025'!E47</f>
        <v>9765</v>
      </c>
      <c r="G47">
        <f>Tabel2425678910111213141517161819212022232614151617[[#This Row],[Stand Coffee einde maand]]-Tabel2425678910111213141517161819212022232614151617[[#This Row],[Coffee vorige maand]]</f>
        <v>265</v>
      </c>
      <c r="H47" s="53">
        <v>7945</v>
      </c>
      <c r="I47">
        <f>'mei2025'!H47</f>
        <v>7812</v>
      </c>
      <c r="J47">
        <f>Tabel2425678910111213141517161819212022232614151617[[#This Row],[Stand Espresso Einde maand]]-Tabel2425678910111213141517161819212022232614151617[[#This Row],[Espresso vorige maand]]</f>
        <v>133</v>
      </c>
      <c r="K47" s="53">
        <v>1316</v>
      </c>
      <c r="L47">
        <f>'mei2025'!K47</f>
        <v>1270</v>
      </c>
      <c r="M47">
        <f>Tabel2425678910111213141517161819212022232614151617[[#This Row],[Stand Latte Macchiato einde maand]]-Tabel2425678910111213141517161819212022232614151617[[#This Row],[Latte Macchiato vorige maand]]</f>
        <v>46</v>
      </c>
      <c r="N47" s="53">
        <v>923</v>
      </c>
      <c r="O47">
        <f>'mei2025'!N47</f>
        <v>914</v>
      </c>
      <c r="P47">
        <f>Tabel2425678910111213141517161819212022232614151617[[#This Row],[Stand Coffee Latte einde maand]]-Tabel2425678910111213141517161819212022232614151617[[#This Row],[Coffee Latte vorige maand]]</f>
        <v>9</v>
      </c>
      <c r="Q47" s="53">
        <v>20322</v>
      </c>
      <c r="R47">
        <f>'mei2025'!Q47</f>
        <v>19901</v>
      </c>
      <c r="S47">
        <f>Tabel2425678910111213141517161819212022232614151617[[#This Row],[Stand Hot Water einde maand]]-Tabel2425678910111213141517161819212022232614151617[[#This Row],[Hot Water vorige maand]]</f>
        <v>421</v>
      </c>
      <c r="T47" s="53">
        <v>7802</v>
      </c>
      <c r="U47">
        <f>'mei2025'!T47</f>
        <v>7659</v>
      </c>
      <c r="V47">
        <f>Tabel2425678910111213141517161819212022232614151617[[#This Row],[Stand Cappucino einde maand]]-Tabel2425678910111213141517161819212022232614151617[[#This Row],[Stand Cappucino vorige maand]]</f>
        <v>143</v>
      </c>
      <c r="W47" s="53">
        <v>1071</v>
      </c>
      <c r="X47">
        <f>'mei2025'!W47</f>
        <v>1057</v>
      </c>
      <c r="Y47">
        <f>Tabel2425678910111213141517161819212022232614151617[[#This Row],[Stand Cappucino Plantaardig einde maand]]-Tabel2425678910111213141517161819212022232614151617[[#This Row],[Stand Cappucino Plantaardig vorige maand]]</f>
        <v>14</v>
      </c>
      <c r="Z47" s="53">
        <v>208</v>
      </c>
      <c r="AA47">
        <f>'mei2025'!Z47</f>
        <v>201</v>
      </c>
      <c r="AB47">
        <f>Tabel2425678910111213141517161819212022232614151617[[#This Row],[Stand Latte Macchiato Plantaardig einde maand]]-Tabel2425678910111213141517161819212022232614151617[[#This Row],[Stand Latte Macchiato Plantaardig vorige maand]]</f>
        <v>7</v>
      </c>
      <c r="AC47" s="71">
        <f>Tabel2425678910111213141517161819212022232614151617[[#This Row],[Verbruik Stand Latte Macchiato Plantaardig deze maand]]+Tabel2425678910111213141517161819212022232614151617[[#This Row],[Verbruik  Cappucino Plantaardig deze maand]]+Tabel2425678910111213141517161819212022232614151617[[#This Row],[Verbruik Cappucino deze maand]]+Tabel2425678910111213141517161819212022232614151617[[#This Row],[Verbruik Hot Water deze maand]]+Tabel2425678910111213141517161819212022232614151617[[#This Row],[Verbruik Coffee Latte deze maand]]+Tabel2425678910111213141517161819212022232614151617[[#This Row],[Verbruik Latte Macchiato deze maand]]+Tabel2425678910111213141517161819212022232614151617[[#This Row],[Verbruik Espresso deze maand]]+Tabel2425678910111213141517161819212022232614151617[[#This Row],[Verbruik Coffee deze maand]]</f>
        <v>1038</v>
      </c>
      <c r="AD47" s="69"/>
      <c r="AE47" s="41"/>
      <c r="AF47" s="5"/>
      <c r="AG47" s="5"/>
      <c r="AH47" s="75"/>
      <c r="AI47" s="41"/>
      <c r="AJ47" s="5"/>
      <c r="AK47" s="5"/>
      <c r="AL47" s="75"/>
      <c r="AM47" s="41"/>
      <c r="AN47" s="5"/>
      <c r="AO47" s="5"/>
      <c r="AP47" s="75"/>
      <c r="AQ47" s="41"/>
      <c r="AR47" s="5"/>
      <c r="AS47" s="5"/>
      <c r="AT47" s="75"/>
      <c r="AU47" s="41"/>
      <c r="AV47" s="5"/>
      <c r="AW47" s="5"/>
      <c r="AX47" s="79"/>
      <c r="AY47" s="95">
        <f>Tabel2425678910111213141517161819212022232614151617[[#This Row],[Subtotaal waterbar in consumpties]]+Tabel2425678910111213141517161819212022232614151617[[#This Row],[Subtotaal koffieautomaten]]</f>
        <v>1038</v>
      </c>
    </row>
    <row r="48" spans="1:130" ht="14.45" customHeight="1" x14ac:dyDescent="0.25">
      <c r="A48" s="65" t="s">
        <v>54</v>
      </c>
      <c r="B48" t="s">
        <v>95</v>
      </c>
      <c r="C48" t="s">
        <v>47</v>
      </c>
      <c r="E48">
        <v>12207</v>
      </c>
      <c r="F48">
        <f>'mei2025'!E48</f>
        <v>11951</v>
      </c>
      <c r="G48">
        <f>Tabel2425678910111213141517161819212022232614151617[[#This Row],[Stand Coffee einde maand]]-Tabel2425678910111213141517161819212022232614151617[[#This Row],[Coffee vorige maand]]</f>
        <v>256</v>
      </c>
      <c r="H48" s="53">
        <v>3799</v>
      </c>
      <c r="I48">
        <f>'mei2025'!H48</f>
        <v>3693</v>
      </c>
      <c r="J48">
        <f>Tabel2425678910111213141517161819212022232614151617[[#This Row],[Stand Espresso Einde maand]]-Tabel2425678910111213141517161819212022232614151617[[#This Row],[Espresso vorige maand]]</f>
        <v>106</v>
      </c>
      <c r="K48" s="53">
        <v>1185</v>
      </c>
      <c r="L48">
        <f>'mei2025'!K48</f>
        <v>1153</v>
      </c>
      <c r="M48">
        <f>Tabel2425678910111213141517161819212022232614151617[[#This Row],[Stand Latte Macchiato einde maand]]-Tabel2425678910111213141517161819212022232614151617[[#This Row],[Latte Macchiato vorige maand]]</f>
        <v>32</v>
      </c>
      <c r="N48" s="53">
        <v>621</v>
      </c>
      <c r="O48">
        <f>'mei2025'!N48</f>
        <v>601</v>
      </c>
      <c r="P48">
        <f>Tabel2425678910111213141517161819212022232614151617[[#This Row],[Stand Coffee Latte einde maand]]-Tabel2425678910111213141517161819212022232614151617[[#This Row],[Coffee Latte vorige maand]]</f>
        <v>20</v>
      </c>
      <c r="Q48" s="53">
        <v>0</v>
      </c>
      <c r="R48">
        <f>'mei2025'!Q48</f>
        <v>0</v>
      </c>
      <c r="S48">
        <v>0</v>
      </c>
      <c r="T48" s="53">
        <v>5677</v>
      </c>
      <c r="U48">
        <f>'mei2025'!T48</f>
        <v>5525</v>
      </c>
      <c r="V48">
        <f>Tabel2425678910111213141517161819212022232614151617[[#This Row],[Stand Cappucino einde maand]]-Tabel2425678910111213141517161819212022232614151617[[#This Row],[Stand Cappucino vorige maand]]</f>
        <v>152</v>
      </c>
      <c r="W48" s="53">
        <v>1331</v>
      </c>
      <c r="X48">
        <f>'mei2025'!W48</f>
        <v>1309</v>
      </c>
      <c r="Y48">
        <f>Tabel2425678910111213141517161819212022232614151617[[#This Row],[Stand Cappucino Plantaardig einde maand]]-Tabel2425678910111213141517161819212022232614151617[[#This Row],[Stand Cappucino Plantaardig vorige maand]]</f>
        <v>22</v>
      </c>
      <c r="Z48" s="53">
        <v>787</v>
      </c>
      <c r="AA48">
        <f>'mei2025'!Z48</f>
        <v>761</v>
      </c>
      <c r="AB48">
        <f>Tabel2425678910111213141517161819212022232614151617[[#This Row],[Stand Latte Macchiato Plantaardig einde maand]]-Tabel2425678910111213141517161819212022232614151617[[#This Row],[Stand Latte Macchiato Plantaardig vorige maand]]</f>
        <v>26</v>
      </c>
      <c r="AC48" s="71">
        <f>Tabel2425678910111213141517161819212022232614151617[[#This Row],[Verbruik Stand Latte Macchiato Plantaardig deze maand]]+Tabel2425678910111213141517161819212022232614151617[[#This Row],[Verbruik  Cappucino Plantaardig deze maand]]+Tabel2425678910111213141517161819212022232614151617[[#This Row],[Verbruik Cappucino deze maand]]+Tabel2425678910111213141517161819212022232614151617[[#This Row],[Verbruik Hot Water deze maand]]+Tabel2425678910111213141517161819212022232614151617[[#This Row],[Verbruik Coffee Latte deze maand]]+Tabel2425678910111213141517161819212022232614151617[[#This Row],[Verbruik Latte Macchiato deze maand]]+Tabel2425678910111213141517161819212022232614151617[[#This Row],[Verbruik Espresso deze maand]]+Tabel2425678910111213141517161819212022232614151617[[#This Row],[Verbruik Coffee deze maand]]</f>
        <v>614</v>
      </c>
      <c r="AD48" s="53">
        <v>175.3</v>
      </c>
      <c r="AE48">
        <f>'mei2025'!AD48</f>
        <v>163.4</v>
      </c>
      <c r="AF48">
        <f>Tabel2425678910111213141517161819212022232614151617[[#This Row],[Stand Kamertemp liter einde maand]]-Tabel2425678910111213141517161819212022232614151617[[#This Row],[Stand Kamertemp liter vorige maand]]</f>
        <v>11.900000000000006</v>
      </c>
      <c r="AG48" s="2">
        <f>Tabel2425678910111213141517161819212022232614151617[[#This Row],[Verbruik Kamertemp liter deze maand]]/0.15</f>
        <v>79.333333333333371</v>
      </c>
      <c r="AH48" s="53">
        <v>1442.2</v>
      </c>
      <c r="AI48">
        <f>'mei2025'!AH48</f>
        <v>1349.5</v>
      </c>
      <c r="AJ48">
        <f>Tabel2425678910111213141517161819212022232614151617[[#This Row],[Stand Gekoeld liter einde maand]]-Tabel2425678910111213141517161819212022232614151617[[#This Row],[Stand Gekoeld liter vorige maand]]</f>
        <v>92.700000000000045</v>
      </c>
      <c r="AK48" s="2">
        <f>Tabel2425678910111213141517161819212022232614151617[[#This Row],[Verbruik Gekoeld liter deze maand]]/0.15</f>
        <v>618.00000000000034</v>
      </c>
      <c r="AL48" s="53">
        <v>720.6</v>
      </c>
      <c r="AM48">
        <f>'mei2025'!AL48</f>
        <v>668.1</v>
      </c>
      <c r="AN48">
        <f>Tabel2425678910111213141517161819212022232614151617[[#This Row],[Stand Bruisend liter einde maand]]-Tabel2425678910111213141517161819212022232614151617[[#This Row],[Stand Bruisend liter vorige maand]]</f>
        <v>52.5</v>
      </c>
      <c r="AO48" s="2">
        <f>Tabel2425678910111213141517161819212022232614151617[[#This Row],[Verbruik Bruisend liter deze maand]]/0.15</f>
        <v>350</v>
      </c>
      <c r="AP48" s="53">
        <v>278</v>
      </c>
      <c r="AQ48">
        <f>'mei2025'!AP48</f>
        <v>262.89999999999998</v>
      </c>
      <c r="AR48">
        <f>Tabel2425678910111213141517161819212022232614151617[[#This Row],[Stand licht bruisend liter einde maand]]-Tabel2425678910111213141517161819212022232614151617[[#This Row],[Stand licht bruisend liter vorige maand]]</f>
        <v>15.100000000000023</v>
      </c>
      <c r="AS48" s="2">
        <f>Tabel2425678910111213141517161819212022232614151617[[#This Row],[Verbruik licht bruisend liter deze maand]]/0.15</f>
        <v>100.66666666666683</v>
      </c>
      <c r="AT48" s="53">
        <v>2711.4</v>
      </c>
      <c r="AU48">
        <f>'mei2025'!AT48</f>
        <v>2562.8000000000002</v>
      </c>
      <c r="AV48">
        <f>Tabel2425678910111213141517161819212022232614151617[[#This Row],[Stand heet water liter einde maand]]-Tabel2425678910111213141517161819212022232614151617[[#This Row],[Stand heet water liter vorige maand]]</f>
        <v>148.59999999999991</v>
      </c>
      <c r="AW48" s="2">
        <f>Tabel2425678910111213141517161819212022232614151617[[#This Row],[Verbruik heet Water liter deze maand ]]/0.15</f>
        <v>990.66666666666606</v>
      </c>
      <c r="AX48" s="77">
        <f>Tabel2425678910111213141517161819212022232614151617[[#This Row],[Aantal consumpties heet water deze maand]]+Tabel2425678910111213141517161819212022232614151617[[#This Row],[Aantal consumpties licht bruisend water deze maand]]+Tabel2425678910111213141517161819212022232614151617[[#This Row],[aantal consumpties Bruisend water deze maand]]+Tabel2425678910111213141517161819212022232614151617[[#This Row],[Aantal consumpties gekoeld water deze maand]]+Tabel2425678910111213141517161819212022232614151617[[#This Row],[Aantal consumpties Kamertemp deze maand]]</f>
        <v>2138.6666666666665</v>
      </c>
      <c r="AY48" s="95">
        <f>Tabel2425678910111213141517161819212022232614151617[[#This Row],[Subtotaal waterbar in consumpties]]+Tabel2425678910111213141517161819212022232614151617[[#This Row],[Subtotaal koffieautomaten]]</f>
        <v>2752.6666666666665</v>
      </c>
    </row>
    <row r="49" spans="1:130" ht="14.45" customHeight="1" x14ac:dyDescent="0.25">
      <c r="A49" s="65" t="s">
        <v>56</v>
      </c>
      <c r="B49" t="s">
        <v>96</v>
      </c>
      <c r="C49" t="s">
        <v>36</v>
      </c>
      <c r="E49" s="46"/>
      <c r="F49" s="46"/>
      <c r="G49" s="47"/>
      <c r="H49" s="54"/>
      <c r="I49" s="46"/>
      <c r="J49" s="47"/>
      <c r="K49" s="54"/>
      <c r="L49" s="46"/>
      <c r="M49" s="47"/>
      <c r="N49" s="54"/>
      <c r="O49" s="46"/>
      <c r="P49" s="47"/>
      <c r="Q49" s="54"/>
      <c r="R49" s="46"/>
      <c r="S49" s="47"/>
      <c r="T49" s="54"/>
      <c r="U49" s="46"/>
      <c r="V49" s="47"/>
      <c r="W49" s="54"/>
      <c r="X49" s="46"/>
      <c r="Y49" s="47"/>
      <c r="Z49" s="54"/>
      <c r="AA49" s="46"/>
      <c r="AB49" s="47"/>
      <c r="AC49" s="72"/>
      <c r="AD49" s="53">
        <v>153.30000000000001</v>
      </c>
      <c r="AE49">
        <f>'mei2025'!AD49</f>
        <v>139.80000000000001</v>
      </c>
      <c r="AF49">
        <f>Tabel2425678910111213141517161819212022232614151617[[#This Row],[Stand Kamertemp liter einde maand]]-Tabel2425678910111213141517161819212022232614151617[[#This Row],[Stand Kamertemp liter vorige maand]]</f>
        <v>13.5</v>
      </c>
      <c r="AG49" s="2">
        <f>Tabel2425678910111213141517161819212022232614151617[[#This Row],[Verbruik Kamertemp liter deze maand]]/0.15</f>
        <v>90</v>
      </c>
      <c r="AH49" s="53">
        <v>1038.5999999999999</v>
      </c>
      <c r="AI49">
        <f>'mei2025'!AH49</f>
        <v>953.6</v>
      </c>
      <c r="AJ49">
        <f>Tabel2425678910111213141517161819212022232614151617[[#This Row],[Stand Gekoeld liter einde maand]]-Tabel2425678910111213141517161819212022232614151617[[#This Row],[Stand Gekoeld liter vorige maand]]</f>
        <v>84.999999999999886</v>
      </c>
      <c r="AK49" s="2">
        <f>Tabel2425678910111213141517161819212022232614151617[[#This Row],[Verbruik Gekoeld liter deze maand]]/0.15</f>
        <v>566.66666666666595</v>
      </c>
      <c r="AL49" s="53">
        <v>436.3</v>
      </c>
      <c r="AM49">
        <f>'mei2025'!AL49</f>
        <v>387.4</v>
      </c>
      <c r="AN49">
        <f>Tabel2425678910111213141517161819212022232614151617[[#This Row],[Stand Bruisend liter einde maand]]-Tabel2425678910111213141517161819212022232614151617[[#This Row],[Stand Bruisend liter vorige maand]]</f>
        <v>48.900000000000034</v>
      </c>
      <c r="AO49" s="2">
        <f>Tabel2425678910111213141517161819212022232614151617[[#This Row],[Verbruik Bruisend liter deze maand]]/0.15</f>
        <v>326.00000000000023</v>
      </c>
      <c r="AP49" s="53">
        <v>235.1</v>
      </c>
      <c r="AQ49">
        <f>'mei2025'!AP49</f>
        <v>219.6</v>
      </c>
      <c r="AR49">
        <f>Tabel2425678910111213141517161819212022232614151617[[#This Row],[Stand licht bruisend liter einde maand]]-Tabel2425678910111213141517161819212022232614151617[[#This Row],[Stand licht bruisend liter vorige maand]]</f>
        <v>15.5</v>
      </c>
      <c r="AS49" s="2">
        <f>Tabel2425678910111213141517161819212022232614151617[[#This Row],[Verbruik licht bruisend liter deze maand]]/0.15</f>
        <v>103.33333333333334</v>
      </c>
      <c r="AT49" s="53">
        <v>2425.1</v>
      </c>
      <c r="AU49">
        <f>'mei2025'!AT49</f>
        <v>2278.9</v>
      </c>
      <c r="AV49">
        <f>Tabel2425678910111213141517161819212022232614151617[[#This Row],[Stand heet water liter einde maand]]-Tabel2425678910111213141517161819212022232614151617[[#This Row],[Stand heet water liter vorige maand]]</f>
        <v>146.19999999999982</v>
      </c>
      <c r="AW49" s="2">
        <f>Tabel2425678910111213141517161819212022232614151617[[#This Row],[Verbruik heet Water liter deze maand ]]/0.15</f>
        <v>974.66666666666549</v>
      </c>
      <c r="AX49" s="77">
        <f>Tabel2425678910111213141517161819212022232614151617[[#This Row],[Aantal consumpties heet water deze maand]]+Tabel2425678910111213141517161819212022232614151617[[#This Row],[Aantal consumpties licht bruisend water deze maand]]+Tabel2425678910111213141517161819212022232614151617[[#This Row],[aantal consumpties Bruisend water deze maand]]+Tabel2425678910111213141517161819212022232614151617[[#This Row],[Aantal consumpties gekoeld water deze maand]]+Tabel2425678910111213141517161819212022232614151617[[#This Row],[Aantal consumpties Kamertemp deze maand]]</f>
        <v>2060.6666666666652</v>
      </c>
      <c r="AY49" s="95">
        <f>Tabel2425678910111213141517161819212022232614151617[[#This Row],[Subtotaal waterbar in consumpties]]+Tabel2425678910111213141517161819212022232614151617[[#This Row],[Subtotaal koffieautomaten]]</f>
        <v>2060.6666666666652</v>
      </c>
    </row>
    <row r="50" spans="1:130" ht="14.45" customHeight="1" x14ac:dyDescent="0.25">
      <c r="A50" s="65" t="s">
        <v>58</v>
      </c>
      <c r="B50" t="s">
        <v>97</v>
      </c>
      <c r="C50" t="s">
        <v>31</v>
      </c>
      <c r="E50">
        <v>15104</v>
      </c>
      <c r="F50">
        <f>'mei2025'!E50</f>
        <v>14663</v>
      </c>
      <c r="G50">
        <f>Tabel2425678910111213141517161819212022232614151617[[#This Row],[Stand Coffee einde maand]]-Tabel2425678910111213141517161819212022232614151617[[#This Row],[Coffee vorige maand]]</f>
        <v>441</v>
      </c>
      <c r="H50" s="53">
        <v>4081</v>
      </c>
      <c r="I50">
        <f>'mei2025'!H50</f>
        <v>3961</v>
      </c>
      <c r="J50">
        <f>Tabel2425678910111213141517161819212022232614151617[[#This Row],[Stand Espresso Einde maand]]-Tabel2425678910111213141517161819212022232614151617[[#This Row],[Espresso vorige maand]]</f>
        <v>120</v>
      </c>
      <c r="K50" s="53">
        <v>1604</v>
      </c>
      <c r="L50">
        <f>'mei2025'!K50</f>
        <v>1570</v>
      </c>
      <c r="M50">
        <f>Tabel2425678910111213141517161819212022232614151617[[#This Row],[Stand Latte Macchiato einde maand]]-Tabel2425678910111213141517161819212022232614151617[[#This Row],[Latte Macchiato vorige maand]]</f>
        <v>34</v>
      </c>
      <c r="N50" s="53">
        <v>1429</v>
      </c>
      <c r="O50">
        <f>'mei2025'!N50</f>
        <v>1405</v>
      </c>
      <c r="P50">
        <f>Tabel2425678910111213141517161819212022232614151617[[#This Row],[Stand Coffee Latte einde maand]]-Tabel2425678910111213141517161819212022232614151617[[#This Row],[Coffee Latte vorige maand]]</f>
        <v>24</v>
      </c>
      <c r="Q50" s="53">
        <v>14238</v>
      </c>
      <c r="R50">
        <f>'mei2025'!Q50</f>
        <v>13811</v>
      </c>
      <c r="S50">
        <f>Tabel2425678910111213141517161819212022232614151617[[#This Row],[Stand Hot Water einde maand]]-Tabel2425678910111213141517161819212022232614151617[[#This Row],[Hot Water vorige maand]]</f>
        <v>427</v>
      </c>
      <c r="T50" s="53">
        <v>8802</v>
      </c>
      <c r="U50">
        <f>'mei2025'!T50</f>
        <v>8614</v>
      </c>
      <c r="V50">
        <f>Tabel2425678910111213141517161819212022232614151617[[#This Row],[Stand Cappucino einde maand]]-Tabel2425678910111213141517161819212022232614151617[[#This Row],[Stand Cappucino vorige maand]]</f>
        <v>188</v>
      </c>
      <c r="W50" s="53">
        <v>1662</v>
      </c>
      <c r="X50">
        <f>'mei2025'!W50</f>
        <v>1626</v>
      </c>
      <c r="Y50">
        <f>Tabel2425678910111213141517161819212022232614151617[[#This Row],[Stand Cappucino Plantaardig einde maand]]-Tabel2425678910111213141517161819212022232614151617[[#This Row],[Stand Cappucino Plantaardig vorige maand]]</f>
        <v>36</v>
      </c>
      <c r="Z50" s="53">
        <v>531</v>
      </c>
      <c r="AA50">
        <f>'mei2025'!Z50</f>
        <v>470</v>
      </c>
      <c r="AB50">
        <f>Tabel2425678910111213141517161819212022232614151617[[#This Row],[Stand Latte Macchiato Plantaardig einde maand]]-Tabel2425678910111213141517161819212022232614151617[[#This Row],[Stand Latte Macchiato Plantaardig vorige maand]]</f>
        <v>61</v>
      </c>
      <c r="AC50" s="71">
        <f>Tabel2425678910111213141517161819212022232614151617[[#This Row],[Verbruik Stand Latte Macchiato Plantaardig deze maand]]+Tabel2425678910111213141517161819212022232614151617[[#This Row],[Verbruik  Cappucino Plantaardig deze maand]]+Tabel2425678910111213141517161819212022232614151617[[#This Row],[Verbruik Cappucino deze maand]]+Tabel2425678910111213141517161819212022232614151617[[#This Row],[Verbruik Hot Water deze maand]]+Tabel2425678910111213141517161819212022232614151617[[#This Row],[Verbruik Coffee Latte deze maand]]+Tabel2425678910111213141517161819212022232614151617[[#This Row],[Verbruik Latte Macchiato deze maand]]+Tabel2425678910111213141517161819212022232614151617[[#This Row],[Verbruik Espresso deze maand]]+Tabel2425678910111213141517161819212022232614151617[[#This Row],[Verbruik Coffee deze maand]]</f>
        <v>1331</v>
      </c>
      <c r="AD50" s="69"/>
      <c r="AE50" s="41"/>
      <c r="AF50" s="5"/>
      <c r="AG50" s="5"/>
      <c r="AH50" s="75"/>
      <c r="AI50" s="41"/>
      <c r="AJ50" s="5"/>
      <c r="AK50" s="5"/>
      <c r="AL50" s="75"/>
      <c r="AM50" s="41"/>
      <c r="AN50" s="5"/>
      <c r="AO50" s="5"/>
      <c r="AP50" s="75"/>
      <c r="AQ50" s="41"/>
      <c r="AR50" s="5"/>
      <c r="AS50" s="5"/>
      <c r="AT50" s="75"/>
      <c r="AU50" s="41"/>
      <c r="AV50" s="5"/>
      <c r="AW50" s="5"/>
      <c r="AX50" s="79"/>
      <c r="AY50" s="95">
        <f>Tabel2425678910111213141517161819212022232614151617[[#This Row],[Subtotaal waterbar in consumpties]]+Tabel2425678910111213141517161819212022232614151617[[#This Row],[Subtotaal koffieautomaten]]</f>
        <v>1331</v>
      </c>
    </row>
    <row r="51" spans="1:130" ht="14.45" customHeight="1" x14ac:dyDescent="0.25">
      <c r="A51" s="65" t="s">
        <v>60</v>
      </c>
      <c r="B51" t="s">
        <v>98</v>
      </c>
      <c r="C51" t="s">
        <v>47</v>
      </c>
      <c r="E51">
        <v>9161</v>
      </c>
      <c r="F51">
        <f>'mei2025'!E51</f>
        <v>8964</v>
      </c>
      <c r="G51">
        <f>Tabel2425678910111213141517161819212022232614151617[[#This Row],[Stand Coffee einde maand]]-Tabel2425678910111213141517161819212022232614151617[[#This Row],[Coffee vorige maand]]</f>
        <v>197</v>
      </c>
      <c r="H51" s="53">
        <v>3009</v>
      </c>
      <c r="I51">
        <f>'mei2025'!H51</f>
        <v>2931</v>
      </c>
      <c r="J51">
        <f>Tabel2425678910111213141517161819212022232614151617[[#This Row],[Stand Espresso Einde maand]]-Tabel2425678910111213141517161819212022232614151617[[#This Row],[Espresso vorige maand]]</f>
        <v>78</v>
      </c>
      <c r="K51" s="53">
        <v>884</v>
      </c>
      <c r="L51">
        <f>'mei2025'!K51</f>
        <v>866</v>
      </c>
      <c r="M51">
        <f>Tabel2425678910111213141517161819212022232614151617[[#This Row],[Stand Latte Macchiato einde maand]]-Tabel2425678910111213141517161819212022232614151617[[#This Row],[Latte Macchiato vorige maand]]</f>
        <v>18</v>
      </c>
      <c r="N51" s="53">
        <v>1186</v>
      </c>
      <c r="O51">
        <f>'mei2025'!N51</f>
        <v>1164</v>
      </c>
      <c r="P51">
        <f>Tabel2425678910111213141517161819212022232614151617[[#This Row],[Stand Coffee Latte einde maand]]-Tabel2425678910111213141517161819212022232614151617[[#This Row],[Coffee Latte vorige maand]]</f>
        <v>22</v>
      </c>
      <c r="Q51" s="53">
        <v>1</v>
      </c>
      <c r="R51">
        <f>'mei2025'!Q51</f>
        <v>1</v>
      </c>
      <c r="S51">
        <f>Tabel2425678910111213141517161819212022232614151617[[#This Row],[Stand Hot Water einde maand]]-Tabel2425678910111213141517161819212022232614151617[[#This Row],[Hot Water vorige maand]]</f>
        <v>0</v>
      </c>
      <c r="T51" s="53">
        <v>6118</v>
      </c>
      <c r="U51">
        <f>'mei2025'!T51</f>
        <v>5918</v>
      </c>
      <c r="V51">
        <f>Tabel2425678910111213141517161819212022232614151617[[#This Row],[Stand Cappucino einde maand]]-Tabel2425678910111213141517161819212022232614151617[[#This Row],[Stand Cappucino vorige maand]]</f>
        <v>200</v>
      </c>
      <c r="W51" s="53">
        <v>840</v>
      </c>
      <c r="X51">
        <f>'mei2025'!W51</f>
        <v>823</v>
      </c>
      <c r="Y51">
        <f>Tabel2425678910111213141517161819212022232614151617[[#This Row],[Stand Cappucino Plantaardig einde maand]]-Tabel2425678910111213141517161819212022232614151617[[#This Row],[Stand Cappucino Plantaardig vorige maand]]</f>
        <v>17</v>
      </c>
      <c r="Z51" s="53">
        <v>189</v>
      </c>
      <c r="AA51">
        <f>'mei2025'!Z51</f>
        <v>187</v>
      </c>
      <c r="AB51">
        <f>Tabel2425678910111213141517161819212022232614151617[[#This Row],[Stand Latte Macchiato Plantaardig einde maand]]-Tabel2425678910111213141517161819212022232614151617[[#This Row],[Stand Latte Macchiato Plantaardig vorige maand]]</f>
        <v>2</v>
      </c>
      <c r="AC51" s="71">
        <f>Tabel2425678910111213141517161819212022232614151617[[#This Row],[Verbruik Stand Latte Macchiato Plantaardig deze maand]]+Tabel2425678910111213141517161819212022232614151617[[#This Row],[Verbruik  Cappucino Plantaardig deze maand]]+Tabel2425678910111213141517161819212022232614151617[[#This Row],[Verbruik Cappucino deze maand]]+Tabel2425678910111213141517161819212022232614151617[[#This Row],[Verbruik Hot Water deze maand]]+Tabel2425678910111213141517161819212022232614151617[[#This Row],[Verbruik Coffee Latte deze maand]]+Tabel2425678910111213141517161819212022232614151617[[#This Row],[Verbruik Latte Macchiato deze maand]]+Tabel2425678910111213141517161819212022232614151617[[#This Row],[Verbruik Espresso deze maand]]+Tabel2425678910111213141517161819212022232614151617[[#This Row],[Verbruik Coffee deze maand]]</f>
        <v>534</v>
      </c>
      <c r="AD51" s="53">
        <v>42.9</v>
      </c>
      <c r="AE51">
        <f>'mei2025'!AD51</f>
        <v>40.1</v>
      </c>
      <c r="AF51">
        <f>Tabel2425678910111213141517161819212022232614151617[[#This Row],[Stand Kamertemp liter einde maand]]-Tabel2425678910111213141517161819212022232614151617[[#This Row],[Stand Kamertemp liter vorige maand]]</f>
        <v>2.7999999999999972</v>
      </c>
      <c r="AG51" s="2">
        <f>Tabel2425678910111213141517161819212022232614151617[[#This Row],[Verbruik Kamertemp liter deze maand]]/0.15</f>
        <v>18.66666666666665</v>
      </c>
      <c r="AH51" s="53">
        <v>650.5</v>
      </c>
      <c r="AI51">
        <f>'mei2025'!AH51</f>
        <v>571.9</v>
      </c>
      <c r="AJ51">
        <f>Tabel2425678910111213141517161819212022232614151617[[#This Row],[Stand Gekoeld liter einde maand]]-Tabel2425678910111213141517161819212022232614151617[[#This Row],[Stand Gekoeld liter vorige maand]]</f>
        <v>78.600000000000023</v>
      </c>
      <c r="AK51" s="2">
        <f>Tabel2425678910111213141517161819212022232614151617[[#This Row],[Verbruik Gekoeld liter deze maand]]/0.15</f>
        <v>524.00000000000023</v>
      </c>
      <c r="AL51" s="53">
        <v>481.4</v>
      </c>
      <c r="AM51">
        <f>'mei2025'!AL51</f>
        <v>440.1</v>
      </c>
      <c r="AN51">
        <f>Tabel2425678910111213141517161819212022232614151617[[#This Row],[Stand Bruisend liter einde maand]]-Tabel2425678910111213141517161819212022232614151617[[#This Row],[Stand Bruisend liter vorige maand]]</f>
        <v>41.299999999999955</v>
      </c>
      <c r="AO51" s="2">
        <f>Tabel2425678910111213141517161819212022232614151617[[#This Row],[Verbruik Bruisend liter deze maand]]/0.15</f>
        <v>275.33333333333303</v>
      </c>
      <c r="AP51" s="53">
        <v>77.400000000000006</v>
      </c>
      <c r="AQ51">
        <f>'mei2025'!AP51</f>
        <v>70</v>
      </c>
      <c r="AR51">
        <f>Tabel2425678910111213141517161819212022232614151617[[#This Row],[Stand licht bruisend liter einde maand]]-Tabel2425678910111213141517161819212022232614151617[[#This Row],[Stand licht bruisend liter vorige maand]]</f>
        <v>7.4000000000000057</v>
      </c>
      <c r="AS51" s="2">
        <f>Tabel2425678910111213141517161819212022232614151617[[#This Row],[Verbruik licht bruisend liter deze maand]]/0.15</f>
        <v>49.333333333333371</v>
      </c>
      <c r="AT51" s="53">
        <v>1194.0999999999999</v>
      </c>
      <c r="AU51">
        <f>'mei2025'!AT51</f>
        <v>1140.2</v>
      </c>
      <c r="AV51">
        <f>Tabel2425678910111213141517161819212022232614151617[[#This Row],[Stand heet water liter einde maand]]-Tabel2425678910111213141517161819212022232614151617[[#This Row],[Stand heet water liter vorige maand]]</f>
        <v>53.899999999999864</v>
      </c>
      <c r="AW51" s="2">
        <f>Tabel2425678910111213141517161819212022232614151617[[#This Row],[Verbruik heet Water liter deze maand ]]/0.15</f>
        <v>359.33333333333246</v>
      </c>
      <c r="AX51" s="77">
        <f>Tabel2425678910111213141517161819212022232614151617[[#This Row],[Aantal consumpties heet water deze maand]]+Tabel2425678910111213141517161819212022232614151617[[#This Row],[Aantal consumpties licht bruisend water deze maand]]+Tabel2425678910111213141517161819212022232614151617[[#This Row],[aantal consumpties Bruisend water deze maand]]+Tabel2425678910111213141517161819212022232614151617[[#This Row],[Aantal consumpties gekoeld water deze maand]]+Tabel2425678910111213141517161819212022232614151617[[#This Row],[Aantal consumpties Kamertemp deze maand]]</f>
        <v>1226.6666666666658</v>
      </c>
      <c r="AY51" s="95">
        <f>Tabel2425678910111213141517161819212022232614151617[[#This Row],[Subtotaal waterbar in consumpties]]+Tabel2425678910111213141517161819212022232614151617[[#This Row],[Subtotaal koffieautomaten]]</f>
        <v>1760.6666666666658</v>
      </c>
    </row>
    <row r="52" spans="1:130" s="81" customFormat="1" ht="14.45" customHeight="1" x14ac:dyDescent="0.25">
      <c r="A52" s="80" t="s">
        <v>99</v>
      </c>
      <c r="D52" s="82"/>
      <c r="H52" s="86"/>
      <c r="K52" s="86"/>
      <c r="N52" s="86"/>
      <c r="Q52" s="86"/>
      <c r="T52" s="86"/>
      <c r="W52" s="86"/>
      <c r="Z52" s="86"/>
      <c r="AC52" s="85"/>
      <c r="AD52" s="86"/>
      <c r="AG52" s="87"/>
      <c r="AH52" s="86"/>
      <c r="AK52" s="87"/>
      <c r="AL52" s="86"/>
      <c r="AO52" s="87"/>
      <c r="AP52" s="86"/>
      <c r="AS52" s="87"/>
      <c r="AT52" s="86"/>
      <c r="AW52" s="87"/>
      <c r="AX52" s="88"/>
      <c r="AY52" s="94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</row>
    <row r="53" spans="1:130" ht="14.45" customHeight="1" x14ac:dyDescent="0.25">
      <c r="A53" s="65" t="s">
        <v>43</v>
      </c>
      <c r="B53" t="s">
        <v>100</v>
      </c>
      <c r="C53" t="s">
        <v>31</v>
      </c>
      <c r="E53">
        <v>13533</v>
      </c>
      <c r="F53">
        <f>'mei2025'!E53</f>
        <v>13192</v>
      </c>
      <c r="G53">
        <f>Tabel2425678910111213141517161819212022232614151617[[#This Row],[Stand Coffee einde maand]]-Tabel2425678910111213141517161819212022232614151617[[#This Row],[Coffee vorige maand]]</f>
        <v>341</v>
      </c>
      <c r="H53" s="97">
        <f>824+4011</f>
        <v>4835</v>
      </c>
      <c r="I53">
        <f>'mei2025'!H53</f>
        <v>4660</v>
      </c>
      <c r="J53">
        <f>Tabel2425678910111213141517161819212022232614151617[[#This Row],[Stand Espresso Einde maand]]-Tabel2425678910111213141517161819212022232614151617[[#This Row],[Espresso vorige maand]]</f>
        <v>175</v>
      </c>
      <c r="K53" s="53">
        <v>1384</v>
      </c>
      <c r="L53">
        <f>'mei2025'!K53</f>
        <v>1345</v>
      </c>
      <c r="M53">
        <f>Tabel2425678910111213141517161819212022232614151617[[#This Row],[Stand Latte Macchiato einde maand]]-Tabel2425678910111213141517161819212022232614151617[[#This Row],[Latte Macchiato vorige maand]]</f>
        <v>39</v>
      </c>
      <c r="N53" s="53">
        <v>620</v>
      </c>
      <c r="O53">
        <f>'mei2025'!N53</f>
        <v>601</v>
      </c>
      <c r="P53">
        <f>Tabel2425678910111213141517161819212022232614151617[[#This Row],[Stand Coffee Latte einde maand]]-Tabel2425678910111213141517161819212022232614151617[[#This Row],[Coffee Latte vorige maand]]</f>
        <v>19</v>
      </c>
      <c r="Q53" s="53">
        <v>33420</v>
      </c>
      <c r="R53">
        <f>'mei2025'!Q53</f>
        <v>32639</v>
      </c>
      <c r="S53">
        <f>Tabel2425678910111213141517161819212022232614151617[[#This Row],[Stand Hot Water einde maand]]-Tabel2425678910111213141517161819212022232614151617[[#This Row],[Hot Water vorige maand]]</f>
        <v>781</v>
      </c>
      <c r="T53" s="53">
        <v>3906</v>
      </c>
      <c r="U53">
        <f>'mei2025'!T53</f>
        <v>3829</v>
      </c>
      <c r="V53">
        <f>Tabel2425678910111213141517161819212022232614151617[[#This Row],[Stand Cappucino einde maand]]-Tabel2425678910111213141517161819212022232614151617[[#This Row],[Stand Cappucino vorige maand]]</f>
        <v>77</v>
      </c>
      <c r="W53" s="53">
        <v>1168</v>
      </c>
      <c r="X53">
        <f>'mei2025'!W53</f>
        <v>1146</v>
      </c>
      <c r="Y53">
        <f>Tabel2425678910111213141517161819212022232614151617[[#This Row],[Stand Cappucino Plantaardig einde maand]]-Tabel2425678910111213141517161819212022232614151617[[#This Row],[Stand Cappucino Plantaardig vorige maand]]</f>
        <v>22</v>
      </c>
      <c r="Z53" s="53">
        <v>245</v>
      </c>
      <c r="AA53">
        <f>'mei2025'!Z53</f>
        <v>241</v>
      </c>
      <c r="AB53">
        <f>Tabel2425678910111213141517161819212022232614151617[[#This Row],[Stand Latte Macchiato Plantaardig einde maand]]-Tabel2425678910111213141517161819212022232614151617[[#This Row],[Stand Latte Macchiato Plantaardig vorige maand]]</f>
        <v>4</v>
      </c>
      <c r="AC53" s="71">
        <f>Tabel2425678910111213141517161819212022232614151617[[#This Row],[Verbruik Stand Latte Macchiato Plantaardig deze maand]]+Tabel2425678910111213141517161819212022232614151617[[#This Row],[Verbruik  Cappucino Plantaardig deze maand]]+Tabel2425678910111213141517161819212022232614151617[[#This Row],[Verbruik Cappucino deze maand]]+Tabel2425678910111213141517161819212022232614151617[[#This Row],[Verbruik Hot Water deze maand]]+Tabel2425678910111213141517161819212022232614151617[[#This Row],[Verbruik Coffee Latte deze maand]]+Tabel2425678910111213141517161819212022232614151617[[#This Row],[Verbruik Latte Macchiato deze maand]]+Tabel2425678910111213141517161819212022232614151617[[#This Row],[Verbruik Espresso deze maand]]+Tabel2425678910111213141517161819212022232614151617[[#This Row],[Verbruik Coffee deze maand]]</f>
        <v>1458</v>
      </c>
      <c r="AD53" s="69"/>
      <c r="AE53" s="41"/>
      <c r="AF53" s="5"/>
      <c r="AG53" s="5"/>
      <c r="AH53" s="75"/>
      <c r="AI53" s="41"/>
      <c r="AJ53" s="5"/>
      <c r="AK53" s="5"/>
      <c r="AL53" s="75"/>
      <c r="AM53" s="41"/>
      <c r="AN53" s="5"/>
      <c r="AO53" s="5"/>
      <c r="AP53" s="75"/>
      <c r="AQ53" s="41"/>
      <c r="AR53" s="5"/>
      <c r="AS53" s="5"/>
      <c r="AT53" s="75"/>
      <c r="AU53" s="41"/>
      <c r="AV53" s="5"/>
      <c r="AW53" s="5"/>
      <c r="AX53" s="79"/>
      <c r="AY53" s="95">
        <f>Tabel2425678910111213141517161819212022232614151617[[#This Row],[Subtotaal waterbar in consumpties]]+Tabel2425678910111213141517161819212022232614151617[[#This Row],[Subtotaal koffieautomaten]]</f>
        <v>1458</v>
      </c>
    </row>
    <row r="54" spans="1:130" ht="14.45" customHeight="1" x14ac:dyDescent="0.25">
      <c r="A54" s="65" t="s">
        <v>45</v>
      </c>
      <c r="B54" t="s">
        <v>101</v>
      </c>
      <c r="C54" t="s">
        <v>47</v>
      </c>
      <c r="E54">
        <v>10154</v>
      </c>
      <c r="F54">
        <f>'mei2025'!E54</f>
        <v>9915</v>
      </c>
      <c r="G54">
        <f>Tabel2425678910111213141517161819212022232614151617[[#This Row],[Stand Coffee einde maand]]-Tabel2425678910111213141517161819212022232614151617[[#This Row],[Coffee vorige maand]]</f>
        <v>239</v>
      </c>
      <c r="H54" s="53">
        <v>4966</v>
      </c>
      <c r="I54">
        <f>'mei2025'!H54</f>
        <v>4845</v>
      </c>
      <c r="J54">
        <f>Tabel2425678910111213141517161819212022232614151617[[#This Row],[Stand Espresso Einde maand]]-Tabel2425678910111213141517161819212022232614151617[[#This Row],[Espresso vorige maand]]</f>
        <v>121</v>
      </c>
      <c r="K54" s="53">
        <v>699</v>
      </c>
      <c r="L54">
        <f>'mei2025'!K54</f>
        <v>696</v>
      </c>
      <c r="M54">
        <f>Tabel2425678910111213141517161819212022232614151617[[#This Row],[Stand Latte Macchiato einde maand]]-Tabel2425678910111213141517161819212022232614151617[[#This Row],[Latte Macchiato vorige maand]]</f>
        <v>3</v>
      </c>
      <c r="N54" s="53">
        <v>562</v>
      </c>
      <c r="O54">
        <f>'mei2025'!N54</f>
        <v>555</v>
      </c>
      <c r="P54">
        <f>Tabel2425678910111213141517161819212022232614151617[[#This Row],[Stand Coffee Latte einde maand]]-Tabel2425678910111213141517161819212022232614151617[[#This Row],[Coffee Latte vorige maand]]</f>
        <v>7</v>
      </c>
      <c r="Q54" s="53">
        <v>1</v>
      </c>
      <c r="R54">
        <f>'mei2025'!Q54</f>
        <v>1</v>
      </c>
      <c r="S54">
        <f>Tabel2425678910111213141517161819212022232614151617[[#This Row],[Stand Hot Water einde maand]]-Tabel2425678910111213141517161819212022232614151617[[#This Row],[Hot Water vorige maand]]</f>
        <v>0</v>
      </c>
      <c r="T54" s="53">
        <v>4644</v>
      </c>
      <c r="U54">
        <f>'mei2025'!T54</f>
        <v>4590</v>
      </c>
      <c r="V54">
        <f>Tabel2425678910111213141517161819212022232614151617[[#This Row],[Stand Cappucino einde maand]]-Tabel2425678910111213141517161819212022232614151617[[#This Row],[Stand Cappucino vorige maand]]</f>
        <v>54</v>
      </c>
      <c r="W54" s="53">
        <v>938</v>
      </c>
      <c r="X54">
        <f>'mei2025'!W54</f>
        <v>933</v>
      </c>
      <c r="Y54">
        <f>Tabel2425678910111213141517161819212022232614151617[[#This Row],[Stand Cappucino Plantaardig einde maand]]-Tabel2425678910111213141517161819212022232614151617[[#This Row],[Stand Cappucino Plantaardig vorige maand]]</f>
        <v>5</v>
      </c>
      <c r="Z54" s="53">
        <v>254</v>
      </c>
      <c r="AA54">
        <f>'mei2025'!Z54</f>
        <v>253</v>
      </c>
      <c r="AB54">
        <f>Tabel2425678910111213141517161819212022232614151617[[#This Row],[Stand Latte Macchiato Plantaardig einde maand]]-Tabel2425678910111213141517161819212022232614151617[[#This Row],[Stand Latte Macchiato Plantaardig vorige maand]]</f>
        <v>1</v>
      </c>
      <c r="AC54" s="71">
        <f>Tabel2425678910111213141517161819212022232614151617[[#This Row],[Verbruik Stand Latte Macchiato Plantaardig deze maand]]+Tabel2425678910111213141517161819212022232614151617[[#This Row],[Verbruik  Cappucino Plantaardig deze maand]]+Tabel2425678910111213141517161819212022232614151617[[#This Row],[Verbruik Cappucino deze maand]]+Tabel2425678910111213141517161819212022232614151617[[#This Row],[Verbruik Hot Water deze maand]]+Tabel2425678910111213141517161819212022232614151617[[#This Row],[Verbruik Coffee Latte deze maand]]+Tabel2425678910111213141517161819212022232614151617[[#This Row],[Verbruik Latte Macchiato deze maand]]+Tabel2425678910111213141517161819212022232614151617[[#This Row],[Verbruik Espresso deze maand]]+Tabel2425678910111213141517161819212022232614151617[[#This Row],[Verbruik Coffee deze maand]]</f>
        <v>430</v>
      </c>
      <c r="AD54" s="53">
        <v>52.2</v>
      </c>
      <c r="AE54">
        <f>'mei2025'!AD54</f>
        <v>36.5</v>
      </c>
      <c r="AF54">
        <f>Tabel2425678910111213141517161819212022232614151617[[#This Row],[Stand Kamertemp liter einde maand]]-Tabel2425678910111213141517161819212022232614151617[[#This Row],[Stand Kamertemp liter vorige maand]]</f>
        <v>15.700000000000003</v>
      </c>
      <c r="AG54" s="2">
        <f>Tabel2425678910111213141517161819212022232614151617[[#This Row],[Verbruik Kamertemp liter deze maand]]/0.15</f>
        <v>104.66666666666669</v>
      </c>
      <c r="AH54" s="53">
        <v>310.7</v>
      </c>
      <c r="AI54">
        <f>'mei2025'!AH54</f>
        <v>194.4</v>
      </c>
      <c r="AJ54">
        <f>Tabel2425678910111213141517161819212022232614151617[[#This Row],[Stand Gekoeld liter einde maand]]-Tabel2425678910111213141517161819212022232614151617[[#This Row],[Stand Gekoeld liter vorige maand]]</f>
        <v>116.29999999999998</v>
      </c>
      <c r="AK54" s="2">
        <f>Tabel2425678910111213141517161819212022232614151617[[#This Row],[Verbruik Gekoeld liter deze maand]]/0.15</f>
        <v>775.33333333333326</v>
      </c>
      <c r="AL54" s="53">
        <v>283.2</v>
      </c>
      <c r="AM54">
        <f>'mei2025'!AL54</f>
        <v>193.8</v>
      </c>
      <c r="AN54">
        <f>Tabel2425678910111213141517161819212022232614151617[[#This Row],[Stand Bruisend liter einde maand]]-Tabel2425678910111213141517161819212022232614151617[[#This Row],[Stand Bruisend liter vorige maand]]</f>
        <v>89.399999999999977</v>
      </c>
      <c r="AO54" s="2">
        <f>Tabel2425678910111213141517161819212022232614151617[[#This Row],[Verbruik Bruisend liter deze maand]]/0.15</f>
        <v>595.99999999999989</v>
      </c>
      <c r="AP54" s="53">
        <v>28</v>
      </c>
      <c r="AQ54">
        <f>'mei2025'!AP54</f>
        <v>22.6</v>
      </c>
      <c r="AR54">
        <f>Tabel2425678910111213141517161819212022232614151617[[#This Row],[Stand licht bruisend liter einde maand]]-Tabel2425678910111213141517161819212022232614151617[[#This Row],[Stand licht bruisend liter vorige maand]]</f>
        <v>5.3999999999999986</v>
      </c>
      <c r="AS54" s="2">
        <f>Tabel2425678910111213141517161819212022232614151617[[#This Row],[Verbruik licht bruisend liter deze maand]]/0.15</f>
        <v>35.999999999999993</v>
      </c>
      <c r="AT54" s="53">
        <v>646.20000000000005</v>
      </c>
      <c r="AU54">
        <f>'mei2025'!AT54</f>
        <v>439.2</v>
      </c>
      <c r="AV54">
        <f>Tabel2425678910111213141517161819212022232614151617[[#This Row],[Stand heet water liter einde maand]]-Tabel2425678910111213141517161819212022232614151617[[#This Row],[Stand heet water liter vorige maand]]</f>
        <v>207.00000000000006</v>
      </c>
      <c r="AW54" s="2">
        <f>Tabel2425678910111213141517161819212022232614151617[[#This Row],[Verbruik heet Water liter deze maand ]]/0.15</f>
        <v>1380.0000000000005</v>
      </c>
      <c r="AX54" s="77">
        <f>Tabel2425678910111213141517161819212022232614151617[[#This Row],[Aantal consumpties heet water deze maand]]+Tabel2425678910111213141517161819212022232614151617[[#This Row],[Aantal consumpties licht bruisend water deze maand]]+Tabel2425678910111213141517161819212022232614151617[[#This Row],[aantal consumpties Bruisend water deze maand]]+Tabel2425678910111213141517161819212022232614151617[[#This Row],[Aantal consumpties gekoeld water deze maand]]+Tabel2425678910111213141517161819212022232614151617[[#This Row],[Aantal consumpties Kamertemp deze maand]]</f>
        <v>2892.0000000000005</v>
      </c>
      <c r="AY54" s="95">
        <f>Tabel2425678910111213141517161819212022232614151617[[#This Row],[Subtotaal waterbar in consumpties]]+Tabel2425678910111213141517161819212022232614151617[[#This Row],[Subtotaal koffieautomaten]]</f>
        <v>3322.0000000000005</v>
      </c>
    </row>
    <row r="55" spans="1:130" ht="14.45" customHeight="1" x14ac:dyDescent="0.25">
      <c r="A55" s="65" t="s">
        <v>48</v>
      </c>
      <c r="B55" t="s">
        <v>102</v>
      </c>
      <c r="C55" t="s">
        <v>31</v>
      </c>
      <c r="E55">
        <v>8653</v>
      </c>
      <c r="F55">
        <f>'mei2025'!E55</f>
        <v>8452</v>
      </c>
      <c r="G55">
        <f>Tabel2425678910111213141517161819212022232614151617[[#This Row],[Stand Coffee einde maand]]-Tabel2425678910111213141517161819212022232614151617[[#This Row],[Coffee vorige maand]]</f>
        <v>201</v>
      </c>
      <c r="H55" s="53">
        <v>2266</v>
      </c>
      <c r="I55">
        <f>'mei2025'!H55</f>
        <v>2260</v>
      </c>
      <c r="J55">
        <f>Tabel2425678910111213141517161819212022232614151617[[#This Row],[Stand Espresso Einde maand]]-Tabel2425678910111213141517161819212022232614151617[[#This Row],[Espresso vorige maand]]</f>
        <v>6</v>
      </c>
      <c r="K55" s="53">
        <v>803</v>
      </c>
      <c r="L55">
        <f>'mei2025'!K55</f>
        <v>768</v>
      </c>
      <c r="M55">
        <f>Tabel2425678910111213141517161819212022232614151617[[#This Row],[Stand Latte Macchiato einde maand]]-Tabel2425678910111213141517161819212022232614151617[[#This Row],[Latte Macchiato vorige maand]]</f>
        <v>35</v>
      </c>
      <c r="N55" s="53">
        <v>452</v>
      </c>
      <c r="O55">
        <f>'mei2025'!N55</f>
        <v>451</v>
      </c>
      <c r="P55">
        <f>Tabel2425678910111213141517161819212022232614151617[[#This Row],[Stand Coffee Latte einde maand]]-Tabel2425678910111213141517161819212022232614151617[[#This Row],[Coffee Latte vorige maand]]</f>
        <v>1</v>
      </c>
      <c r="Q55" s="53">
        <v>22172</v>
      </c>
      <c r="R55">
        <f>'mei2025'!Q55</f>
        <v>21733</v>
      </c>
      <c r="S55">
        <f>Tabel2425678910111213141517161819212022232614151617[[#This Row],[Stand Hot Water einde maand]]-Tabel2425678910111213141517161819212022232614151617[[#This Row],[Hot Water vorige maand]]</f>
        <v>439</v>
      </c>
      <c r="T55" s="53">
        <v>3923</v>
      </c>
      <c r="U55">
        <f>'mei2025'!T55</f>
        <v>3828</v>
      </c>
      <c r="V55">
        <f>Tabel2425678910111213141517161819212022232614151617[[#This Row],[Stand Cappucino einde maand]]-Tabel2425678910111213141517161819212022232614151617[[#This Row],[Stand Cappucino vorige maand]]</f>
        <v>95</v>
      </c>
      <c r="W55" s="53">
        <v>1875</v>
      </c>
      <c r="X55">
        <f>'mei2025'!W55</f>
        <v>1856</v>
      </c>
      <c r="Y55">
        <f>Tabel2425678910111213141517161819212022232614151617[[#This Row],[Stand Cappucino Plantaardig einde maand]]-Tabel2425678910111213141517161819212022232614151617[[#This Row],[Stand Cappucino Plantaardig vorige maand]]</f>
        <v>19</v>
      </c>
      <c r="Z55" s="53">
        <v>214</v>
      </c>
      <c r="AA55">
        <f>'mei2025'!Z55</f>
        <v>198</v>
      </c>
      <c r="AB55">
        <f>Tabel2425678910111213141517161819212022232614151617[[#This Row],[Stand Latte Macchiato Plantaardig einde maand]]-Tabel2425678910111213141517161819212022232614151617[[#This Row],[Stand Latte Macchiato Plantaardig vorige maand]]</f>
        <v>16</v>
      </c>
      <c r="AC55" s="71">
        <f>Tabel2425678910111213141517161819212022232614151617[[#This Row],[Verbruik Stand Latte Macchiato Plantaardig deze maand]]+Tabel2425678910111213141517161819212022232614151617[[#This Row],[Verbruik  Cappucino Plantaardig deze maand]]+Tabel2425678910111213141517161819212022232614151617[[#This Row],[Verbruik Cappucino deze maand]]+Tabel2425678910111213141517161819212022232614151617[[#This Row],[Verbruik Hot Water deze maand]]+Tabel2425678910111213141517161819212022232614151617[[#This Row],[Verbruik Coffee Latte deze maand]]+Tabel2425678910111213141517161819212022232614151617[[#This Row],[Verbruik Latte Macchiato deze maand]]+Tabel2425678910111213141517161819212022232614151617[[#This Row],[Verbruik Espresso deze maand]]+Tabel2425678910111213141517161819212022232614151617[[#This Row],[Verbruik Coffee deze maand]]</f>
        <v>812</v>
      </c>
      <c r="AD55" s="69"/>
      <c r="AE55" s="41"/>
      <c r="AF55" s="5"/>
      <c r="AG55" s="5"/>
      <c r="AH55" s="75"/>
      <c r="AI55" s="41"/>
      <c r="AJ55" s="5"/>
      <c r="AK55" s="5"/>
      <c r="AL55" s="75"/>
      <c r="AM55" s="41"/>
      <c r="AN55" s="5"/>
      <c r="AO55" s="5"/>
      <c r="AP55" s="75"/>
      <c r="AQ55" s="41"/>
      <c r="AR55" s="5"/>
      <c r="AS55" s="5"/>
      <c r="AT55" s="75"/>
      <c r="AU55" s="41"/>
      <c r="AV55" s="5"/>
      <c r="AW55" s="5"/>
      <c r="AX55" s="79"/>
      <c r="AY55" s="95">
        <f>Tabel2425678910111213141517161819212022232614151617[[#This Row],[Subtotaal waterbar in consumpties]]+Tabel2425678910111213141517161819212022232614151617[[#This Row],[Subtotaal koffieautomaten]]</f>
        <v>812</v>
      </c>
    </row>
    <row r="56" spans="1:130" ht="14.45" customHeight="1" x14ac:dyDescent="0.25">
      <c r="A56" s="65" t="s">
        <v>50</v>
      </c>
      <c r="B56" t="s">
        <v>103</v>
      </c>
      <c r="C56" t="s">
        <v>47</v>
      </c>
      <c r="E56">
        <v>9164</v>
      </c>
      <c r="F56">
        <f>'mei2025'!E56</f>
        <v>9079</v>
      </c>
      <c r="G56">
        <f>Tabel2425678910111213141517161819212022232614151617[[#This Row],[Stand Coffee einde maand]]-Tabel2425678910111213141517161819212022232614151617[[#This Row],[Coffee vorige maand]]</f>
        <v>85</v>
      </c>
      <c r="H56" s="53">
        <v>3934</v>
      </c>
      <c r="I56">
        <f>'mei2025'!H56</f>
        <v>3835</v>
      </c>
      <c r="J56">
        <f>Tabel2425678910111213141517161819212022232614151617[[#This Row],[Stand Espresso Einde maand]]-Tabel2425678910111213141517161819212022232614151617[[#This Row],[Espresso vorige maand]]</f>
        <v>99</v>
      </c>
      <c r="K56" s="53">
        <v>320</v>
      </c>
      <c r="L56">
        <f>'mei2025'!K56</f>
        <v>307</v>
      </c>
      <c r="M56">
        <f>Tabel2425678910111213141517161819212022232614151617[[#This Row],[Stand Latte Macchiato einde maand]]-Tabel2425678910111213141517161819212022232614151617[[#This Row],[Latte Macchiato vorige maand]]</f>
        <v>13</v>
      </c>
      <c r="N56" s="53">
        <v>132</v>
      </c>
      <c r="O56">
        <f>'mei2025'!N56</f>
        <v>130</v>
      </c>
      <c r="P56">
        <f>Tabel2425678910111213141517161819212022232614151617[[#This Row],[Stand Coffee Latte einde maand]]-Tabel2425678910111213141517161819212022232614151617[[#This Row],[Coffee Latte vorige maand]]</f>
        <v>2</v>
      </c>
      <c r="Q56" s="53">
        <v>1</v>
      </c>
      <c r="R56">
        <f>'mei2025'!Q56</f>
        <v>1</v>
      </c>
      <c r="S56">
        <f>Tabel2425678910111213141517161819212022232614151617[[#This Row],[Stand Hot Water einde maand]]-Tabel2425678910111213141517161819212022232614151617[[#This Row],[Hot Water vorige maand]]</f>
        <v>0</v>
      </c>
      <c r="T56" s="53">
        <v>7045</v>
      </c>
      <c r="U56">
        <f>'mei2025'!T56</f>
        <v>6950</v>
      </c>
      <c r="V56">
        <f>Tabel2425678910111213141517161819212022232614151617[[#This Row],[Stand Cappucino einde maand]]-Tabel2425678910111213141517161819212022232614151617[[#This Row],[Stand Cappucino vorige maand]]</f>
        <v>95</v>
      </c>
      <c r="W56" s="53">
        <v>618</v>
      </c>
      <c r="X56">
        <f>'mei2025'!W56</f>
        <v>608</v>
      </c>
      <c r="Y56">
        <f>Tabel2425678910111213141517161819212022232614151617[[#This Row],[Stand Cappucino Plantaardig einde maand]]-Tabel2425678910111213141517161819212022232614151617[[#This Row],[Stand Cappucino Plantaardig vorige maand]]</f>
        <v>10</v>
      </c>
      <c r="Z56" s="53">
        <v>125</v>
      </c>
      <c r="AA56">
        <f>'mei2025'!Z56</f>
        <v>125</v>
      </c>
      <c r="AB56">
        <f>Tabel2425678910111213141517161819212022232614151617[[#This Row],[Stand Latte Macchiato Plantaardig einde maand]]-Tabel2425678910111213141517161819212022232614151617[[#This Row],[Stand Latte Macchiato Plantaardig vorige maand]]</f>
        <v>0</v>
      </c>
      <c r="AC56" s="71">
        <f>Tabel2425678910111213141517161819212022232614151617[[#This Row],[Verbruik Stand Latte Macchiato Plantaardig deze maand]]+Tabel2425678910111213141517161819212022232614151617[[#This Row],[Verbruik  Cappucino Plantaardig deze maand]]+Tabel2425678910111213141517161819212022232614151617[[#This Row],[Verbruik Cappucino deze maand]]+Tabel2425678910111213141517161819212022232614151617[[#This Row],[Verbruik Hot Water deze maand]]+Tabel2425678910111213141517161819212022232614151617[[#This Row],[Verbruik Coffee Latte deze maand]]+Tabel2425678910111213141517161819212022232614151617[[#This Row],[Verbruik Latte Macchiato deze maand]]+Tabel2425678910111213141517161819212022232614151617[[#This Row],[Verbruik Espresso deze maand]]+Tabel2425678910111213141517161819212022232614151617[[#This Row],[Verbruik Coffee deze maand]]</f>
        <v>304</v>
      </c>
      <c r="AD56" s="53">
        <v>84.9</v>
      </c>
      <c r="AE56">
        <f>'mei2025'!AD56</f>
        <v>70.599999999999994</v>
      </c>
      <c r="AF56">
        <f>Tabel2425678910111213141517161819212022232614151617[[#This Row],[Stand Kamertemp liter einde maand]]-Tabel2425678910111213141517161819212022232614151617[[#This Row],[Stand Kamertemp liter vorige maand]]</f>
        <v>14.300000000000011</v>
      </c>
      <c r="AG56" s="2">
        <f>Tabel2425678910111213141517161819212022232614151617[[#This Row],[Verbruik Kamertemp liter deze maand]]/0.15</f>
        <v>95.333333333333414</v>
      </c>
      <c r="AH56" s="53">
        <v>518.79999999999995</v>
      </c>
      <c r="AI56">
        <f>'mei2025'!AH56</f>
        <v>467.1</v>
      </c>
      <c r="AJ56">
        <f>Tabel2425678910111213141517161819212022232614151617[[#This Row],[Stand Gekoeld liter einde maand]]-Tabel2425678910111213141517161819212022232614151617[[#This Row],[Stand Gekoeld liter vorige maand]]</f>
        <v>51.699999999999932</v>
      </c>
      <c r="AK56" s="2">
        <f>Tabel2425678910111213141517161819212022232614151617[[#This Row],[Verbruik Gekoeld liter deze maand]]/0.15</f>
        <v>344.66666666666623</v>
      </c>
      <c r="AL56" s="53">
        <v>568.5</v>
      </c>
      <c r="AM56">
        <f>'mei2025'!AL56</f>
        <v>496.9</v>
      </c>
      <c r="AN56">
        <f>Tabel2425678910111213141517161819212022232614151617[[#This Row],[Stand Bruisend liter einde maand]]-Tabel2425678910111213141517161819212022232614151617[[#This Row],[Stand Bruisend liter vorige maand]]</f>
        <v>71.600000000000023</v>
      </c>
      <c r="AO56" s="2">
        <f>Tabel2425678910111213141517161819212022232614151617[[#This Row],[Verbruik Bruisend liter deze maand]]/0.15</f>
        <v>477.33333333333348</v>
      </c>
      <c r="AP56" s="53">
        <v>204.4</v>
      </c>
      <c r="AQ56">
        <f>'mei2025'!AP56</f>
        <v>180.8</v>
      </c>
      <c r="AR56">
        <f>Tabel2425678910111213141517161819212022232614151617[[#This Row],[Stand licht bruisend liter einde maand]]-Tabel2425678910111213141517161819212022232614151617[[#This Row],[Stand licht bruisend liter vorige maand]]</f>
        <v>23.599999999999994</v>
      </c>
      <c r="AS56" s="2">
        <f>Tabel2425678910111213141517161819212022232614151617[[#This Row],[Verbruik licht bruisend liter deze maand]]/0.15</f>
        <v>157.33333333333331</v>
      </c>
      <c r="AT56" s="53">
        <v>1926.6</v>
      </c>
      <c r="AU56">
        <f>'mei2025'!AT56</f>
        <v>1775.5</v>
      </c>
      <c r="AV56">
        <f>Tabel2425678910111213141517161819212022232614151617[[#This Row],[Stand heet water liter einde maand]]-Tabel2425678910111213141517161819212022232614151617[[#This Row],[Stand heet water liter vorige maand]]</f>
        <v>151.09999999999991</v>
      </c>
      <c r="AW56" s="2">
        <f>Tabel2425678910111213141517161819212022232614151617[[#This Row],[Verbruik heet Water liter deze maand ]]/0.15</f>
        <v>1007.3333333333328</v>
      </c>
      <c r="AX56" s="77">
        <f>Tabel2425678910111213141517161819212022232614151617[[#This Row],[Aantal consumpties heet water deze maand]]+Tabel2425678910111213141517161819212022232614151617[[#This Row],[Aantal consumpties licht bruisend water deze maand]]+Tabel2425678910111213141517161819212022232614151617[[#This Row],[aantal consumpties Bruisend water deze maand]]+Tabel2425678910111213141517161819212022232614151617[[#This Row],[Aantal consumpties gekoeld water deze maand]]+Tabel2425678910111213141517161819212022232614151617[[#This Row],[Aantal consumpties Kamertemp deze maand]]</f>
        <v>2081.9999999999991</v>
      </c>
      <c r="AY56" s="95">
        <f>Tabel2425678910111213141517161819212022232614151617[[#This Row],[Subtotaal waterbar in consumpties]]+Tabel2425678910111213141517161819212022232614151617[[#This Row],[Subtotaal koffieautomaten]]</f>
        <v>2385.9999999999991</v>
      </c>
    </row>
    <row r="57" spans="1:130" ht="14.45" customHeight="1" x14ac:dyDescent="0.25">
      <c r="A57" s="65" t="s">
        <v>52</v>
      </c>
      <c r="B57" t="s">
        <v>104</v>
      </c>
      <c r="C57" t="s">
        <v>47</v>
      </c>
      <c r="E57">
        <v>4512</v>
      </c>
      <c r="F57">
        <f>'mei2025'!E57</f>
        <v>4353</v>
      </c>
      <c r="G57">
        <f>Tabel2425678910111213141517161819212022232614151617[[#This Row],[Stand Coffee einde maand]]-Tabel2425678910111213141517161819212022232614151617[[#This Row],[Coffee vorige maand]]</f>
        <v>159</v>
      </c>
      <c r="H57" s="53">
        <v>777</v>
      </c>
      <c r="I57">
        <f>'mei2025'!H57</f>
        <v>731</v>
      </c>
      <c r="J57">
        <f>Tabel2425678910111213141517161819212022232614151617[[#This Row],[Stand Espresso Einde maand]]-Tabel2425678910111213141517161819212022232614151617[[#This Row],[Espresso vorige maand]]</f>
        <v>46</v>
      </c>
      <c r="K57" s="53">
        <v>425</v>
      </c>
      <c r="L57">
        <f>'mei2025'!K57</f>
        <v>408</v>
      </c>
      <c r="M57">
        <f>Tabel2425678910111213141517161819212022232614151617[[#This Row],[Stand Latte Macchiato einde maand]]-Tabel2425678910111213141517161819212022232614151617[[#This Row],[Latte Macchiato vorige maand]]</f>
        <v>17</v>
      </c>
      <c r="N57" s="53">
        <v>967</v>
      </c>
      <c r="O57">
        <f>'mei2025'!N57</f>
        <v>889</v>
      </c>
      <c r="P57">
        <f>Tabel2425678910111213141517161819212022232614151617[[#This Row],[Stand Coffee Latte einde maand]]-Tabel2425678910111213141517161819212022232614151617[[#This Row],[Coffee Latte vorige maand]]</f>
        <v>78</v>
      </c>
      <c r="Q57" s="53">
        <v>840</v>
      </c>
      <c r="R57">
        <f>'mei2025'!Q57</f>
        <v>825</v>
      </c>
      <c r="S57">
        <f>Tabel2425678910111213141517161819212022232614151617[[#This Row],[Stand Hot Water einde maand]]-Tabel2425678910111213141517161819212022232614151617[[#This Row],[Hot Water vorige maand]]</f>
        <v>15</v>
      </c>
      <c r="T57" s="53">
        <v>4455</v>
      </c>
      <c r="U57">
        <f>'mei2025'!T57</f>
        <v>4230</v>
      </c>
      <c r="V57">
        <f>Tabel2425678910111213141517161819212022232614151617[[#This Row],[Stand Cappucino einde maand]]-Tabel2425678910111213141517161819212022232614151617[[#This Row],[Stand Cappucino vorige maand]]</f>
        <v>225</v>
      </c>
      <c r="W57" s="53">
        <v>832</v>
      </c>
      <c r="X57">
        <f>'mei2025'!W57</f>
        <v>774</v>
      </c>
      <c r="Y57">
        <f>Tabel2425678910111213141517161819212022232614151617[[#This Row],[Stand Cappucino Plantaardig einde maand]]-Tabel2425678910111213141517161819212022232614151617[[#This Row],[Stand Cappucino Plantaardig vorige maand]]</f>
        <v>58</v>
      </c>
      <c r="Z57" s="53">
        <v>92</v>
      </c>
      <c r="AA57">
        <f>'mei2025'!Z57</f>
        <v>86</v>
      </c>
      <c r="AB57">
        <f>Tabel2425678910111213141517161819212022232614151617[[#This Row],[Stand Latte Macchiato Plantaardig einde maand]]-Tabel2425678910111213141517161819212022232614151617[[#This Row],[Stand Latte Macchiato Plantaardig vorige maand]]</f>
        <v>6</v>
      </c>
      <c r="AC57" s="71">
        <f>Tabel2425678910111213141517161819212022232614151617[[#This Row],[Verbruik Stand Latte Macchiato Plantaardig deze maand]]+Tabel2425678910111213141517161819212022232614151617[[#This Row],[Verbruik  Cappucino Plantaardig deze maand]]+Tabel2425678910111213141517161819212022232614151617[[#This Row],[Verbruik Cappucino deze maand]]+Tabel2425678910111213141517161819212022232614151617[[#This Row],[Verbruik Hot Water deze maand]]+Tabel2425678910111213141517161819212022232614151617[[#This Row],[Verbruik Coffee Latte deze maand]]+Tabel2425678910111213141517161819212022232614151617[[#This Row],[Verbruik Latte Macchiato deze maand]]+Tabel2425678910111213141517161819212022232614151617[[#This Row],[Verbruik Espresso deze maand]]+Tabel2425678910111213141517161819212022232614151617[[#This Row],[Verbruik Coffee deze maand]]</f>
        <v>604</v>
      </c>
      <c r="AD57" s="53">
        <v>17.600000000000001</v>
      </c>
      <c r="AE57">
        <f>'mei2025'!AD57</f>
        <v>16.399999999999999</v>
      </c>
      <c r="AF57">
        <f>Tabel2425678910111213141517161819212022232614151617[[#This Row],[Stand Kamertemp liter einde maand]]-Tabel2425678910111213141517161819212022232614151617[[#This Row],[Stand Kamertemp liter vorige maand]]</f>
        <v>1.2000000000000028</v>
      </c>
      <c r="AG57" s="2">
        <f>Tabel2425678910111213141517161819212022232614151617[[#This Row],[Verbruik Kamertemp liter deze maand]]/0.15</f>
        <v>8.0000000000000195</v>
      </c>
      <c r="AH57" s="53">
        <v>353.9</v>
      </c>
      <c r="AI57">
        <f>'mei2025'!AH57</f>
        <v>281.39999999999998</v>
      </c>
      <c r="AJ57">
        <f>Tabel2425678910111213141517161819212022232614151617[[#This Row],[Stand Gekoeld liter einde maand]]-Tabel2425678910111213141517161819212022232614151617[[#This Row],[Stand Gekoeld liter vorige maand]]</f>
        <v>72.5</v>
      </c>
      <c r="AK57" s="2">
        <f>Tabel2425678910111213141517161819212022232614151617[[#This Row],[Verbruik Gekoeld liter deze maand]]/0.15</f>
        <v>483.33333333333337</v>
      </c>
      <c r="AL57" s="53">
        <v>191.7</v>
      </c>
      <c r="AM57">
        <f>'mei2025'!AL57</f>
        <v>148.30000000000001</v>
      </c>
      <c r="AN57">
        <f>Tabel2425678910111213141517161819212022232614151617[[#This Row],[Stand Bruisend liter einde maand]]-Tabel2425678910111213141517161819212022232614151617[[#This Row],[Stand Bruisend liter vorige maand]]</f>
        <v>43.399999999999977</v>
      </c>
      <c r="AO57" s="2">
        <f>Tabel2425678910111213141517161819212022232614151617[[#This Row],[Verbruik Bruisend liter deze maand]]/0.15</f>
        <v>289.3333333333332</v>
      </c>
      <c r="AP57" s="53">
        <v>51.2</v>
      </c>
      <c r="AQ57">
        <f>'mei2025'!AP57</f>
        <v>42.5</v>
      </c>
      <c r="AR57">
        <f>Tabel2425678910111213141517161819212022232614151617[[#This Row],[Stand licht bruisend liter einde maand]]-Tabel2425678910111213141517161819212022232614151617[[#This Row],[Stand licht bruisend liter vorige maand]]</f>
        <v>8.7000000000000028</v>
      </c>
      <c r="AS57" s="2">
        <f>Tabel2425678910111213141517161819212022232614151617[[#This Row],[Verbruik licht bruisend liter deze maand]]/0.15</f>
        <v>58.000000000000021</v>
      </c>
      <c r="AT57" s="53">
        <v>1146.9000000000001</v>
      </c>
      <c r="AU57">
        <f>'mei2025'!AT57</f>
        <v>935.9</v>
      </c>
      <c r="AV57">
        <f>Tabel2425678910111213141517161819212022232614151617[[#This Row],[Stand heet water liter einde maand]]-Tabel2425678910111213141517161819212022232614151617[[#This Row],[Stand heet water liter vorige maand]]</f>
        <v>211.00000000000011</v>
      </c>
      <c r="AW57" s="2">
        <f>Tabel2425678910111213141517161819212022232614151617[[#This Row],[Verbruik heet Water liter deze maand ]]/0.15</f>
        <v>1406.6666666666674</v>
      </c>
      <c r="AX57" s="77">
        <f>Tabel2425678910111213141517161819212022232614151617[[#This Row],[Aantal consumpties heet water deze maand]]+Tabel2425678910111213141517161819212022232614151617[[#This Row],[Aantal consumpties licht bruisend water deze maand]]+Tabel2425678910111213141517161819212022232614151617[[#This Row],[aantal consumpties Bruisend water deze maand]]+Tabel2425678910111213141517161819212022232614151617[[#This Row],[Aantal consumpties gekoeld water deze maand]]+Tabel2425678910111213141517161819212022232614151617[[#This Row],[Aantal consumpties Kamertemp deze maand]]</f>
        <v>2245.3333333333339</v>
      </c>
      <c r="AY57" s="95">
        <f>Tabel2425678910111213141517161819212022232614151617[[#This Row],[Subtotaal waterbar in consumpties]]+Tabel2425678910111213141517161819212022232614151617[[#This Row],[Subtotaal koffieautomaten]]</f>
        <v>2849.3333333333339</v>
      </c>
    </row>
    <row r="58" spans="1:130" ht="14.45" customHeight="1" x14ac:dyDescent="0.25">
      <c r="A58" s="65" t="s">
        <v>54</v>
      </c>
      <c r="B58" t="s">
        <v>105</v>
      </c>
      <c r="C58" t="s">
        <v>31</v>
      </c>
      <c r="E58">
        <v>8032</v>
      </c>
      <c r="F58">
        <f>'mei2025'!E58</f>
        <v>7889</v>
      </c>
      <c r="G58">
        <f>Tabel2425678910111213141517161819212022232614151617[[#This Row],[Stand Coffee einde maand]]-Tabel2425678910111213141517161819212022232614151617[[#This Row],[Coffee vorige maand]]</f>
        <v>143</v>
      </c>
      <c r="H58" s="53">
        <v>3633</v>
      </c>
      <c r="I58">
        <f>'mei2025'!H58</f>
        <v>3464</v>
      </c>
      <c r="J58">
        <f>Tabel2425678910111213141517161819212022232614151617[[#This Row],[Stand Espresso Einde maand]]-Tabel2425678910111213141517161819212022232614151617[[#This Row],[Espresso vorige maand]]</f>
        <v>169</v>
      </c>
      <c r="K58" s="53">
        <v>3344</v>
      </c>
      <c r="L58">
        <f>'mei2025'!K58</f>
        <v>3316</v>
      </c>
      <c r="M58">
        <f>Tabel2425678910111213141517161819212022232614151617[[#This Row],[Stand Latte Macchiato einde maand]]-Tabel2425678910111213141517161819212022232614151617[[#This Row],[Latte Macchiato vorige maand]]</f>
        <v>28</v>
      </c>
      <c r="N58" s="53">
        <v>1002</v>
      </c>
      <c r="O58">
        <f>'mei2025'!N58</f>
        <v>974</v>
      </c>
      <c r="P58">
        <f>Tabel2425678910111213141517161819212022232614151617[[#This Row],[Stand Coffee Latte einde maand]]-Tabel2425678910111213141517161819212022232614151617[[#This Row],[Coffee Latte vorige maand]]</f>
        <v>28</v>
      </c>
      <c r="Q58" s="53">
        <v>35209</v>
      </c>
      <c r="R58">
        <f>'mei2025'!Q58</f>
        <v>34555</v>
      </c>
      <c r="S58">
        <f>Tabel2425678910111213141517161819212022232614151617[[#This Row],[Stand Hot Water einde maand]]-Tabel2425678910111213141517161819212022232614151617[[#This Row],[Hot Water vorige maand]]</f>
        <v>654</v>
      </c>
      <c r="T58" s="53">
        <v>6451</v>
      </c>
      <c r="U58">
        <f>'mei2025'!T58</f>
        <v>6304</v>
      </c>
      <c r="V58">
        <f>Tabel2425678910111213141517161819212022232614151617[[#This Row],[Stand Cappucino einde maand]]-Tabel2425678910111213141517161819212022232614151617[[#This Row],[Stand Cappucino vorige maand]]</f>
        <v>147</v>
      </c>
      <c r="W58" s="53">
        <v>1087</v>
      </c>
      <c r="X58">
        <f>'mei2025'!W58</f>
        <v>1084</v>
      </c>
      <c r="Y58">
        <f>Tabel2425678910111213141517161819212022232614151617[[#This Row],[Stand Cappucino Plantaardig einde maand]]-Tabel2425678910111213141517161819212022232614151617[[#This Row],[Stand Cappucino Plantaardig vorige maand]]</f>
        <v>3</v>
      </c>
      <c r="Z58" s="53">
        <v>257</v>
      </c>
      <c r="AA58">
        <f>'mei2025'!Z58</f>
        <v>254</v>
      </c>
      <c r="AB58">
        <f>Tabel2425678910111213141517161819212022232614151617[[#This Row],[Stand Latte Macchiato Plantaardig einde maand]]-Tabel2425678910111213141517161819212022232614151617[[#This Row],[Stand Latte Macchiato Plantaardig vorige maand]]</f>
        <v>3</v>
      </c>
      <c r="AC58" s="71">
        <f>Tabel2425678910111213141517161819212022232614151617[[#This Row],[Verbruik Stand Latte Macchiato Plantaardig deze maand]]+Tabel2425678910111213141517161819212022232614151617[[#This Row],[Verbruik  Cappucino Plantaardig deze maand]]+Tabel2425678910111213141517161819212022232614151617[[#This Row],[Verbruik Cappucino deze maand]]+Tabel2425678910111213141517161819212022232614151617[[#This Row],[Verbruik Hot Water deze maand]]+Tabel2425678910111213141517161819212022232614151617[[#This Row],[Verbruik Coffee Latte deze maand]]+Tabel2425678910111213141517161819212022232614151617[[#This Row],[Verbruik Latte Macchiato deze maand]]+Tabel2425678910111213141517161819212022232614151617[[#This Row],[Verbruik Espresso deze maand]]+Tabel2425678910111213141517161819212022232614151617[[#This Row],[Verbruik Coffee deze maand]]</f>
        <v>1175</v>
      </c>
      <c r="AD58" s="69"/>
      <c r="AE58" s="41"/>
      <c r="AF58" s="5"/>
      <c r="AG58" s="5"/>
      <c r="AH58" s="75"/>
      <c r="AI58" s="41"/>
      <c r="AJ58" s="5"/>
      <c r="AK58" s="5"/>
      <c r="AL58" s="75"/>
      <c r="AM58" s="41"/>
      <c r="AN58" s="5"/>
      <c r="AO58" s="5"/>
      <c r="AP58" s="75"/>
      <c r="AQ58" s="41"/>
      <c r="AR58" s="5"/>
      <c r="AS58" s="5"/>
      <c r="AT58" s="75"/>
      <c r="AU58" s="41"/>
      <c r="AV58" s="5"/>
      <c r="AW58" s="5"/>
      <c r="AX58" s="79"/>
      <c r="AY58" s="95">
        <f>Tabel2425678910111213141517161819212022232614151617[[#This Row],[Subtotaal waterbar in consumpties]]+Tabel2425678910111213141517161819212022232614151617[[#This Row],[Subtotaal koffieautomaten]]</f>
        <v>1175</v>
      </c>
    </row>
    <row r="59" spans="1:130" ht="14.45" customHeight="1" x14ac:dyDescent="0.25">
      <c r="A59" s="65" t="s">
        <v>56</v>
      </c>
      <c r="B59" t="s">
        <v>106</v>
      </c>
      <c r="C59" t="s">
        <v>47</v>
      </c>
      <c r="E59">
        <v>12368</v>
      </c>
      <c r="F59">
        <f>'mei2025'!E59</f>
        <v>12038</v>
      </c>
      <c r="G59">
        <f>Tabel2425678910111213141517161819212022232614151617[[#This Row],[Stand Coffee einde maand]]-Tabel2425678910111213141517161819212022232614151617[[#This Row],[Coffee vorige maand]]</f>
        <v>330</v>
      </c>
      <c r="H59" s="53">
        <v>3572</v>
      </c>
      <c r="I59">
        <f>'mei2025'!H59</f>
        <v>3435</v>
      </c>
      <c r="J59">
        <f>Tabel2425678910111213141517161819212022232614151617[[#This Row],[Stand Espresso Einde maand]]-Tabel2425678910111213141517161819212022232614151617[[#This Row],[Espresso vorige maand]]</f>
        <v>137</v>
      </c>
      <c r="K59" s="53">
        <v>3397</v>
      </c>
      <c r="L59">
        <f>'mei2025'!K59</f>
        <v>3307</v>
      </c>
      <c r="M59">
        <f>Tabel2425678910111213141517161819212022232614151617[[#This Row],[Stand Latte Macchiato einde maand]]-Tabel2425678910111213141517161819212022232614151617[[#This Row],[Latte Macchiato vorige maand]]</f>
        <v>90</v>
      </c>
      <c r="N59" s="53">
        <v>379</v>
      </c>
      <c r="O59">
        <f>'mei2025'!N59</f>
        <v>363</v>
      </c>
      <c r="P59">
        <f>Tabel2425678910111213141517161819212022232614151617[[#This Row],[Stand Coffee Latte einde maand]]-Tabel2425678910111213141517161819212022232614151617[[#This Row],[Coffee Latte vorige maand]]</f>
        <v>16</v>
      </c>
      <c r="Q59" s="53">
        <v>1</v>
      </c>
      <c r="R59">
        <f>'mei2025'!Q59</f>
        <v>1</v>
      </c>
      <c r="S59">
        <f>Tabel2425678910111213141517161819212022232614151617[[#This Row],[Stand Hot Water einde maand]]-Tabel2425678910111213141517161819212022232614151617[[#This Row],[Hot Water vorige maand]]</f>
        <v>0</v>
      </c>
      <c r="T59" s="53">
        <v>6702</v>
      </c>
      <c r="U59">
        <f>'mei2025'!T59</f>
        <v>6559</v>
      </c>
      <c r="V59">
        <f>Tabel2425678910111213141517161819212022232614151617[[#This Row],[Stand Cappucino einde maand]]-Tabel2425678910111213141517161819212022232614151617[[#This Row],[Stand Cappucino vorige maand]]</f>
        <v>143</v>
      </c>
      <c r="W59" s="53">
        <v>1293</v>
      </c>
      <c r="X59">
        <f>'mei2025'!W59</f>
        <v>1285</v>
      </c>
      <c r="Y59">
        <f>Tabel2425678910111213141517161819212022232614151617[[#This Row],[Stand Cappucino Plantaardig einde maand]]-Tabel2425678910111213141517161819212022232614151617[[#This Row],[Stand Cappucino Plantaardig vorige maand]]</f>
        <v>8</v>
      </c>
      <c r="Z59" s="53">
        <v>179</v>
      </c>
      <c r="AA59">
        <f>'mei2025'!Z59</f>
        <v>177</v>
      </c>
      <c r="AB59">
        <f>Tabel2425678910111213141517161819212022232614151617[[#This Row],[Stand Latte Macchiato Plantaardig einde maand]]-Tabel2425678910111213141517161819212022232614151617[[#This Row],[Stand Latte Macchiato Plantaardig vorige maand]]</f>
        <v>2</v>
      </c>
      <c r="AC59" s="71">
        <f>Tabel2425678910111213141517161819212022232614151617[[#This Row],[Verbruik Stand Latte Macchiato Plantaardig deze maand]]+Tabel2425678910111213141517161819212022232614151617[[#This Row],[Verbruik  Cappucino Plantaardig deze maand]]+Tabel2425678910111213141517161819212022232614151617[[#This Row],[Verbruik Cappucino deze maand]]+Tabel2425678910111213141517161819212022232614151617[[#This Row],[Verbruik Hot Water deze maand]]+Tabel2425678910111213141517161819212022232614151617[[#This Row],[Verbruik Coffee Latte deze maand]]+Tabel2425678910111213141517161819212022232614151617[[#This Row],[Verbruik Latte Macchiato deze maand]]+Tabel2425678910111213141517161819212022232614151617[[#This Row],[Verbruik Espresso deze maand]]+Tabel2425678910111213141517161819212022232614151617[[#This Row],[Verbruik Coffee deze maand]]</f>
        <v>726</v>
      </c>
      <c r="AD59" s="53">
        <v>372.3</v>
      </c>
      <c r="AE59">
        <f>'mei2025'!AD59</f>
        <v>365.6</v>
      </c>
      <c r="AF59">
        <f>Tabel2425678910111213141517161819212022232614151617[[#This Row],[Stand Kamertemp liter einde maand]]-Tabel2425678910111213141517161819212022232614151617[[#This Row],[Stand Kamertemp liter vorige maand]]</f>
        <v>6.6999999999999886</v>
      </c>
      <c r="AG59" s="2">
        <f>Tabel2425678910111213141517161819212022232614151617[[#This Row],[Verbruik Kamertemp liter deze maand]]/0.15</f>
        <v>44.666666666666593</v>
      </c>
      <c r="AH59" s="53">
        <v>3344.1</v>
      </c>
      <c r="AI59">
        <f>'mei2025'!AH59</f>
        <v>3203</v>
      </c>
      <c r="AJ59">
        <f>Tabel2425678910111213141517161819212022232614151617[[#This Row],[Stand Gekoeld liter einde maand]]-Tabel2425678910111213141517161819212022232614151617[[#This Row],[Stand Gekoeld liter vorige maand]]</f>
        <v>141.09999999999991</v>
      </c>
      <c r="AK59" s="2">
        <f>Tabel2425678910111213141517161819212022232614151617[[#This Row],[Verbruik Gekoeld liter deze maand]]/0.15</f>
        <v>940.66666666666606</v>
      </c>
      <c r="AL59" s="53">
        <v>2382.5</v>
      </c>
      <c r="AM59">
        <f>'mei2025'!AL59</f>
        <v>2281.1999999999998</v>
      </c>
      <c r="AN59">
        <f>Tabel2425678910111213141517161819212022232614151617[[#This Row],[Stand Bruisend liter einde maand]]-Tabel2425678910111213141517161819212022232614151617[[#This Row],[Stand Bruisend liter vorige maand]]</f>
        <v>101.30000000000018</v>
      </c>
      <c r="AO59" s="2">
        <f>Tabel2425678910111213141517161819212022232614151617[[#This Row],[Verbruik Bruisend liter deze maand]]/0.15</f>
        <v>675.33333333333462</v>
      </c>
      <c r="AP59" s="53">
        <v>1310</v>
      </c>
      <c r="AQ59">
        <f>'mei2025'!AP59</f>
        <v>1276</v>
      </c>
      <c r="AR59">
        <f>Tabel2425678910111213141517161819212022232614151617[[#This Row],[Stand licht bruisend liter einde maand]]-Tabel2425678910111213141517161819212022232614151617[[#This Row],[Stand licht bruisend liter vorige maand]]</f>
        <v>34</v>
      </c>
      <c r="AS59" s="2">
        <f>Tabel2425678910111213141517161819212022232614151617[[#This Row],[Verbruik licht bruisend liter deze maand]]/0.15</f>
        <v>226.66666666666669</v>
      </c>
      <c r="AT59" s="53">
        <v>8547.7999999999993</v>
      </c>
      <c r="AU59">
        <f>'mei2025'!AT59</f>
        <v>8418.4</v>
      </c>
      <c r="AV59">
        <f>Tabel2425678910111213141517161819212022232614151617[[#This Row],[Stand heet water liter einde maand]]-Tabel2425678910111213141517161819212022232614151617[[#This Row],[Stand heet water liter vorige maand]]</f>
        <v>129.39999999999964</v>
      </c>
      <c r="AW59" s="2">
        <f>Tabel2425678910111213141517161819212022232614151617[[#This Row],[Verbruik heet Water liter deze maand ]]/0.15</f>
        <v>862.66666666666424</v>
      </c>
      <c r="AX59" s="77">
        <f>Tabel2425678910111213141517161819212022232614151617[[#This Row],[Aantal consumpties heet water deze maand]]+Tabel2425678910111213141517161819212022232614151617[[#This Row],[Aantal consumpties licht bruisend water deze maand]]+Tabel2425678910111213141517161819212022232614151617[[#This Row],[aantal consumpties Bruisend water deze maand]]+Tabel2425678910111213141517161819212022232614151617[[#This Row],[Aantal consumpties gekoeld water deze maand]]+Tabel2425678910111213141517161819212022232614151617[[#This Row],[Aantal consumpties Kamertemp deze maand]]</f>
        <v>2749.9999999999982</v>
      </c>
      <c r="AY59" s="95">
        <f>Tabel2425678910111213141517161819212022232614151617[[#This Row],[Subtotaal waterbar in consumpties]]+Tabel2425678910111213141517161819212022232614151617[[#This Row],[Subtotaal koffieautomaten]]</f>
        <v>3475.9999999999982</v>
      </c>
    </row>
    <row r="60" spans="1:130" ht="14.45" customHeight="1" x14ac:dyDescent="0.25">
      <c r="A60" s="65" t="s">
        <v>58</v>
      </c>
      <c r="B60" t="s">
        <v>107</v>
      </c>
      <c r="C60" t="s">
        <v>31</v>
      </c>
      <c r="E60">
        <v>13224</v>
      </c>
      <c r="F60">
        <f>'mei2025'!E60</f>
        <v>12869</v>
      </c>
      <c r="G60">
        <f>Tabel2425678910111213141517161819212022232614151617[[#This Row],[Stand Coffee einde maand]]-Tabel2425678910111213141517161819212022232614151617[[#This Row],[Coffee vorige maand]]</f>
        <v>355</v>
      </c>
      <c r="H60" s="53">
        <v>2513</v>
      </c>
      <c r="I60">
        <f>'mei2025'!H60</f>
        <v>2449</v>
      </c>
      <c r="J60">
        <f>Tabel2425678910111213141517161819212022232614151617[[#This Row],[Stand Espresso Einde maand]]-Tabel2425678910111213141517161819212022232614151617[[#This Row],[Espresso vorige maand]]</f>
        <v>64</v>
      </c>
      <c r="K60" s="53">
        <v>2052</v>
      </c>
      <c r="L60">
        <f>'mei2025'!K60</f>
        <v>2003</v>
      </c>
      <c r="M60">
        <f>Tabel2425678910111213141517161819212022232614151617[[#This Row],[Stand Latte Macchiato einde maand]]-Tabel2425678910111213141517161819212022232614151617[[#This Row],[Latte Macchiato vorige maand]]</f>
        <v>49</v>
      </c>
      <c r="N60" s="53">
        <v>354</v>
      </c>
      <c r="O60">
        <f>'mei2025'!N60</f>
        <v>347</v>
      </c>
      <c r="P60">
        <f>Tabel2425678910111213141517161819212022232614151617[[#This Row],[Stand Coffee Latte einde maand]]-Tabel2425678910111213141517161819212022232614151617[[#This Row],[Coffee Latte vorige maand]]</f>
        <v>7</v>
      </c>
      <c r="Q60" s="53">
        <v>25599</v>
      </c>
      <c r="R60">
        <f>'mei2025'!Q60</f>
        <v>24979</v>
      </c>
      <c r="S60">
        <f>Tabel2425678910111213141517161819212022232614151617[[#This Row],[Stand Hot Water einde maand]]-Tabel2425678910111213141517161819212022232614151617[[#This Row],[Hot Water vorige maand]]</f>
        <v>620</v>
      </c>
      <c r="T60" s="53">
        <v>3640</v>
      </c>
      <c r="U60">
        <f>'mei2025'!T60</f>
        <v>3540</v>
      </c>
      <c r="V60">
        <f>Tabel2425678910111213141517161819212022232614151617[[#This Row],[Stand Cappucino einde maand]]-Tabel2425678910111213141517161819212022232614151617[[#This Row],[Stand Cappucino vorige maand]]</f>
        <v>100</v>
      </c>
      <c r="W60" s="53">
        <v>2384</v>
      </c>
      <c r="X60">
        <f>'mei2025'!W60</f>
        <v>2297</v>
      </c>
      <c r="Y60">
        <f>Tabel2425678910111213141517161819212022232614151617[[#This Row],[Stand Cappucino Plantaardig einde maand]]-Tabel2425678910111213141517161819212022232614151617[[#This Row],[Stand Cappucino Plantaardig vorige maand]]</f>
        <v>87</v>
      </c>
      <c r="Z60" s="53">
        <v>487</v>
      </c>
      <c r="AA60">
        <f>'mei2025'!Z60</f>
        <v>479</v>
      </c>
      <c r="AB60">
        <f>Tabel2425678910111213141517161819212022232614151617[[#This Row],[Stand Latte Macchiato Plantaardig einde maand]]-Tabel2425678910111213141517161819212022232614151617[[#This Row],[Stand Latte Macchiato Plantaardig vorige maand]]</f>
        <v>8</v>
      </c>
      <c r="AC60" s="71">
        <f>Tabel2425678910111213141517161819212022232614151617[[#This Row],[Verbruik Stand Latte Macchiato Plantaardig deze maand]]+Tabel2425678910111213141517161819212022232614151617[[#This Row],[Verbruik  Cappucino Plantaardig deze maand]]+Tabel2425678910111213141517161819212022232614151617[[#This Row],[Verbruik Cappucino deze maand]]+Tabel2425678910111213141517161819212022232614151617[[#This Row],[Verbruik Hot Water deze maand]]+Tabel2425678910111213141517161819212022232614151617[[#This Row],[Verbruik Coffee Latte deze maand]]+Tabel2425678910111213141517161819212022232614151617[[#This Row],[Verbruik Latte Macchiato deze maand]]+Tabel2425678910111213141517161819212022232614151617[[#This Row],[Verbruik Espresso deze maand]]+Tabel2425678910111213141517161819212022232614151617[[#This Row],[Verbruik Coffee deze maand]]</f>
        <v>1290</v>
      </c>
      <c r="AD60" s="69"/>
      <c r="AE60" s="41"/>
      <c r="AF60" s="5"/>
      <c r="AG60" s="5"/>
      <c r="AH60" s="75"/>
      <c r="AI60" s="41"/>
      <c r="AJ60" s="5"/>
      <c r="AK60" s="5"/>
      <c r="AL60" s="75"/>
      <c r="AM60" s="41"/>
      <c r="AN60" s="5"/>
      <c r="AO60" s="5"/>
      <c r="AP60" s="75"/>
      <c r="AQ60" s="41"/>
      <c r="AR60" s="5"/>
      <c r="AS60" s="5"/>
      <c r="AT60" s="75"/>
      <c r="AU60" s="41"/>
      <c r="AV60" s="5"/>
      <c r="AW60" s="5"/>
      <c r="AX60" s="79"/>
      <c r="AY60" s="95">
        <f>Tabel2425678910111213141517161819212022232614151617[[#This Row],[Subtotaal waterbar in consumpties]]+Tabel2425678910111213141517161819212022232614151617[[#This Row],[Subtotaal koffieautomaten]]</f>
        <v>1290</v>
      </c>
    </row>
    <row r="61" spans="1:130" ht="14.45" customHeight="1" x14ac:dyDescent="0.25">
      <c r="A61" s="65" t="s">
        <v>60</v>
      </c>
      <c r="B61" t="s">
        <v>108</v>
      </c>
      <c r="C61" t="s">
        <v>36</v>
      </c>
      <c r="E61" s="46"/>
      <c r="F61" s="46"/>
      <c r="G61" s="47"/>
      <c r="H61" s="54"/>
      <c r="I61" s="46"/>
      <c r="J61" s="47"/>
      <c r="K61" s="54"/>
      <c r="L61" s="46"/>
      <c r="M61" s="47"/>
      <c r="N61" s="54"/>
      <c r="O61" s="46"/>
      <c r="P61" s="47"/>
      <c r="Q61" s="54"/>
      <c r="R61" s="46"/>
      <c r="S61" s="47"/>
      <c r="T61" s="54"/>
      <c r="U61" s="46"/>
      <c r="V61" s="47"/>
      <c r="W61" s="54"/>
      <c r="X61" s="46"/>
      <c r="Y61" s="47"/>
      <c r="Z61" s="54"/>
      <c r="AA61" s="46"/>
      <c r="AB61" s="47"/>
      <c r="AC61" s="72"/>
      <c r="AD61" s="53">
        <v>336.4</v>
      </c>
      <c r="AE61">
        <f>'mei2025'!AD61</f>
        <v>329.2</v>
      </c>
      <c r="AF61">
        <f>Tabel2425678910111213141517161819212022232614151617[[#This Row],[Stand Kamertemp liter einde maand]]-Tabel2425678910111213141517161819212022232614151617[[#This Row],[Stand Kamertemp liter vorige maand]]</f>
        <v>7.1999999999999886</v>
      </c>
      <c r="AG61" s="2">
        <f>Tabel2425678910111213141517161819212022232614151617[[#This Row],[Verbruik Kamertemp liter deze maand]]/0.15</f>
        <v>47.999999999999929</v>
      </c>
      <c r="AH61" s="53">
        <v>1733.7</v>
      </c>
      <c r="AI61">
        <f>'mei2025'!AH61</f>
        <v>1668.2</v>
      </c>
      <c r="AJ61">
        <f>Tabel2425678910111213141517161819212022232614151617[[#This Row],[Stand Gekoeld liter einde maand]]-Tabel2425678910111213141517161819212022232614151617[[#This Row],[Stand Gekoeld liter vorige maand]]</f>
        <v>65.5</v>
      </c>
      <c r="AK61" s="2">
        <f>Tabel2425678910111213141517161819212022232614151617[[#This Row],[Verbruik Gekoeld liter deze maand]]/0.15</f>
        <v>436.66666666666669</v>
      </c>
      <c r="AL61" s="53">
        <v>899.4</v>
      </c>
      <c r="AM61">
        <f>'mei2025'!AL61</f>
        <v>882.7</v>
      </c>
      <c r="AN61">
        <f>Tabel2425678910111213141517161819212022232614151617[[#This Row],[Stand Bruisend liter einde maand]]-Tabel2425678910111213141517161819212022232614151617[[#This Row],[Stand Bruisend liter vorige maand]]</f>
        <v>16.699999999999932</v>
      </c>
      <c r="AO61" s="2">
        <f>Tabel2425678910111213141517161819212022232614151617[[#This Row],[Verbruik Bruisend liter deze maand]]/0.15</f>
        <v>111.33333333333289</v>
      </c>
      <c r="AP61" s="53">
        <v>1256.5</v>
      </c>
      <c r="AQ61">
        <f>'mei2025'!AP61</f>
        <v>1234.8</v>
      </c>
      <c r="AR61">
        <f>Tabel2425678910111213141517161819212022232614151617[[#This Row],[Stand licht bruisend liter einde maand]]-Tabel2425678910111213141517161819212022232614151617[[#This Row],[Stand licht bruisend liter vorige maand]]</f>
        <v>21.700000000000045</v>
      </c>
      <c r="AS61" s="2">
        <f>Tabel2425678910111213141517161819212022232614151617[[#This Row],[Verbruik licht bruisend liter deze maand]]/0.15</f>
        <v>144.66666666666697</v>
      </c>
      <c r="AT61" s="53">
        <v>4482.8999999999996</v>
      </c>
      <c r="AU61">
        <f>'mei2025'!AT61</f>
        <v>4389.5</v>
      </c>
      <c r="AV61">
        <f>Tabel2425678910111213141517161819212022232614151617[[#This Row],[Stand heet water liter einde maand]]-Tabel2425678910111213141517161819212022232614151617[[#This Row],[Stand heet water liter vorige maand]]</f>
        <v>93.399999999999636</v>
      </c>
      <c r="AW61" s="2">
        <f>Tabel2425678910111213141517161819212022232614151617[[#This Row],[Verbruik heet Water liter deze maand ]]/0.15</f>
        <v>622.66666666666424</v>
      </c>
      <c r="AX61" s="77">
        <f>Tabel2425678910111213141517161819212022232614151617[[#This Row],[Aantal consumpties heet water deze maand]]+Tabel2425678910111213141517161819212022232614151617[[#This Row],[Aantal consumpties licht bruisend water deze maand]]+Tabel2425678910111213141517161819212022232614151617[[#This Row],[aantal consumpties Bruisend water deze maand]]+Tabel2425678910111213141517161819212022232614151617[[#This Row],[Aantal consumpties gekoeld water deze maand]]+Tabel2425678910111213141517161819212022232614151617[[#This Row],[Aantal consumpties Kamertemp deze maand]]</f>
        <v>1363.3333333333308</v>
      </c>
      <c r="AY61" s="95">
        <f>Tabel2425678910111213141517161819212022232614151617[[#This Row],[Subtotaal waterbar in consumpties]]+Tabel2425678910111213141517161819212022232614151617[[#This Row],[Subtotaal koffieautomaten]]</f>
        <v>1363.3333333333308</v>
      </c>
    </row>
    <row r="62" spans="1:130" s="81" customFormat="1" x14ac:dyDescent="0.25">
      <c r="A62" s="165" t="s">
        <v>109</v>
      </c>
      <c r="B62" s="151"/>
      <c r="C62" s="151"/>
      <c r="D62" s="166"/>
      <c r="E62" s="151"/>
      <c r="F62" s="151"/>
      <c r="G62" s="151"/>
      <c r="H62" s="167"/>
      <c r="I62" s="151"/>
      <c r="J62" s="151"/>
      <c r="K62" s="167"/>
      <c r="L62" s="151"/>
      <c r="M62" s="151"/>
      <c r="N62" s="167"/>
      <c r="O62" s="151"/>
      <c r="P62" s="151"/>
      <c r="Q62" s="167"/>
      <c r="R62" s="151"/>
      <c r="S62" s="151"/>
      <c r="T62" s="167"/>
      <c r="U62" s="151"/>
      <c r="V62" s="151"/>
      <c r="W62" s="167"/>
      <c r="X62" s="151"/>
      <c r="Y62" s="151"/>
      <c r="Z62" s="167"/>
      <c r="AA62" s="151"/>
      <c r="AB62" s="151"/>
      <c r="AC62" s="168"/>
      <c r="AD62" s="169"/>
      <c r="AE62" s="154"/>
      <c r="AF62" s="151"/>
      <c r="AG62" s="155"/>
      <c r="AH62" s="169"/>
      <c r="AI62" s="154"/>
      <c r="AJ62" s="151"/>
      <c r="AK62" s="155"/>
      <c r="AL62" s="169"/>
      <c r="AM62" s="154"/>
      <c r="AN62" s="151"/>
      <c r="AO62" s="155"/>
      <c r="AP62" s="169"/>
      <c r="AQ62" s="154"/>
      <c r="AR62" s="151"/>
      <c r="AS62" s="155"/>
      <c r="AT62" s="169"/>
      <c r="AU62" s="154"/>
      <c r="AV62" s="151"/>
      <c r="AW62" s="155"/>
      <c r="AX62" s="170"/>
      <c r="AY62" s="171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</row>
    <row r="63" spans="1:130" x14ac:dyDescent="0.25">
      <c r="A63" s="67">
        <v>1</v>
      </c>
      <c r="B63" t="s">
        <v>110</v>
      </c>
      <c r="C63" t="s">
        <v>31</v>
      </c>
      <c r="E63">
        <v>11841</v>
      </c>
      <c r="F63">
        <f>'mei2025'!E63</f>
        <v>11477</v>
      </c>
      <c r="G63">
        <f>Tabel2425678910111213141517161819212022232614151617[[#This Row],[Stand Coffee einde maand]]-Tabel2425678910111213141517161819212022232614151617[[#This Row],[Coffee vorige maand]]</f>
        <v>364</v>
      </c>
      <c r="H63" s="53">
        <v>1629</v>
      </c>
      <c r="I63">
        <f>'mei2025'!H63</f>
        <v>1602</v>
      </c>
      <c r="J63">
        <f>Tabel2425678910111213141517161819212022232614151617[[#This Row],[Stand Espresso Einde maand]]-Tabel2425678910111213141517161819212022232614151617[[#This Row],[Espresso vorige maand]]</f>
        <v>27</v>
      </c>
      <c r="K63" s="53">
        <v>1108</v>
      </c>
      <c r="L63">
        <f>'mei2025'!K63</f>
        <v>1091</v>
      </c>
      <c r="M63">
        <f>Tabel2425678910111213141517161819212022232614151617[[#This Row],[Stand Latte Macchiato einde maand]]-Tabel2425678910111213141517161819212022232614151617[[#This Row],[Latte Macchiato vorige maand]]</f>
        <v>17</v>
      </c>
      <c r="N63" s="53">
        <v>525</v>
      </c>
      <c r="O63">
        <f>'mei2025'!N63</f>
        <v>521</v>
      </c>
      <c r="P63">
        <f>Tabel2425678910111213141517161819212022232614151617[[#This Row],[Stand Coffee Latte einde maand]]-Tabel2425678910111213141517161819212022232614151617[[#This Row],[Coffee Latte vorige maand]]</f>
        <v>4</v>
      </c>
      <c r="Q63" s="53">
        <v>10113</v>
      </c>
      <c r="R63">
        <f>'mei2025'!Q63</f>
        <v>9813</v>
      </c>
      <c r="S63">
        <f>Tabel2425678910111213141517161819212022232614151617[[#This Row],[Stand Hot Water einde maand]]-Tabel2425678910111213141517161819212022232614151617[[#This Row],[Hot Water vorige maand]]</f>
        <v>300</v>
      </c>
      <c r="T63" s="53">
        <v>4085</v>
      </c>
      <c r="U63">
        <f>'mei2025'!T63</f>
        <v>3922</v>
      </c>
      <c r="V63">
        <f>Tabel2425678910111213141517161819212022232614151617[[#This Row],[Stand Cappucino einde maand]]-Tabel2425678910111213141517161819212022232614151617[[#This Row],[Stand Cappucino vorige maand]]</f>
        <v>163</v>
      </c>
      <c r="W63" s="53">
        <v>57</v>
      </c>
      <c r="X63">
        <f>'mei2025'!W63</f>
        <v>57</v>
      </c>
      <c r="Y63">
        <f>Tabel2425678910111213141517161819212022232614151617[[#This Row],[Stand Cappucino Plantaardig einde maand]]-Tabel2425678910111213141517161819212022232614151617[[#This Row],[Stand Cappucino Plantaardig vorige maand]]</f>
        <v>0</v>
      </c>
      <c r="Z63" s="53">
        <v>246</v>
      </c>
      <c r="AA63">
        <f>'mei2025'!Z63</f>
        <v>245</v>
      </c>
      <c r="AB63">
        <f>Tabel2425678910111213141517161819212022232614151617[[#This Row],[Stand Latte Macchiato Plantaardig einde maand]]-Tabel2425678910111213141517161819212022232614151617[[#This Row],[Stand Latte Macchiato Plantaardig vorige maand]]</f>
        <v>1</v>
      </c>
      <c r="AC63" s="71">
        <f>Tabel2425678910111213141517161819212022232614151617[[#This Row],[Verbruik Stand Latte Macchiato Plantaardig deze maand]]+Tabel2425678910111213141517161819212022232614151617[[#This Row],[Verbruik  Cappucino Plantaardig deze maand]]+Tabel2425678910111213141517161819212022232614151617[[#This Row],[Verbruik Cappucino deze maand]]+Tabel2425678910111213141517161819212022232614151617[[#This Row],[Verbruik Hot Water deze maand]]+Tabel2425678910111213141517161819212022232614151617[[#This Row],[Verbruik Coffee Latte deze maand]]+Tabel2425678910111213141517161819212022232614151617[[#This Row],[Verbruik Latte Macchiato deze maand]]+Tabel2425678910111213141517161819212022232614151617[[#This Row],[Verbruik Espresso deze maand]]+Tabel2425678910111213141517161819212022232614151617[[#This Row],[Verbruik Coffee deze maand]]</f>
        <v>876</v>
      </c>
      <c r="AD63" s="69"/>
      <c r="AE63" s="41"/>
      <c r="AF63" s="5"/>
      <c r="AG63" s="5"/>
      <c r="AH63" s="69"/>
      <c r="AI63" s="41"/>
      <c r="AJ63" s="5"/>
      <c r="AK63" s="5"/>
      <c r="AL63" s="69"/>
      <c r="AM63" s="41"/>
      <c r="AN63" s="5"/>
      <c r="AO63" s="5"/>
      <c r="AP63" s="69"/>
      <c r="AQ63" s="41"/>
      <c r="AR63" s="5"/>
      <c r="AS63" s="5"/>
      <c r="AT63" s="69"/>
      <c r="AU63" s="41"/>
      <c r="AV63" s="5"/>
      <c r="AW63" s="7"/>
      <c r="AX63" s="78"/>
      <c r="AY63" s="95">
        <f>Tabel2425678910111213141517161819212022232614151617[[#This Row],[Subtotaal waterbar in consumpties]]+Tabel2425678910111213141517161819212022232614151617[[#This Row],[Subtotaal koffieautomaten]]</f>
        <v>876</v>
      </c>
    </row>
    <row r="64" spans="1:130" x14ac:dyDescent="0.25">
      <c r="A64" s="67">
        <v>1</v>
      </c>
      <c r="B64" t="s">
        <v>111</v>
      </c>
      <c r="C64" t="s">
        <v>31</v>
      </c>
      <c r="E64">
        <v>12543</v>
      </c>
      <c r="F64">
        <f>'mei2025'!E64</f>
        <v>12261</v>
      </c>
      <c r="G64">
        <f>Tabel2425678910111213141517161819212022232614151617[[#This Row],[Stand Coffee einde maand]]-Tabel2425678910111213141517161819212022232614151617[[#This Row],[Coffee vorige maand]]</f>
        <v>282</v>
      </c>
      <c r="H64" s="53">
        <v>637</v>
      </c>
      <c r="I64">
        <f>'mei2025'!H64</f>
        <v>615</v>
      </c>
      <c r="J64">
        <f>Tabel2425678910111213141517161819212022232614151617[[#This Row],[Stand Espresso Einde maand]]-Tabel2425678910111213141517161819212022232614151617[[#This Row],[Espresso vorige maand]]</f>
        <v>22</v>
      </c>
      <c r="K64" s="53">
        <v>2230</v>
      </c>
      <c r="L64">
        <f>'mei2025'!K64</f>
        <v>2193</v>
      </c>
      <c r="M64">
        <f>Tabel2425678910111213141517161819212022232614151617[[#This Row],[Stand Latte Macchiato einde maand]]-Tabel2425678910111213141517161819212022232614151617[[#This Row],[Latte Macchiato vorige maand]]</f>
        <v>37</v>
      </c>
      <c r="N64" s="53">
        <v>1327</v>
      </c>
      <c r="O64">
        <f>'mei2025'!N64</f>
        <v>1323</v>
      </c>
      <c r="P64">
        <f>Tabel2425678910111213141517161819212022232614151617[[#This Row],[Stand Coffee Latte einde maand]]-Tabel2425678910111213141517161819212022232614151617[[#This Row],[Coffee Latte vorige maand]]</f>
        <v>4</v>
      </c>
      <c r="Q64" s="53">
        <v>10324</v>
      </c>
      <c r="R64">
        <f>'mei2025'!Q64</f>
        <v>10045</v>
      </c>
      <c r="S64">
        <f>Tabel2425678910111213141517161819212022232614151617[[#This Row],[Stand Hot Water einde maand]]-Tabel2425678910111213141517161819212022232614151617[[#This Row],[Hot Water vorige maand]]</f>
        <v>279</v>
      </c>
      <c r="T64" s="53">
        <v>3543</v>
      </c>
      <c r="U64">
        <f>'mei2025'!T64</f>
        <v>3344</v>
      </c>
      <c r="V64">
        <f>Tabel2425678910111213141517161819212022232614151617[[#This Row],[Stand Cappucino einde maand]]-Tabel2425678910111213141517161819212022232614151617[[#This Row],[Stand Cappucino vorige maand]]</f>
        <v>199</v>
      </c>
      <c r="W64" s="53">
        <v>290</v>
      </c>
      <c r="X64">
        <f>'mei2025'!W64</f>
        <v>288</v>
      </c>
      <c r="Y64">
        <f>Tabel2425678910111213141517161819212022232614151617[[#This Row],[Stand Cappucino Plantaardig einde maand]]-Tabel2425678910111213141517161819212022232614151617[[#This Row],[Stand Cappucino Plantaardig vorige maand]]</f>
        <v>2</v>
      </c>
      <c r="Z64" s="53">
        <v>337</v>
      </c>
      <c r="AA64">
        <f>'mei2025'!Z64</f>
        <v>337</v>
      </c>
      <c r="AB64">
        <f>Tabel2425678910111213141517161819212022232614151617[[#This Row],[Stand Latte Macchiato Plantaardig einde maand]]-Tabel2425678910111213141517161819212022232614151617[[#This Row],[Stand Latte Macchiato Plantaardig vorige maand]]</f>
        <v>0</v>
      </c>
      <c r="AC64" s="71">
        <f>Tabel2425678910111213141517161819212022232614151617[[#This Row],[Verbruik Stand Latte Macchiato Plantaardig deze maand]]+Tabel2425678910111213141517161819212022232614151617[[#This Row],[Verbruik  Cappucino Plantaardig deze maand]]+Tabel2425678910111213141517161819212022232614151617[[#This Row],[Verbruik Cappucino deze maand]]+Tabel2425678910111213141517161819212022232614151617[[#This Row],[Verbruik Hot Water deze maand]]+Tabel2425678910111213141517161819212022232614151617[[#This Row],[Verbruik Coffee Latte deze maand]]+Tabel2425678910111213141517161819212022232614151617[[#This Row],[Verbruik Latte Macchiato deze maand]]+Tabel2425678910111213141517161819212022232614151617[[#This Row],[Verbruik Espresso deze maand]]+Tabel2425678910111213141517161819212022232614151617[[#This Row],[Verbruik Coffee deze maand]]</f>
        <v>825</v>
      </c>
      <c r="AD64" s="69"/>
      <c r="AE64" s="41"/>
      <c r="AF64" s="5"/>
      <c r="AG64" s="5"/>
      <c r="AH64" s="69"/>
      <c r="AI64" s="41"/>
      <c r="AJ64" s="5"/>
      <c r="AK64" s="5"/>
      <c r="AL64" s="69"/>
      <c r="AM64" s="41"/>
      <c r="AN64" s="5"/>
      <c r="AO64" s="5"/>
      <c r="AP64" s="69"/>
      <c r="AQ64" s="41"/>
      <c r="AR64" s="5"/>
      <c r="AS64" s="5"/>
      <c r="AT64" s="69"/>
      <c r="AU64" s="41"/>
      <c r="AV64" s="5"/>
      <c r="AW64" s="7"/>
      <c r="AX64" s="78"/>
      <c r="AY64" s="95">
        <f>Tabel2425678910111213141517161819212022232614151617[[#This Row],[Subtotaal waterbar in consumpties]]+Tabel2425678910111213141517161819212022232614151617[[#This Row],[Subtotaal koffieautomaten]]</f>
        <v>825</v>
      </c>
    </row>
    <row r="65" spans="1:53" x14ac:dyDescent="0.25">
      <c r="A65" s="66" t="s">
        <v>112</v>
      </c>
      <c r="E65" s="3">
        <f>SUM(E5:E64)</f>
        <v>739889</v>
      </c>
      <c r="F65" s="3">
        <f>SUM(F5:F64)</f>
        <v>720531</v>
      </c>
      <c r="G65" s="3">
        <f>SUM(G4:G64)</f>
        <v>19358</v>
      </c>
      <c r="H65" s="55">
        <f>SUM(H5:H64)</f>
        <v>191967</v>
      </c>
      <c r="I65" s="3">
        <f>SUM(I5:I64)</f>
        <v>186393</v>
      </c>
      <c r="J65" s="3">
        <f>SUM(J4:J64)</f>
        <v>5574</v>
      </c>
      <c r="K65" s="55">
        <f>SUM(K5:K64)</f>
        <v>86824</v>
      </c>
      <c r="L65" s="3">
        <f>SUM(L5:L64)</f>
        <v>84894</v>
      </c>
      <c r="M65" s="3">
        <f>SUM(M4:M64)</f>
        <v>1930</v>
      </c>
      <c r="N65" s="55">
        <f>SUM(N5:N64)</f>
        <v>51271</v>
      </c>
      <c r="O65" s="3">
        <f>SUM(O5:O64)</f>
        <v>49953</v>
      </c>
      <c r="P65" s="3">
        <f>SUM(P4:P64)</f>
        <v>1318</v>
      </c>
      <c r="Q65" s="55">
        <f>SUM(Q5:Q64)</f>
        <v>893877</v>
      </c>
      <c r="R65" s="3">
        <f>SUM(R5:R64)</f>
        <v>872642</v>
      </c>
      <c r="S65" s="3">
        <f>SUM(S4:S64)</f>
        <v>21235</v>
      </c>
      <c r="T65" s="55">
        <f>SUM(T5:T64)</f>
        <v>401688</v>
      </c>
      <c r="U65" s="3">
        <f>SUM(U5:U64)</f>
        <v>391928</v>
      </c>
      <c r="V65" s="3">
        <f>SUM(V4:V64)</f>
        <v>9760</v>
      </c>
      <c r="W65" s="55">
        <f>SUM(W5:W64)</f>
        <v>72717</v>
      </c>
      <c r="X65" s="3">
        <f>SUM(X5:X64)</f>
        <v>71256</v>
      </c>
      <c r="Y65" s="3">
        <f>SUM(Y4:Y64)</f>
        <v>1461</v>
      </c>
      <c r="Z65" s="55">
        <f>SUM(Z5:Z64)</f>
        <v>26779</v>
      </c>
      <c r="AA65" s="3">
        <f>SUM(AA5:AA64)</f>
        <v>26062</v>
      </c>
      <c r="AB65" s="3">
        <f t="shared" ref="AB65:AQ65" si="0">SUM(AB4:AB64)</f>
        <v>717</v>
      </c>
      <c r="AC65" s="71">
        <f t="shared" si="0"/>
        <v>61353</v>
      </c>
      <c r="AD65" s="55">
        <f t="shared" si="0"/>
        <v>5284.1999999999989</v>
      </c>
      <c r="AE65" s="3">
        <f t="shared" si="0"/>
        <v>4899.2</v>
      </c>
      <c r="AF65" s="4">
        <f t="shared" si="0"/>
        <v>385.00000000000011</v>
      </c>
      <c r="AG65" s="4">
        <f t="shared" si="0"/>
        <v>2566.666666666667</v>
      </c>
      <c r="AH65" s="76"/>
      <c r="AI65" s="4">
        <f t="shared" si="0"/>
        <v>28582</v>
      </c>
      <c r="AJ65" s="4">
        <f t="shared" si="0"/>
        <v>2834.1999999999989</v>
      </c>
      <c r="AK65" s="4">
        <f t="shared" si="0"/>
        <v>18894.666666666668</v>
      </c>
      <c r="AL65" s="76">
        <f t="shared" si="0"/>
        <v>22269.200000000001</v>
      </c>
      <c r="AM65" s="4">
        <f t="shared" si="0"/>
        <v>20509.7</v>
      </c>
      <c r="AN65" s="4">
        <f t="shared" si="0"/>
        <v>1759.5</v>
      </c>
      <c r="AO65" s="4">
        <f t="shared" si="0"/>
        <v>11730.000000000002</v>
      </c>
      <c r="AP65" s="76">
        <f t="shared" si="0"/>
        <v>9482.9000000000015</v>
      </c>
      <c r="AQ65" s="4">
        <f t="shared" si="0"/>
        <v>8777.5999999999985</v>
      </c>
      <c r="AR65" s="3">
        <f>SUM(AR5:AR64)</f>
        <v>705.3000000000003</v>
      </c>
      <c r="AS65" s="4">
        <f>SUM(AS4:AS64)</f>
        <v>4702.0000000000027</v>
      </c>
      <c r="AT65" s="76">
        <f>SUM(AT4:AT64)</f>
        <v>73816.599999999977</v>
      </c>
      <c r="AU65" s="4">
        <f>SUM(AU4:AU64)</f>
        <v>69845.399999999994</v>
      </c>
      <c r="AV65" s="3">
        <f>SUM(AV5:AV64)</f>
        <v>3971.1999999999994</v>
      </c>
      <c r="AW65" s="4">
        <f>SUM(AW4:AW64)</f>
        <v>26474.666666666661</v>
      </c>
      <c r="AX65" s="77">
        <f>SUM(AX4:AX64)</f>
        <v>64367.999999999985</v>
      </c>
      <c r="AY65" s="95">
        <f>Tabel2425678910111213141517161819212022232614151617[[#This Row],[Subtotaal waterbar in consumpties]]+Tabel2425678910111213141517161819212022232614151617[[#This Row],[Subtotaal koffieautomaten]]</f>
        <v>125720.99999999999</v>
      </c>
    </row>
    <row r="66" spans="1:53" x14ac:dyDescent="0.25">
      <c r="A66" s="91"/>
      <c r="B66" s="57"/>
      <c r="C66" s="57"/>
      <c r="D66" s="58"/>
      <c r="E66" s="57"/>
      <c r="F66" s="57"/>
      <c r="G66" s="57"/>
      <c r="H66" s="56"/>
      <c r="I66" s="57"/>
      <c r="J66" s="57"/>
      <c r="K66" s="56"/>
      <c r="L66" s="57"/>
      <c r="M66" s="57"/>
      <c r="N66" s="56"/>
      <c r="O66" s="57"/>
      <c r="P66" s="57"/>
      <c r="Q66" s="56"/>
      <c r="R66" s="57"/>
      <c r="S66" s="57"/>
      <c r="T66" s="56"/>
      <c r="U66" s="57"/>
      <c r="V66" s="57"/>
      <c r="W66" s="56"/>
      <c r="X66" s="57"/>
      <c r="Y66" s="57"/>
      <c r="Z66" s="56"/>
      <c r="AA66" s="57"/>
      <c r="AB66" s="57"/>
      <c r="AC66" s="90"/>
      <c r="AD66" s="56"/>
      <c r="AE66" s="57"/>
      <c r="AF66" s="57"/>
      <c r="AG66" s="57"/>
      <c r="AH66" s="56"/>
      <c r="AI66" s="57"/>
      <c r="AJ66" s="57"/>
      <c r="AK66" s="57"/>
      <c r="AL66" s="56"/>
      <c r="AM66" s="57"/>
      <c r="AN66" s="57"/>
      <c r="AO66" s="57"/>
      <c r="AP66" s="56"/>
      <c r="AQ66" s="57"/>
      <c r="AR66" s="57"/>
      <c r="AS66" s="57"/>
      <c r="AT66" s="56"/>
      <c r="AU66" s="57"/>
      <c r="AV66" s="57"/>
      <c r="AW66" s="57"/>
      <c r="AX66" s="92"/>
      <c r="AY66" s="96"/>
    </row>
    <row r="67" spans="1:53" x14ac:dyDescent="0.25">
      <c r="A67"/>
      <c r="D67"/>
      <c r="K67"/>
      <c r="N67"/>
      <c r="Q67"/>
      <c r="T67"/>
      <c r="W67"/>
      <c r="Z67"/>
      <c r="AC67"/>
      <c r="AD67"/>
      <c r="AH67"/>
      <c r="AL67"/>
      <c r="AP67"/>
      <c r="AT67"/>
      <c r="AX67"/>
      <c r="AY67"/>
    </row>
    <row r="68" spans="1:53" x14ac:dyDescent="0.25">
      <c r="A68"/>
      <c r="D68"/>
      <c r="K68"/>
      <c r="N68"/>
      <c r="Q68"/>
      <c r="T68"/>
      <c r="W68"/>
      <c r="Z68"/>
      <c r="AC68"/>
      <c r="AD68"/>
      <c r="AH68"/>
      <c r="AL68"/>
      <c r="AP68"/>
      <c r="AT68"/>
      <c r="AX68"/>
      <c r="AY68" s="2"/>
      <c r="AZ68" s="2"/>
    </row>
    <row r="69" spans="1:53" x14ac:dyDescent="0.25">
      <c r="A69" s="49"/>
      <c r="B69" t="s">
        <v>166</v>
      </c>
      <c r="D69"/>
      <c r="K69"/>
      <c r="N69"/>
      <c r="Q69"/>
      <c r="T69"/>
      <c r="W69"/>
      <c r="Z69"/>
      <c r="AC69"/>
      <c r="AD69"/>
      <c r="AH69"/>
      <c r="AL69"/>
      <c r="AP69"/>
      <c r="AT69"/>
      <c r="AX69"/>
      <c r="AY69" s="4"/>
      <c r="AZ69" s="4"/>
      <c r="BA69" s="48"/>
    </row>
    <row r="70" spans="1:53" x14ac:dyDescent="0.25">
      <c r="A70" s="50"/>
      <c r="B70" t="s">
        <v>167</v>
      </c>
      <c r="D70"/>
      <c r="K70"/>
      <c r="N70"/>
      <c r="Q70"/>
      <c r="T70"/>
      <c r="W70"/>
      <c r="Z70"/>
      <c r="AC70"/>
      <c r="AD70"/>
      <c r="AH70"/>
      <c r="AL70"/>
      <c r="AP70"/>
      <c r="AT70"/>
      <c r="AX70"/>
      <c r="AY70" s="3"/>
      <c r="AZ70" s="4"/>
      <c r="BA70" s="48"/>
    </row>
    <row r="71" spans="1:53" x14ac:dyDescent="0.25">
      <c r="A71"/>
      <c r="D71"/>
      <c r="K71"/>
      <c r="N71"/>
      <c r="Q71"/>
      <c r="T71"/>
      <c r="W71"/>
      <c r="Z71"/>
      <c r="AC71"/>
      <c r="AD71"/>
      <c r="AH71"/>
      <c r="AL71"/>
      <c r="AP71"/>
      <c r="AT71"/>
      <c r="AX71"/>
      <c r="AY71"/>
      <c r="AZ71" s="2"/>
    </row>
    <row r="72" spans="1:53" x14ac:dyDescent="0.25">
      <c r="A72"/>
      <c r="D72"/>
      <c r="K72"/>
      <c r="N72"/>
      <c r="Q72"/>
      <c r="T72"/>
      <c r="W72"/>
      <c r="Z72"/>
      <c r="AC72"/>
      <c r="AD72"/>
      <c r="AH72"/>
      <c r="AL72"/>
      <c r="AP72"/>
      <c r="AT72"/>
      <c r="AX72"/>
      <c r="AY72"/>
    </row>
    <row r="73" spans="1:53" x14ac:dyDescent="0.25">
      <c r="A73"/>
      <c r="D73"/>
      <c r="K73"/>
      <c r="N73"/>
      <c r="Q73"/>
      <c r="T73"/>
      <c r="W73"/>
      <c r="Z73"/>
      <c r="AC73"/>
      <c r="AD73"/>
      <c r="AH73"/>
      <c r="AL73"/>
      <c r="AP73"/>
      <c r="AT73"/>
      <c r="AX73"/>
      <c r="AY73"/>
    </row>
    <row r="74" spans="1:53" x14ac:dyDescent="0.25">
      <c r="A74"/>
      <c r="D74"/>
      <c r="K74"/>
      <c r="N74"/>
      <c r="Q74"/>
      <c r="T74"/>
      <c r="W74"/>
      <c r="Z74"/>
      <c r="AC74"/>
      <c r="AD74"/>
      <c r="AH74"/>
      <c r="AL74"/>
      <c r="AP74"/>
      <c r="AT74"/>
      <c r="AX74"/>
      <c r="AY74"/>
    </row>
    <row r="75" spans="1:53" x14ac:dyDescent="0.25">
      <c r="A75"/>
      <c r="D75"/>
      <c r="K75"/>
      <c r="N75"/>
      <c r="Q75"/>
      <c r="T75"/>
      <c r="W75"/>
      <c r="Z75"/>
      <c r="AC75"/>
      <c r="AD75"/>
      <c r="AH75"/>
      <c r="AL75"/>
      <c r="AP75"/>
      <c r="AT75"/>
      <c r="AX75"/>
      <c r="AY75"/>
    </row>
    <row r="76" spans="1:53" x14ac:dyDescent="0.25">
      <c r="A76"/>
      <c r="D76"/>
      <c r="K76"/>
      <c r="N76"/>
      <c r="Q76"/>
      <c r="T76"/>
      <c r="W76"/>
      <c r="Z76"/>
      <c r="AC76"/>
      <c r="AD76"/>
      <c r="AH76"/>
      <c r="AL76"/>
      <c r="AP76"/>
      <c r="AT76"/>
      <c r="AX76"/>
      <c r="AY76"/>
    </row>
    <row r="77" spans="1:53" x14ac:dyDescent="0.25">
      <c r="A77"/>
      <c r="D77"/>
      <c r="K77"/>
      <c r="N77"/>
      <c r="Q77"/>
      <c r="T77"/>
      <c r="W77"/>
      <c r="Z77"/>
      <c r="AC77"/>
      <c r="AD77"/>
      <c r="AH77"/>
      <c r="AL77"/>
      <c r="AP77"/>
      <c r="AT77"/>
      <c r="AX77"/>
      <c r="AY77"/>
    </row>
    <row r="78" spans="1:53" x14ac:dyDescent="0.25">
      <c r="A78"/>
      <c r="D78"/>
      <c r="K78"/>
      <c r="N78"/>
      <c r="Q78"/>
      <c r="T78"/>
      <c r="W78"/>
      <c r="Z78"/>
      <c r="AC78"/>
      <c r="AD78"/>
      <c r="AH78"/>
      <c r="AL78"/>
      <c r="AP78"/>
      <c r="AT78"/>
      <c r="AX78"/>
      <c r="AY78"/>
    </row>
    <row r="79" spans="1:53" x14ac:dyDescent="0.25">
      <c r="A79"/>
      <c r="D79"/>
      <c r="K79"/>
      <c r="N79"/>
      <c r="Q79"/>
      <c r="T79"/>
      <c r="W79"/>
      <c r="Z79"/>
      <c r="AC79"/>
      <c r="AD79"/>
      <c r="AH79"/>
      <c r="AL79"/>
      <c r="AP79"/>
      <c r="AT79"/>
      <c r="AX79"/>
      <c r="AY79"/>
    </row>
    <row r="80" spans="1:53" x14ac:dyDescent="0.25">
      <c r="A80"/>
      <c r="D80"/>
      <c r="K80"/>
      <c r="N80"/>
      <c r="Q80"/>
      <c r="T80"/>
      <c r="W80"/>
      <c r="Z80"/>
      <c r="AC80"/>
      <c r="AD80"/>
      <c r="AH80"/>
      <c r="AL80"/>
      <c r="AP80"/>
      <c r="AT80"/>
      <c r="AX80"/>
      <c r="AY80"/>
    </row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</sheetData>
  <mergeCells count="2">
    <mergeCell ref="E1:AC1"/>
    <mergeCell ref="AD1:AY1"/>
  </mergeCells>
  <pageMargins left="0.7" right="0.7" top="0.75" bottom="0.75" header="0.3" footer="0.3"/>
  <legacyDrawing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CBD8A-B8C3-491B-8024-9135A2EEAC58}">
  <dimension ref="A1:DZ147"/>
  <sheetViews>
    <sheetView topLeftCell="AS1" zoomScale="130" zoomScaleNormal="130" workbookViewId="0">
      <pane ySplit="2" topLeftCell="A52" activePane="bottomLeft" state="frozen"/>
      <selection pane="bottomLeft" activeCell="A3" sqref="A3:XFD3"/>
    </sheetView>
  </sheetViews>
  <sheetFormatPr defaultRowHeight="15" x14ac:dyDescent="0.25"/>
  <cols>
    <col min="1" max="1" width="32.140625" style="65" bestFit="1" customWidth="1"/>
    <col min="2" max="2" width="21.42578125" bestFit="1" customWidth="1"/>
    <col min="3" max="3" width="25.42578125" bestFit="1" customWidth="1"/>
    <col min="4" max="4" width="18.5703125" style="52" customWidth="1"/>
    <col min="5" max="5" width="10.140625" customWidth="1"/>
    <col min="6" max="6" width="10.42578125" customWidth="1"/>
    <col min="7" max="7" width="10.5703125" customWidth="1"/>
    <col min="8" max="8" width="11.85546875" customWidth="1"/>
    <col min="9" max="9" width="11.7109375" customWidth="1"/>
    <col min="10" max="10" width="12.42578125" customWidth="1"/>
    <col min="11" max="11" width="17.140625" style="53" customWidth="1"/>
    <col min="12" max="12" width="13.5703125" customWidth="1"/>
    <col min="13" max="13" width="13.42578125" bestFit="1" customWidth="1"/>
    <col min="14" max="14" width="14" style="53" customWidth="1"/>
    <col min="15" max="16" width="14" customWidth="1"/>
    <col min="17" max="17" width="14.140625" style="53" customWidth="1"/>
    <col min="18" max="19" width="12.28515625" customWidth="1"/>
    <col min="20" max="20" width="12.42578125" style="53" customWidth="1"/>
    <col min="21" max="22" width="12.42578125" customWidth="1"/>
    <col min="23" max="23" width="17" style="53" customWidth="1"/>
    <col min="24" max="25" width="17" customWidth="1"/>
    <col min="26" max="26" width="20.7109375" style="53" customWidth="1"/>
    <col min="27" max="28" width="20.7109375" customWidth="1"/>
    <col min="29" max="29" width="14.7109375" style="74" customWidth="1"/>
    <col min="30" max="30" width="17.5703125" style="53" customWidth="1"/>
    <col min="31" max="32" width="17.5703125" customWidth="1"/>
    <col min="33" max="33" width="20.28515625" customWidth="1"/>
    <col min="34" max="34" width="14.42578125" style="53" customWidth="1"/>
    <col min="35" max="36" width="14.42578125" customWidth="1"/>
    <col min="37" max="37" width="21.28515625" customWidth="1"/>
    <col min="38" max="38" width="15.140625" style="53" customWidth="1"/>
    <col min="39" max="40" width="15.140625" customWidth="1"/>
    <col min="41" max="41" width="21.28515625" customWidth="1"/>
    <col min="42" max="42" width="19.42578125" style="53" customWidth="1"/>
    <col min="43" max="44" width="19.42578125" customWidth="1"/>
    <col min="45" max="45" width="21.28515625" customWidth="1"/>
    <col min="46" max="46" width="17" style="53" customWidth="1"/>
    <col min="47" max="48" width="17" customWidth="1"/>
    <col min="49" max="49" width="21.28515625" customWidth="1"/>
    <col min="50" max="50" width="20" style="74" customWidth="1"/>
    <col min="51" max="51" width="23.5703125" style="68" bestFit="1" customWidth="1"/>
    <col min="52" max="52" width="10" bestFit="1" customWidth="1"/>
    <col min="53" max="53" width="14.28515625" bestFit="1" customWidth="1"/>
  </cols>
  <sheetData>
    <row r="1" spans="1:130" ht="14.45" customHeight="1" x14ac:dyDescent="0.25">
      <c r="A1" s="61" t="s">
        <v>0</v>
      </c>
      <c r="B1" s="62"/>
      <c r="C1" s="62"/>
      <c r="D1" s="63"/>
      <c r="E1" s="174" t="s">
        <v>1</v>
      </c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3" t="s">
        <v>2</v>
      </c>
      <c r="AE1" s="174"/>
      <c r="AF1" s="174"/>
      <c r="AG1" s="174"/>
      <c r="AH1" s="174"/>
      <c r="AI1" s="174"/>
      <c r="AJ1" s="174"/>
      <c r="AK1" s="174"/>
      <c r="AL1" s="174"/>
      <c r="AM1" s="174"/>
      <c r="AN1" s="174"/>
      <c r="AO1" s="174"/>
      <c r="AP1" s="174"/>
      <c r="AQ1" s="174"/>
      <c r="AR1" s="174"/>
      <c r="AS1" s="174"/>
      <c r="AT1" s="174"/>
      <c r="AU1" s="174"/>
      <c r="AV1" s="174"/>
      <c r="AW1" s="174"/>
      <c r="AX1" s="174"/>
      <c r="AY1" s="174"/>
    </row>
    <row r="2" spans="1:130" ht="120" customHeight="1" x14ac:dyDescent="0.25">
      <c r="A2" s="65" t="s">
        <v>3</v>
      </c>
      <c r="B2" t="s">
        <v>4</v>
      </c>
      <c r="C2" t="s">
        <v>5</v>
      </c>
      <c r="D2" s="52" t="s">
        <v>6</v>
      </c>
      <c r="E2" s="1" t="s">
        <v>113</v>
      </c>
      <c r="F2" s="1" t="s">
        <v>114</v>
      </c>
      <c r="G2" s="60" t="s">
        <v>115</v>
      </c>
      <c r="H2" s="1" t="s">
        <v>116</v>
      </c>
      <c r="I2" s="1" t="s">
        <v>117</v>
      </c>
      <c r="J2" s="1" t="s">
        <v>118</v>
      </c>
      <c r="K2" s="59" t="s">
        <v>119</v>
      </c>
      <c r="L2" s="1" t="s">
        <v>120</v>
      </c>
      <c r="M2" s="1" t="s">
        <v>121</v>
      </c>
      <c r="N2" s="59" t="s">
        <v>122</v>
      </c>
      <c r="O2" s="1" t="s">
        <v>123</v>
      </c>
      <c r="P2" s="1" t="s">
        <v>124</v>
      </c>
      <c r="Q2" s="59" t="s">
        <v>125</v>
      </c>
      <c r="R2" s="1" t="s">
        <v>126</v>
      </c>
      <c r="S2" s="1" t="s">
        <v>127</v>
      </c>
      <c r="T2" s="59" t="s">
        <v>128</v>
      </c>
      <c r="U2" s="1" t="s">
        <v>129</v>
      </c>
      <c r="V2" s="1" t="s">
        <v>130</v>
      </c>
      <c r="W2" s="59" t="s">
        <v>131</v>
      </c>
      <c r="X2" s="1" t="s">
        <v>132</v>
      </c>
      <c r="Y2" s="1" t="s">
        <v>133</v>
      </c>
      <c r="Z2" s="59" t="s">
        <v>134</v>
      </c>
      <c r="AA2" s="1" t="s">
        <v>135</v>
      </c>
      <c r="AB2" s="1" t="s">
        <v>136</v>
      </c>
      <c r="AC2" s="70" t="s">
        <v>15</v>
      </c>
      <c r="AD2" s="59" t="s">
        <v>137</v>
      </c>
      <c r="AE2" s="1" t="s">
        <v>138</v>
      </c>
      <c r="AF2" s="1" t="s">
        <v>139</v>
      </c>
      <c r="AG2" s="1" t="s">
        <v>140</v>
      </c>
      <c r="AH2" s="59" t="s">
        <v>141</v>
      </c>
      <c r="AI2" s="1" t="s">
        <v>142</v>
      </c>
      <c r="AJ2" s="1" t="s">
        <v>143</v>
      </c>
      <c r="AK2" s="1" t="s">
        <v>144</v>
      </c>
      <c r="AL2" s="59" t="s">
        <v>145</v>
      </c>
      <c r="AM2" s="1" t="s">
        <v>146</v>
      </c>
      <c r="AN2" s="1" t="s">
        <v>147</v>
      </c>
      <c r="AO2" s="1" t="s">
        <v>148</v>
      </c>
      <c r="AP2" s="59" t="s">
        <v>149</v>
      </c>
      <c r="AQ2" s="1" t="s">
        <v>150</v>
      </c>
      <c r="AR2" s="1" t="s">
        <v>151</v>
      </c>
      <c r="AS2" s="1" t="s">
        <v>152</v>
      </c>
      <c r="AT2" s="59" t="s">
        <v>153</v>
      </c>
      <c r="AU2" s="1" t="s">
        <v>154</v>
      </c>
      <c r="AV2" s="1" t="s">
        <v>155</v>
      </c>
      <c r="AW2" s="1" t="s">
        <v>156</v>
      </c>
      <c r="AX2" s="70" t="s">
        <v>157</v>
      </c>
      <c r="AY2" s="93" t="s">
        <v>27</v>
      </c>
    </row>
    <row r="3" spans="1:130" s="146" customFormat="1" x14ac:dyDescent="0.25">
      <c r="A3" s="158" t="s">
        <v>168</v>
      </c>
      <c r="B3" s="147"/>
      <c r="C3" s="147"/>
      <c r="D3" s="159"/>
      <c r="E3" s="149"/>
      <c r="F3" s="147"/>
      <c r="G3" s="147"/>
      <c r="H3" s="149"/>
      <c r="I3" s="147"/>
      <c r="J3" s="147"/>
      <c r="K3" s="160"/>
      <c r="L3" s="147"/>
      <c r="M3" s="147"/>
      <c r="N3" s="160"/>
      <c r="O3" s="147"/>
      <c r="P3" s="147"/>
      <c r="Q3" s="160"/>
      <c r="R3" s="147"/>
      <c r="S3" s="147"/>
      <c r="T3" s="160"/>
      <c r="U3" s="147"/>
      <c r="V3" s="147"/>
      <c r="W3" s="160"/>
      <c r="X3" s="147"/>
      <c r="Y3" s="147"/>
      <c r="Z3" s="160"/>
      <c r="AA3" s="147"/>
      <c r="AB3" s="147"/>
      <c r="AC3" s="161"/>
      <c r="AD3" s="162"/>
      <c r="AE3" s="147"/>
      <c r="AF3" s="147"/>
      <c r="AG3" s="148"/>
      <c r="AH3" s="160"/>
      <c r="AI3" s="147"/>
      <c r="AJ3" s="147"/>
      <c r="AK3" s="148"/>
      <c r="AL3" s="160"/>
      <c r="AM3" s="147"/>
      <c r="AN3" s="147"/>
      <c r="AO3" s="148"/>
      <c r="AP3" s="160"/>
      <c r="AQ3" s="147"/>
      <c r="AR3" s="147"/>
      <c r="AS3" s="148"/>
      <c r="AT3" s="160"/>
      <c r="AU3" s="147"/>
      <c r="AV3" s="147"/>
      <c r="AW3" s="148"/>
      <c r="AX3" s="163"/>
      <c r="AY3" s="164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</row>
    <row r="4" spans="1:130" s="81" customFormat="1" ht="14.45" customHeight="1" x14ac:dyDescent="0.25">
      <c r="A4" s="80" t="s">
        <v>28</v>
      </c>
      <c r="D4" s="82"/>
      <c r="E4" s="83"/>
      <c r="H4" s="84"/>
      <c r="K4" s="84"/>
      <c r="N4" s="84"/>
      <c r="Q4" s="84"/>
      <c r="T4" s="84"/>
      <c r="W4" s="84"/>
      <c r="Z4" s="84"/>
      <c r="AC4" s="85"/>
      <c r="AD4" s="86"/>
      <c r="AG4" s="87"/>
      <c r="AH4" s="84"/>
      <c r="AK4" s="87"/>
      <c r="AL4" s="84"/>
      <c r="AO4" s="87"/>
      <c r="AP4" s="84"/>
      <c r="AS4" s="87"/>
      <c r="AT4" s="84"/>
      <c r="AW4" s="87"/>
      <c r="AX4" s="88"/>
      <c r="AY4" s="9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</row>
    <row r="5" spans="1:130" ht="14.45" customHeight="1" x14ac:dyDescent="0.25">
      <c r="A5" s="65" t="s">
        <v>29</v>
      </c>
      <c r="B5" t="s">
        <v>30</v>
      </c>
      <c r="C5" t="s">
        <v>31</v>
      </c>
      <c r="E5">
        <v>9030</v>
      </c>
      <c r="F5">
        <f>juni2025!E5</f>
        <v>8690</v>
      </c>
      <c r="G5">
        <f>Tabel24256789101112131415171618192120222326141518[[#This Row],[Stand Coffee einde maand]]-Tabel24256789101112131415171618192120222326141518[[#This Row],[Coffee vorige maand]]</f>
        <v>340</v>
      </c>
      <c r="H5" s="53">
        <v>4060</v>
      </c>
      <c r="I5">
        <f>juni2025!H5</f>
        <v>3953</v>
      </c>
      <c r="J5">
        <f>Tabel24256789101112131415171618192120222326141518[[#This Row],[Stand Espresso Einde maand]]-Tabel24256789101112131415171618192120222326141518[[#This Row],[Espresso vorige maand]]</f>
        <v>107</v>
      </c>
      <c r="K5" s="53">
        <v>2506</v>
      </c>
      <c r="L5">
        <f>juni2025!K5</f>
        <v>2446</v>
      </c>
      <c r="M5">
        <f>Tabel24256789101112131415171618192120222326141518[[#This Row],[Stand Latte Macchiato einde maand]]-Tabel24256789101112131415171618192120222326141518[[#This Row],[Latte Macchiato vorige maand]]</f>
        <v>60</v>
      </c>
      <c r="N5" s="53">
        <v>1273</v>
      </c>
      <c r="O5">
        <f>juni2025!N5</f>
        <v>1224</v>
      </c>
      <c r="P5">
        <f>Tabel24256789101112131415171618192120222326141518[[#This Row],[Stand Coffee Latte einde maand]]-Tabel24256789101112131415171618192120222326141518[[#This Row],[Coffee Latte vorige maand]]</f>
        <v>49</v>
      </c>
      <c r="Q5" s="53">
        <v>7514</v>
      </c>
      <c r="R5">
        <f>juni2025!Q5</f>
        <v>7372</v>
      </c>
      <c r="S5">
        <f>Tabel24256789101112131415171618192120222326141518[[#This Row],[Stand Hot Water einde maand]]-Tabel24256789101112131415171618192120222326141518[[#This Row],[Hot Water vorige maand]]</f>
        <v>142</v>
      </c>
      <c r="T5" s="53">
        <v>9629</v>
      </c>
      <c r="U5">
        <f>juni2025!T5</f>
        <v>9353</v>
      </c>
      <c r="V5">
        <f>Tabel24256789101112131415171618192120222326141518[[#This Row],[Stand Cappucino einde maand]]-Tabel24256789101112131415171618192120222326141518[[#This Row],[Stand Cappucino vorige maand]]</f>
        <v>276</v>
      </c>
      <c r="W5" s="53">
        <v>208</v>
      </c>
      <c r="X5">
        <f>juni2025!W5</f>
        <v>203</v>
      </c>
      <c r="Y5">
        <f>Tabel24256789101112131415171618192120222326141518[[#This Row],[Stand Cappucino Plantaardig einde maand]]-Tabel24256789101112131415171618192120222326141518[[#This Row],[Stand Cappucino Plantaardig vorige maand]]</f>
        <v>5</v>
      </c>
      <c r="Z5" s="53">
        <v>370</v>
      </c>
      <c r="AA5">
        <f>juni2025!Z5</f>
        <v>369</v>
      </c>
      <c r="AB5">
        <f>Tabel24256789101112131415171618192120222326141518[[#This Row],[Stand Latte Macchiato Plantaardig einde maand]]-Tabel24256789101112131415171618192120222326141518[[#This Row],[Stand Latte Macchiato Plantaardig vorige maand]]</f>
        <v>1</v>
      </c>
      <c r="AC5" s="71">
        <f>Tabel24256789101112131415171618192120222326141518[[#This Row],[Verbruik Stand Latte Macchiato Plantaardig deze maand]]+Tabel24256789101112131415171618192120222326141518[[#This Row],[Verbruik  Cappucino Plantaardig deze maand]]+Tabel24256789101112131415171618192120222326141518[[#This Row],[Verbruik Cappucino deze maand]]+Tabel24256789101112131415171618192120222326141518[[#This Row],[Verbruik Hot Water deze maand]]+Tabel24256789101112131415171618192120222326141518[[#This Row],[Verbruik Coffee Latte deze maand]]+Tabel24256789101112131415171618192120222326141518[[#This Row],[Verbruik Latte Macchiato deze maand]]+Tabel24256789101112131415171618192120222326141518[[#This Row],[Verbruik Espresso deze maand]]+Tabel24256789101112131415171618192120222326141518[[#This Row],[Verbruik Coffee deze maand]]</f>
        <v>980</v>
      </c>
      <c r="AD5" s="69"/>
      <c r="AE5" s="41"/>
      <c r="AF5" s="5"/>
      <c r="AG5" s="5"/>
      <c r="AH5" s="69"/>
      <c r="AI5" s="41"/>
      <c r="AJ5" s="5"/>
      <c r="AK5" s="5"/>
      <c r="AL5" s="69"/>
      <c r="AM5" s="41"/>
      <c r="AN5" s="5"/>
      <c r="AO5" s="5"/>
      <c r="AP5" s="69"/>
      <c r="AQ5" s="41"/>
      <c r="AR5" s="5"/>
      <c r="AS5" s="5"/>
      <c r="AT5" s="69"/>
      <c r="AU5" s="41"/>
      <c r="AV5" s="5"/>
      <c r="AW5" s="7"/>
      <c r="AX5" s="78"/>
      <c r="AY5" s="95">
        <f>Tabel24256789101112131415171618192120222326141518[[#This Row],[Subtotaal waterbar in consumpties]]+Tabel24256789101112131415171618192120222326141518[[#This Row],[Subtotaal koffieautomaten]]</f>
        <v>980</v>
      </c>
    </row>
    <row r="6" spans="1:130" ht="14.45" customHeight="1" x14ac:dyDescent="0.25">
      <c r="A6" s="65" t="s">
        <v>32</v>
      </c>
      <c r="B6" t="s">
        <v>33</v>
      </c>
      <c r="C6" t="s">
        <v>31</v>
      </c>
      <c r="E6">
        <v>13723</v>
      </c>
      <c r="F6">
        <f>juni2025!E6</f>
        <v>13266</v>
      </c>
      <c r="G6">
        <f>Tabel24256789101112131415171618192120222326141518[[#This Row],[Stand Coffee einde maand]]-Tabel24256789101112131415171618192120222326141518[[#This Row],[Coffee vorige maand]]</f>
        <v>457</v>
      </c>
      <c r="H6" s="53">
        <v>3847</v>
      </c>
      <c r="I6">
        <f>juni2025!H6</f>
        <v>3746</v>
      </c>
      <c r="J6">
        <f>Tabel24256789101112131415171618192120222326141518[[#This Row],[Stand Espresso Einde maand]]-Tabel24256789101112131415171618192120222326141518[[#This Row],[Espresso vorige maand]]</f>
        <v>101</v>
      </c>
      <c r="K6" s="53">
        <v>2590</v>
      </c>
      <c r="L6">
        <f>juni2025!K6</f>
        <v>2518</v>
      </c>
      <c r="M6">
        <f>Tabel24256789101112131415171618192120222326141518[[#This Row],[Stand Latte Macchiato einde maand]]-Tabel24256789101112131415171618192120222326141518[[#This Row],[Latte Macchiato vorige maand]]</f>
        <v>72</v>
      </c>
      <c r="N6" s="53">
        <v>2101</v>
      </c>
      <c r="O6">
        <f>juni2025!N6</f>
        <v>2061</v>
      </c>
      <c r="P6">
        <f>Tabel24256789101112131415171618192120222326141518[[#This Row],[Stand Coffee Latte einde maand]]-Tabel24256789101112131415171618192120222326141518[[#This Row],[Coffee Latte vorige maand]]</f>
        <v>40</v>
      </c>
      <c r="Q6" s="53">
        <v>29910</v>
      </c>
      <c r="R6">
        <f>juni2025!Q6</f>
        <v>29158</v>
      </c>
      <c r="S6">
        <f>Tabel24256789101112131415171618192120222326141518[[#This Row],[Stand Hot Water einde maand]]-Tabel24256789101112131415171618192120222326141518[[#This Row],[Hot Water vorige maand]]</f>
        <v>752</v>
      </c>
      <c r="T6" s="53">
        <v>12691</v>
      </c>
      <c r="U6">
        <f>juni2025!T6</f>
        <v>12434</v>
      </c>
      <c r="V6">
        <f>Tabel24256789101112131415171618192120222326141518[[#This Row],[Stand Cappucino einde maand]]-Tabel24256789101112131415171618192120222326141518[[#This Row],[Stand Cappucino vorige maand]]</f>
        <v>257</v>
      </c>
      <c r="W6" s="53">
        <v>1784</v>
      </c>
      <c r="X6">
        <f>juni2025!W6</f>
        <v>1724</v>
      </c>
      <c r="Y6">
        <f>Tabel24256789101112131415171618192120222326141518[[#This Row],[Stand Cappucino Plantaardig einde maand]]-Tabel24256789101112131415171618192120222326141518[[#This Row],[Stand Cappucino Plantaardig vorige maand]]</f>
        <v>60</v>
      </c>
      <c r="Z6" s="53">
        <v>778</v>
      </c>
      <c r="AA6">
        <f>juni2025!Z6</f>
        <v>766</v>
      </c>
      <c r="AB6">
        <f>Tabel24256789101112131415171618192120222326141518[[#This Row],[Stand Latte Macchiato Plantaardig einde maand]]-Tabel24256789101112131415171618192120222326141518[[#This Row],[Stand Latte Macchiato Plantaardig vorige maand]]</f>
        <v>12</v>
      </c>
      <c r="AC6" s="71">
        <f>Tabel24256789101112131415171618192120222326141518[[#This Row],[Verbruik Stand Latte Macchiato Plantaardig deze maand]]+Tabel24256789101112131415171618192120222326141518[[#This Row],[Verbruik  Cappucino Plantaardig deze maand]]+Tabel24256789101112131415171618192120222326141518[[#This Row],[Verbruik Cappucino deze maand]]+Tabel24256789101112131415171618192120222326141518[[#This Row],[Verbruik Hot Water deze maand]]+Tabel24256789101112131415171618192120222326141518[[#This Row],[Verbruik Coffee Latte deze maand]]+Tabel24256789101112131415171618192120222326141518[[#This Row],[Verbruik Latte Macchiato deze maand]]+Tabel24256789101112131415171618192120222326141518[[#This Row],[Verbruik Espresso deze maand]]+Tabel24256789101112131415171618192120222326141518[[#This Row],[Verbruik Coffee deze maand]]</f>
        <v>1751</v>
      </c>
      <c r="AD6" s="69"/>
      <c r="AE6" s="41"/>
      <c r="AF6" s="5"/>
      <c r="AG6" s="5"/>
      <c r="AH6" s="69"/>
      <c r="AI6" s="41"/>
      <c r="AJ6" s="5"/>
      <c r="AK6" s="5"/>
      <c r="AL6" s="69"/>
      <c r="AM6" s="41"/>
      <c r="AN6" s="5"/>
      <c r="AO6" s="5"/>
      <c r="AP6" s="69"/>
      <c r="AQ6" s="41"/>
      <c r="AR6" s="5"/>
      <c r="AS6" s="5"/>
      <c r="AT6" s="69"/>
      <c r="AU6" s="41"/>
      <c r="AV6" s="5"/>
      <c r="AW6" s="7"/>
      <c r="AX6" s="78"/>
      <c r="AY6" s="95">
        <f>Tabel24256789101112131415171618192120222326141518[[#This Row],[Subtotaal waterbar in consumpties]]+Tabel24256789101112131415171618192120222326141518[[#This Row],[Subtotaal koffieautomaten]]</f>
        <v>1751</v>
      </c>
    </row>
    <row r="7" spans="1:130" ht="14.45" customHeight="1" x14ac:dyDescent="0.25">
      <c r="A7" s="65" t="s">
        <v>34</v>
      </c>
      <c r="B7" t="s">
        <v>35</v>
      </c>
      <c r="C7" t="s">
        <v>47</v>
      </c>
      <c r="E7">
        <v>13408</v>
      </c>
      <c r="F7">
        <f>juni2025!E7</f>
        <v>12861</v>
      </c>
      <c r="G7">
        <f>Tabel24256789101112131415171618192120222326141518[[#This Row],[Stand Coffee einde maand]]-Tabel24256789101112131415171618192120222326141518[[#This Row],[Coffee vorige maand]]</f>
        <v>547</v>
      </c>
      <c r="H7" s="53">
        <v>3611</v>
      </c>
      <c r="I7">
        <f>juni2025!H7</f>
        <v>3431</v>
      </c>
      <c r="J7">
        <f>Tabel24256789101112131415171618192120222326141518[[#This Row],[Stand Espresso Einde maand]]-Tabel24256789101112131415171618192120222326141518[[#This Row],[Espresso vorige maand]]</f>
        <v>180</v>
      </c>
      <c r="K7" s="53">
        <v>3286</v>
      </c>
      <c r="L7">
        <f>juni2025!K7</f>
        <v>3175</v>
      </c>
      <c r="M7">
        <f>Tabel24256789101112131415171618192120222326141518[[#This Row],[Stand Latte Macchiato einde maand]]-Tabel24256789101112131415171618192120222326141518[[#This Row],[Latte Macchiato vorige maand]]</f>
        <v>111</v>
      </c>
      <c r="N7" s="53">
        <v>1490</v>
      </c>
      <c r="O7">
        <f>juni2025!N7</f>
        <v>1444</v>
      </c>
      <c r="P7">
        <f>Tabel24256789101112131415171618192120222326141518[[#This Row],[Stand Coffee Latte einde maand]]-Tabel24256789101112131415171618192120222326141518[[#This Row],[Coffee Latte vorige maand]]</f>
        <v>46</v>
      </c>
      <c r="Q7" s="53">
        <v>12113</v>
      </c>
      <c r="R7">
        <f>juni2025!Q7</f>
        <v>11801</v>
      </c>
      <c r="S7">
        <f>Tabel24256789101112131415171618192120222326141518[[#This Row],[Stand Hot Water einde maand]]-Tabel24256789101112131415171618192120222326141518[[#This Row],[Hot Water vorige maand]]</f>
        <v>312</v>
      </c>
      <c r="T7" s="53">
        <v>12690</v>
      </c>
      <c r="U7">
        <f>juni2025!T7</f>
        <v>12217</v>
      </c>
      <c r="V7">
        <f>Tabel24256789101112131415171618192120222326141518[[#This Row],[Stand Cappucino einde maand]]-Tabel24256789101112131415171618192120222326141518[[#This Row],[Stand Cappucino vorige maand]]</f>
        <v>473</v>
      </c>
      <c r="W7" s="53">
        <v>1165</v>
      </c>
      <c r="X7">
        <f>juni2025!W7</f>
        <v>1106</v>
      </c>
      <c r="Y7">
        <f>Tabel24256789101112131415171618192120222326141518[[#This Row],[Stand Cappucino Plantaardig einde maand]]-Tabel24256789101112131415171618192120222326141518[[#This Row],[Stand Cappucino Plantaardig vorige maand]]</f>
        <v>59</v>
      </c>
      <c r="Z7" s="53">
        <v>489</v>
      </c>
      <c r="AA7">
        <f>juni2025!Z7</f>
        <v>472</v>
      </c>
      <c r="AB7">
        <f>Tabel24256789101112131415171618192120222326141518[[#This Row],[Stand Latte Macchiato Plantaardig einde maand]]-Tabel24256789101112131415171618192120222326141518[[#This Row],[Stand Latte Macchiato Plantaardig vorige maand]]</f>
        <v>17</v>
      </c>
      <c r="AC7" s="71">
        <f>Tabel24256789101112131415171618192120222326141518[[#This Row],[Verbruik Stand Latte Macchiato Plantaardig deze maand]]+Tabel24256789101112131415171618192120222326141518[[#This Row],[Verbruik  Cappucino Plantaardig deze maand]]+Tabel24256789101112131415171618192120222326141518[[#This Row],[Verbruik Cappucino deze maand]]+Tabel24256789101112131415171618192120222326141518[[#This Row],[Verbruik Hot Water deze maand]]+Tabel24256789101112131415171618192120222326141518[[#This Row],[Verbruik Coffee Latte deze maand]]+Tabel24256789101112131415171618192120222326141518[[#This Row],[Verbruik Latte Macchiato deze maand]]+Tabel24256789101112131415171618192120222326141518[[#This Row],[Verbruik Espresso deze maand]]+Tabel24256789101112131415171618192120222326141518[[#This Row],[Verbruik Coffee deze maand]]</f>
        <v>1745</v>
      </c>
      <c r="AD7" s="53">
        <v>401.1</v>
      </c>
      <c r="AE7">
        <f>juni2025!AD7</f>
        <v>318.39999999999998</v>
      </c>
      <c r="AF7">
        <f>Tabel24256789101112131415171618192120222326141518[[#This Row],[Stand Kamertemp liter einde maand]]-Tabel24256789101112131415171618192120222326141518[[#This Row],[Stand Kamertemp liter vorige maand]]</f>
        <v>82.700000000000045</v>
      </c>
      <c r="AG7" s="2">
        <f>Tabel24256789101112131415171618192120222326141518[[#This Row],[Verbruik Kamertemp liter deze maand]]/0.15</f>
        <v>551.33333333333371</v>
      </c>
      <c r="AH7" s="53">
        <v>1095.4000000000001</v>
      </c>
      <c r="AI7">
        <f>juni2025!AH7</f>
        <v>902.6</v>
      </c>
      <c r="AJ7">
        <f>Tabel24256789101112131415171618192120222326141518[[#This Row],[Stand Gekoeld liter einde maand]]-Tabel24256789101112131415171618192120222326141518[[#This Row],[Stand Gekoeld liter vorige maand]]</f>
        <v>192.80000000000007</v>
      </c>
      <c r="AK7" s="2">
        <f>Tabel24256789101112131415171618192120222326141518[[#This Row],[Verbruik Gekoeld liter deze maand]]/0.15</f>
        <v>1285.3333333333339</v>
      </c>
      <c r="AL7" s="53">
        <v>577.79999999999995</v>
      </c>
      <c r="AM7">
        <f>juni2025!AL7</f>
        <v>503.1</v>
      </c>
      <c r="AN7">
        <f>Tabel24256789101112131415171618192120222326141518[[#This Row],[Stand Bruisend liter einde maand]]-Tabel24256789101112131415171618192120222326141518[[#This Row],[Stand Bruisend liter vorige maand]]</f>
        <v>74.699999999999932</v>
      </c>
      <c r="AO7" s="2">
        <f>Tabel24256789101112131415171618192120222326141518[[#This Row],[Verbruik Bruisend liter deze maand]]/0.15</f>
        <v>497.99999999999955</v>
      </c>
      <c r="AP7" s="53">
        <v>452.6</v>
      </c>
      <c r="AQ7">
        <f>juni2025!AP7</f>
        <v>375</v>
      </c>
      <c r="AR7">
        <f>Tabel24256789101112131415171618192120222326141518[[#This Row],[Stand licht bruisend liter einde maand]]-Tabel24256789101112131415171618192120222326141518[[#This Row],[Stand licht bruisend liter vorige maand]]</f>
        <v>77.600000000000023</v>
      </c>
      <c r="AS7" s="2">
        <f>Tabel24256789101112131415171618192120222326141518[[#This Row],[Verbruik licht bruisend liter deze maand]]/0.15</f>
        <v>517.33333333333348</v>
      </c>
      <c r="AT7" s="53">
        <v>1669.2</v>
      </c>
      <c r="AU7">
        <f>juni2025!AT7</f>
        <v>1469</v>
      </c>
      <c r="AV7">
        <f>Tabel24256789101112131415171618192120222326141518[[#This Row],[Stand heet water liter einde maand]]-Tabel24256789101112131415171618192120222326141518[[#This Row],[Stand heet water liter vorige maand]]</f>
        <v>200.20000000000005</v>
      </c>
      <c r="AW7" s="2">
        <f>Tabel24256789101112131415171618192120222326141518[[#This Row],[Verbruik heet Water liter deze maand ]]/0.15</f>
        <v>1334.666666666667</v>
      </c>
      <c r="AX7" s="77">
        <f>Tabel24256789101112131415171618192120222326141518[[#This Row],[Aantal consumpties heet water deze maand]]+Tabel24256789101112131415171618192120222326141518[[#This Row],[Aantal consumpties licht bruisend water deze maand]]+Tabel24256789101112131415171618192120222326141518[[#This Row],[aantal consumpties Bruisend water deze maand]]+Tabel24256789101112131415171618192120222326141518[[#This Row],[Aantal consumpties gekoeld water deze maand]]+Tabel24256789101112131415171618192120222326141518[[#This Row],[Aantal consumpties Kamertemp deze maand]]</f>
        <v>4186.6666666666679</v>
      </c>
      <c r="AY7" s="95">
        <f>Tabel24256789101112131415171618192120222326141518[[#This Row],[Subtotaal waterbar in consumpties]]+Tabel24256789101112131415171618192120222326141518[[#This Row],[Subtotaal koffieautomaten]]</f>
        <v>5931.6666666666679</v>
      </c>
    </row>
    <row r="8" spans="1:130" ht="14.45" customHeight="1" x14ac:dyDescent="0.25">
      <c r="A8" s="65" t="s">
        <v>37</v>
      </c>
      <c r="B8" t="s">
        <v>38</v>
      </c>
      <c r="C8" t="s">
        <v>31</v>
      </c>
      <c r="E8">
        <v>20758</v>
      </c>
      <c r="F8">
        <f>juni2025!E8</f>
        <v>20102</v>
      </c>
      <c r="G8">
        <f>Tabel24256789101112131415171618192120222326141518[[#This Row],[Stand Coffee einde maand]]-Tabel24256789101112131415171618192120222326141518[[#This Row],[Coffee vorige maand]]</f>
        <v>656</v>
      </c>
      <c r="H8" s="53">
        <v>4487</v>
      </c>
      <c r="I8">
        <f>juni2025!H8</f>
        <v>4381</v>
      </c>
      <c r="J8">
        <f>Tabel24256789101112131415171618192120222326141518[[#This Row],[Stand Espresso Einde maand]]-Tabel24256789101112131415171618192120222326141518[[#This Row],[Espresso vorige maand]]</f>
        <v>106</v>
      </c>
      <c r="K8" s="53">
        <v>2338</v>
      </c>
      <c r="L8">
        <f>juni2025!K8</f>
        <v>2308</v>
      </c>
      <c r="M8">
        <f>Tabel24256789101112131415171618192120222326141518[[#This Row],[Stand Latte Macchiato einde maand]]-Tabel24256789101112131415171618192120222326141518[[#This Row],[Latte Macchiato vorige maand]]</f>
        <v>30</v>
      </c>
      <c r="N8" s="53">
        <v>3244</v>
      </c>
      <c r="O8">
        <f>juni2025!N8</f>
        <v>3072</v>
      </c>
      <c r="P8">
        <f>Tabel24256789101112131415171618192120222326141518[[#This Row],[Stand Coffee Latte einde maand]]-Tabel24256789101112131415171618192120222326141518[[#This Row],[Coffee Latte vorige maand]]</f>
        <v>172</v>
      </c>
      <c r="Q8" s="53">
        <v>45978</v>
      </c>
      <c r="R8">
        <f>juni2025!Q8</f>
        <v>44378</v>
      </c>
      <c r="S8">
        <f>Tabel24256789101112131415171618192120222326141518[[#This Row],[Stand Hot Water einde maand]]-Tabel24256789101112131415171618192120222326141518[[#This Row],[Hot Water vorige maand]]</f>
        <v>1600</v>
      </c>
      <c r="T8" s="53">
        <v>12251</v>
      </c>
      <c r="U8">
        <f>juni2025!T8</f>
        <v>11887</v>
      </c>
      <c r="V8">
        <f>Tabel24256789101112131415171618192120222326141518[[#This Row],[Stand Cappucino einde maand]]-Tabel24256789101112131415171618192120222326141518[[#This Row],[Stand Cappucino vorige maand]]</f>
        <v>364</v>
      </c>
      <c r="W8" s="53">
        <v>1102</v>
      </c>
      <c r="X8">
        <f>juni2025!W8</f>
        <v>1046</v>
      </c>
      <c r="Y8">
        <f>Tabel24256789101112131415171618192120222326141518[[#This Row],[Stand Cappucino Plantaardig einde maand]]-Tabel24256789101112131415171618192120222326141518[[#This Row],[Stand Cappucino Plantaardig vorige maand]]</f>
        <v>56</v>
      </c>
      <c r="Z8" s="53">
        <v>611</v>
      </c>
      <c r="AA8">
        <f>juni2025!Z8</f>
        <v>584</v>
      </c>
      <c r="AB8">
        <f>Tabel24256789101112131415171618192120222326141518[[#This Row],[Stand Latte Macchiato Plantaardig einde maand]]-Tabel24256789101112131415171618192120222326141518[[#This Row],[Stand Latte Macchiato Plantaardig vorige maand]]</f>
        <v>27</v>
      </c>
      <c r="AC8" s="71">
        <f>Tabel24256789101112131415171618192120222326141518[[#This Row],[Verbruik Stand Latte Macchiato Plantaardig deze maand]]+Tabel24256789101112131415171618192120222326141518[[#This Row],[Verbruik  Cappucino Plantaardig deze maand]]+Tabel24256789101112131415171618192120222326141518[[#This Row],[Verbruik Cappucino deze maand]]+Tabel24256789101112131415171618192120222326141518[[#This Row],[Verbruik Hot Water deze maand]]+Tabel24256789101112131415171618192120222326141518[[#This Row],[Verbruik Coffee Latte deze maand]]+Tabel24256789101112131415171618192120222326141518[[#This Row],[Verbruik Latte Macchiato deze maand]]+Tabel24256789101112131415171618192120222326141518[[#This Row],[Verbruik Espresso deze maand]]+Tabel24256789101112131415171618192120222326141518[[#This Row],[Verbruik Coffee deze maand]]</f>
        <v>3011</v>
      </c>
      <c r="AD8" s="69"/>
      <c r="AE8" s="41"/>
      <c r="AF8" s="5"/>
      <c r="AG8" s="41"/>
      <c r="AH8" s="69"/>
      <c r="AI8" s="41"/>
      <c r="AJ8" s="41"/>
      <c r="AK8" s="41"/>
      <c r="AL8" s="75"/>
      <c r="AM8" s="41"/>
      <c r="AN8" s="41"/>
      <c r="AO8" s="5"/>
      <c r="AP8" s="69"/>
      <c r="AQ8" s="41"/>
      <c r="AR8" s="5"/>
      <c r="AS8" s="41"/>
      <c r="AT8" s="69"/>
      <c r="AU8" s="41"/>
      <c r="AV8" s="41"/>
      <c r="AW8" s="41"/>
      <c r="AX8" s="79"/>
      <c r="AY8" s="95">
        <f>Tabel24256789101112131415171618192120222326141518[[#This Row],[Subtotaal waterbar in consumpties]]+Tabel24256789101112131415171618192120222326141518[[#This Row],[Subtotaal koffieautomaten]]</f>
        <v>3011</v>
      </c>
    </row>
    <row r="9" spans="1:130" ht="14.45" customHeight="1" x14ac:dyDescent="0.25">
      <c r="A9" s="65" t="s">
        <v>39</v>
      </c>
      <c r="B9" t="s">
        <v>40</v>
      </c>
      <c r="C9" t="s">
        <v>31</v>
      </c>
      <c r="E9">
        <v>25500</v>
      </c>
      <c r="F9">
        <f>juni2025!E9</f>
        <v>24829</v>
      </c>
      <c r="G9">
        <f>Tabel24256789101112131415171618192120222326141518[[#This Row],[Stand Coffee einde maand]]-Tabel24256789101112131415171618192120222326141518[[#This Row],[Coffee vorige maand]]</f>
        <v>671</v>
      </c>
      <c r="H9" s="53">
        <v>4343</v>
      </c>
      <c r="I9">
        <f>juni2025!H9</f>
        <v>4273</v>
      </c>
      <c r="J9">
        <f>Tabel24256789101112131415171618192120222326141518[[#This Row],[Stand Espresso Einde maand]]-Tabel24256789101112131415171618192120222326141518[[#This Row],[Espresso vorige maand]]</f>
        <v>70</v>
      </c>
      <c r="K9" s="53">
        <v>3007</v>
      </c>
      <c r="L9">
        <f>juni2025!K9</f>
        <v>2934</v>
      </c>
      <c r="M9">
        <f>Tabel24256789101112131415171618192120222326141518[[#This Row],[Stand Latte Macchiato einde maand]]-Tabel24256789101112131415171618192120222326141518[[#This Row],[Latte Macchiato vorige maand]]</f>
        <v>73</v>
      </c>
      <c r="N9" s="53">
        <v>2124</v>
      </c>
      <c r="O9">
        <f>juni2025!N9</f>
        <v>2110</v>
      </c>
      <c r="P9">
        <f>Tabel24256789101112131415171618192120222326141518[[#This Row],[Stand Coffee Latte einde maand]]-Tabel24256789101112131415171618192120222326141518[[#This Row],[Coffee Latte vorige maand]]</f>
        <v>14</v>
      </c>
      <c r="Q9" s="53">
        <v>35675</v>
      </c>
      <c r="R9">
        <f>juni2025!Q9</f>
        <v>34722</v>
      </c>
      <c r="S9">
        <f>Tabel24256789101112131415171618192120222326141518[[#This Row],[Stand Hot Water einde maand]]-Tabel24256789101112131415171618192120222326141518[[#This Row],[Hot Water vorige maand]]</f>
        <v>953</v>
      </c>
      <c r="T9" s="53">
        <v>19584</v>
      </c>
      <c r="U9">
        <f>juni2025!T9</f>
        <v>19250</v>
      </c>
      <c r="V9">
        <f>Tabel24256789101112131415171618192120222326141518[[#This Row],[Stand Cappucino einde maand]]-Tabel24256789101112131415171618192120222326141518[[#This Row],[Stand Cappucino vorige maand]]</f>
        <v>334</v>
      </c>
      <c r="W9" s="53">
        <v>806</v>
      </c>
      <c r="X9">
        <f>juni2025!W9</f>
        <v>804</v>
      </c>
      <c r="Y9">
        <f>Tabel24256789101112131415171618192120222326141518[[#This Row],[Stand Cappucino Plantaardig einde maand]]-Tabel24256789101112131415171618192120222326141518[[#This Row],[Stand Cappucino Plantaardig vorige maand]]</f>
        <v>2</v>
      </c>
      <c r="Z9" s="53">
        <v>223</v>
      </c>
      <c r="AA9">
        <f>juni2025!Z9</f>
        <v>222</v>
      </c>
      <c r="AB9">
        <f>Tabel24256789101112131415171618192120222326141518[[#This Row],[Stand Latte Macchiato Plantaardig einde maand]]-Tabel24256789101112131415171618192120222326141518[[#This Row],[Stand Latte Macchiato Plantaardig vorige maand]]</f>
        <v>1</v>
      </c>
      <c r="AC9" s="71">
        <f>Tabel24256789101112131415171618192120222326141518[[#This Row],[Verbruik Stand Latte Macchiato Plantaardig deze maand]]+Tabel24256789101112131415171618192120222326141518[[#This Row],[Verbruik  Cappucino Plantaardig deze maand]]+Tabel24256789101112131415171618192120222326141518[[#This Row],[Verbruik Cappucino deze maand]]+Tabel24256789101112131415171618192120222326141518[[#This Row],[Verbruik Hot Water deze maand]]+Tabel24256789101112131415171618192120222326141518[[#This Row],[Verbruik Coffee Latte deze maand]]+Tabel24256789101112131415171618192120222326141518[[#This Row],[Verbruik Latte Macchiato deze maand]]+Tabel24256789101112131415171618192120222326141518[[#This Row],[Verbruik Espresso deze maand]]+Tabel24256789101112131415171618192120222326141518[[#This Row],[Verbruik Coffee deze maand]]</f>
        <v>2118</v>
      </c>
      <c r="AD9" s="69"/>
      <c r="AE9" s="41"/>
      <c r="AF9" s="5"/>
      <c r="AG9" s="41"/>
      <c r="AH9" s="69"/>
      <c r="AI9" s="41"/>
      <c r="AJ9" s="41"/>
      <c r="AK9" s="41"/>
      <c r="AL9" s="75"/>
      <c r="AM9" s="41"/>
      <c r="AN9" s="41"/>
      <c r="AO9" s="5"/>
      <c r="AP9" s="69"/>
      <c r="AQ9" s="41"/>
      <c r="AR9" s="5"/>
      <c r="AS9" s="41"/>
      <c r="AT9" s="69"/>
      <c r="AU9" s="41"/>
      <c r="AV9" s="41"/>
      <c r="AW9" s="41"/>
      <c r="AX9" s="79"/>
      <c r="AY9" s="95">
        <f>Tabel24256789101112131415171618192120222326141518[[#This Row],[Subtotaal waterbar in consumpties]]+Tabel24256789101112131415171618192120222326141518[[#This Row],[Subtotaal koffieautomaten]]</f>
        <v>2118</v>
      </c>
    </row>
    <row r="10" spans="1:130" ht="14.45" customHeight="1" x14ac:dyDescent="0.25">
      <c r="A10" s="65" t="s">
        <v>41</v>
      </c>
      <c r="B10" t="s">
        <v>42</v>
      </c>
      <c r="C10" t="s">
        <v>31</v>
      </c>
      <c r="E10">
        <v>14395</v>
      </c>
      <c r="F10">
        <f>juni2025!E10</f>
        <v>13988</v>
      </c>
      <c r="G10">
        <f>Tabel24256789101112131415171618192120222326141518[[#This Row],[Stand Coffee einde maand]]-Tabel24256789101112131415171618192120222326141518[[#This Row],[Coffee vorige maand]]</f>
        <v>407</v>
      </c>
      <c r="H10" s="53">
        <v>3160</v>
      </c>
      <c r="I10">
        <f>juni2025!H10</f>
        <v>3116</v>
      </c>
      <c r="J10">
        <f>Tabel24256789101112131415171618192120222326141518[[#This Row],[Stand Espresso Einde maand]]-Tabel24256789101112131415171618192120222326141518[[#This Row],[Espresso vorige maand]]</f>
        <v>44</v>
      </c>
      <c r="K10" s="53">
        <v>2396</v>
      </c>
      <c r="L10">
        <f>juni2025!K10</f>
        <v>2366</v>
      </c>
      <c r="M10">
        <f>Tabel24256789101112131415171618192120222326141518[[#This Row],[Stand Latte Macchiato einde maand]]-Tabel24256789101112131415171618192120222326141518[[#This Row],[Latte Macchiato vorige maand]]</f>
        <v>30</v>
      </c>
      <c r="N10" s="53">
        <v>1359</v>
      </c>
      <c r="O10">
        <f>juni2025!N10</f>
        <v>1332</v>
      </c>
      <c r="P10">
        <f>Tabel24256789101112131415171618192120222326141518[[#This Row],[Stand Coffee Latte einde maand]]-Tabel24256789101112131415171618192120222326141518[[#This Row],[Coffee Latte vorige maand]]</f>
        <v>27</v>
      </c>
      <c r="Q10" s="53">
        <v>40329</v>
      </c>
      <c r="R10">
        <f>juni2025!Q10</f>
        <v>39522</v>
      </c>
      <c r="S10">
        <f>Tabel24256789101112131415171618192120222326141518[[#This Row],[Stand Hot Water einde maand]]-Tabel24256789101112131415171618192120222326141518[[#This Row],[Hot Water vorige maand]]</f>
        <v>807</v>
      </c>
      <c r="T10" s="53">
        <v>9404</v>
      </c>
      <c r="U10">
        <f>juni2025!T10</f>
        <v>9131</v>
      </c>
      <c r="V10">
        <f>Tabel24256789101112131415171618192120222326141518[[#This Row],[Stand Cappucino einde maand]]-Tabel24256789101112131415171618192120222326141518[[#This Row],[Stand Cappucino vorige maand]]</f>
        <v>273</v>
      </c>
      <c r="W10" s="53">
        <v>2119</v>
      </c>
      <c r="X10">
        <f>juni2025!W10</f>
        <v>2041</v>
      </c>
      <c r="Y10">
        <f>Tabel24256789101112131415171618192120222326141518[[#This Row],[Stand Cappucino Plantaardig einde maand]]-Tabel24256789101112131415171618192120222326141518[[#This Row],[Stand Cappucino Plantaardig vorige maand]]</f>
        <v>78</v>
      </c>
      <c r="Z10" s="53">
        <v>744</v>
      </c>
      <c r="AA10">
        <f>juni2025!Z10</f>
        <v>737</v>
      </c>
      <c r="AB10">
        <f>Tabel24256789101112131415171618192120222326141518[[#This Row],[Stand Latte Macchiato Plantaardig einde maand]]-Tabel24256789101112131415171618192120222326141518[[#This Row],[Stand Latte Macchiato Plantaardig vorige maand]]</f>
        <v>7</v>
      </c>
      <c r="AC10" s="71">
        <f>Tabel24256789101112131415171618192120222326141518[[#This Row],[Verbruik Stand Latte Macchiato Plantaardig deze maand]]+Tabel24256789101112131415171618192120222326141518[[#This Row],[Verbruik  Cappucino Plantaardig deze maand]]+Tabel24256789101112131415171618192120222326141518[[#This Row],[Verbruik Cappucino deze maand]]+Tabel24256789101112131415171618192120222326141518[[#This Row],[Verbruik Hot Water deze maand]]+Tabel24256789101112131415171618192120222326141518[[#This Row],[Verbruik Coffee Latte deze maand]]+Tabel24256789101112131415171618192120222326141518[[#This Row],[Verbruik Latte Macchiato deze maand]]+Tabel24256789101112131415171618192120222326141518[[#This Row],[Verbruik Espresso deze maand]]+Tabel24256789101112131415171618192120222326141518[[#This Row],[Verbruik Coffee deze maand]]</f>
        <v>1673</v>
      </c>
      <c r="AD10" s="69"/>
      <c r="AE10" s="41"/>
      <c r="AF10" s="5"/>
      <c r="AG10" s="41"/>
      <c r="AH10" s="69"/>
      <c r="AI10" s="41"/>
      <c r="AJ10" s="41"/>
      <c r="AK10" s="41"/>
      <c r="AL10" s="75"/>
      <c r="AM10" s="41"/>
      <c r="AN10" s="41"/>
      <c r="AO10" s="5"/>
      <c r="AP10" s="69"/>
      <c r="AQ10" s="41"/>
      <c r="AR10" s="5"/>
      <c r="AS10" s="41"/>
      <c r="AT10" s="69"/>
      <c r="AU10" s="41"/>
      <c r="AV10" s="41"/>
      <c r="AW10" s="41"/>
      <c r="AX10" s="79"/>
      <c r="AY10" s="95">
        <f>Tabel24256789101112131415171618192120222326141518[[#This Row],[Subtotaal waterbar in consumpties]]+Tabel24256789101112131415171618192120222326141518[[#This Row],[Subtotaal koffieautomaten]]</f>
        <v>1673</v>
      </c>
    </row>
    <row r="11" spans="1:130" ht="14.45" customHeight="1" x14ac:dyDescent="0.25">
      <c r="A11" s="65" t="s">
        <v>43</v>
      </c>
      <c r="B11" t="s">
        <v>44</v>
      </c>
      <c r="C11" t="s">
        <v>31</v>
      </c>
      <c r="E11">
        <v>17222</v>
      </c>
      <c r="F11">
        <f>juni2025!E11</f>
        <v>16708</v>
      </c>
      <c r="G11">
        <f>Tabel24256789101112131415171618192120222326141518[[#This Row],[Stand Coffee einde maand]]-Tabel24256789101112131415171618192120222326141518[[#This Row],[Coffee vorige maand]]</f>
        <v>514</v>
      </c>
      <c r="H11" s="53">
        <v>3828</v>
      </c>
      <c r="I11">
        <f>juni2025!H11</f>
        <v>3743</v>
      </c>
      <c r="J11">
        <f>Tabel24256789101112131415171618192120222326141518[[#This Row],[Stand Espresso Einde maand]]-Tabel24256789101112131415171618192120222326141518[[#This Row],[Espresso vorige maand]]</f>
        <v>85</v>
      </c>
      <c r="K11" s="53">
        <v>1003</v>
      </c>
      <c r="L11">
        <f>juni2025!K11</f>
        <v>994</v>
      </c>
      <c r="M11">
        <f>Tabel24256789101112131415171618192120222326141518[[#This Row],[Stand Latte Macchiato einde maand]]-Tabel24256789101112131415171618192120222326141518[[#This Row],[Latte Macchiato vorige maand]]</f>
        <v>9</v>
      </c>
      <c r="N11" s="53">
        <v>1337</v>
      </c>
      <c r="O11">
        <f>juni2025!N11</f>
        <v>1329</v>
      </c>
      <c r="P11">
        <f>Tabel24256789101112131415171618192120222326141518[[#This Row],[Stand Coffee Latte einde maand]]-Tabel24256789101112131415171618192120222326141518[[#This Row],[Coffee Latte vorige maand]]</f>
        <v>8</v>
      </c>
      <c r="Q11" s="53">
        <v>29181</v>
      </c>
      <c r="R11">
        <f>juni2025!Q11</f>
        <v>28434</v>
      </c>
      <c r="S11">
        <f>Tabel24256789101112131415171618192120222326141518[[#This Row],[Stand Hot Water einde maand]]-Tabel24256789101112131415171618192120222326141518[[#This Row],[Hot Water vorige maand]]</f>
        <v>747</v>
      </c>
      <c r="T11" s="53">
        <v>9241</v>
      </c>
      <c r="U11">
        <f>juni2025!T11</f>
        <v>9080</v>
      </c>
      <c r="V11">
        <f>Tabel24256789101112131415171618192120222326141518[[#This Row],[Stand Cappucino einde maand]]-Tabel24256789101112131415171618192120222326141518[[#This Row],[Stand Cappucino vorige maand]]</f>
        <v>161</v>
      </c>
      <c r="W11" s="53">
        <v>1617</v>
      </c>
      <c r="X11">
        <f>juni2025!W11</f>
        <v>1608</v>
      </c>
      <c r="Y11">
        <f>Tabel24256789101112131415171618192120222326141518[[#This Row],[Stand Cappucino Plantaardig einde maand]]-Tabel24256789101112131415171618192120222326141518[[#This Row],[Stand Cappucino Plantaardig vorige maand]]</f>
        <v>9</v>
      </c>
      <c r="Z11" s="53">
        <v>1363</v>
      </c>
      <c r="AA11">
        <f>juni2025!Z11</f>
        <v>1353</v>
      </c>
      <c r="AB11">
        <f>Tabel24256789101112131415171618192120222326141518[[#This Row],[Stand Latte Macchiato Plantaardig einde maand]]-Tabel24256789101112131415171618192120222326141518[[#This Row],[Stand Latte Macchiato Plantaardig vorige maand]]</f>
        <v>10</v>
      </c>
      <c r="AC11" s="71">
        <f>Tabel24256789101112131415171618192120222326141518[[#This Row],[Verbruik Stand Latte Macchiato Plantaardig deze maand]]+Tabel24256789101112131415171618192120222326141518[[#This Row],[Verbruik  Cappucino Plantaardig deze maand]]+Tabel24256789101112131415171618192120222326141518[[#This Row],[Verbruik Cappucino deze maand]]+Tabel24256789101112131415171618192120222326141518[[#This Row],[Verbruik Hot Water deze maand]]+Tabel24256789101112131415171618192120222326141518[[#This Row],[Verbruik Coffee Latte deze maand]]+Tabel24256789101112131415171618192120222326141518[[#This Row],[Verbruik Latte Macchiato deze maand]]+Tabel24256789101112131415171618192120222326141518[[#This Row],[Verbruik Espresso deze maand]]+Tabel24256789101112131415171618192120222326141518[[#This Row],[Verbruik Coffee deze maand]]</f>
        <v>1543</v>
      </c>
      <c r="AD11" s="69"/>
      <c r="AE11" s="41"/>
      <c r="AF11" s="5"/>
      <c r="AG11" s="41"/>
      <c r="AH11" s="69"/>
      <c r="AI11" s="41"/>
      <c r="AJ11" s="41"/>
      <c r="AK11" s="41"/>
      <c r="AL11" s="75"/>
      <c r="AM11" s="41"/>
      <c r="AN11" s="41"/>
      <c r="AO11" s="5"/>
      <c r="AP11" s="69"/>
      <c r="AQ11" s="41"/>
      <c r="AR11" s="5"/>
      <c r="AS11" s="41"/>
      <c r="AT11" s="69"/>
      <c r="AU11" s="41"/>
      <c r="AV11" s="41"/>
      <c r="AW11" s="41"/>
      <c r="AX11" s="79"/>
      <c r="AY11" s="95">
        <f>Tabel24256789101112131415171618192120222326141518[[#This Row],[Subtotaal waterbar in consumpties]]+Tabel24256789101112131415171618192120222326141518[[#This Row],[Subtotaal koffieautomaten]]</f>
        <v>1543</v>
      </c>
    </row>
    <row r="12" spans="1:130" ht="14.45" customHeight="1" x14ac:dyDescent="0.25">
      <c r="A12" s="65" t="s">
        <v>45</v>
      </c>
      <c r="B12" t="s">
        <v>46</v>
      </c>
      <c r="C12" t="s">
        <v>47</v>
      </c>
      <c r="E12">
        <v>29667</v>
      </c>
      <c r="F12">
        <f>juni2025!E12</f>
        <v>28560</v>
      </c>
      <c r="G12">
        <f>Tabel24256789101112131415171618192120222326141518[[#This Row],[Stand Coffee einde maand]]-Tabel24256789101112131415171618192120222326141518[[#This Row],[Coffee vorige maand]]</f>
        <v>1107</v>
      </c>
      <c r="H12" s="53">
        <v>3061</v>
      </c>
      <c r="I12">
        <f>juni2025!H12</f>
        <v>2866</v>
      </c>
      <c r="J12">
        <f>Tabel24256789101112131415171618192120222326141518[[#This Row],[Stand Espresso Einde maand]]-Tabel24256789101112131415171618192120222326141518[[#This Row],[Espresso vorige maand]]</f>
        <v>195</v>
      </c>
      <c r="K12" s="53">
        <v>1839</v>
      </c>
      <c r="L12">
        <f>juni2025!K12</f>
        <v>1800</v>
      </c>
      <c r="M12">
        <f>Tabel24256789101112131415171618192120222326141518[[#This Row],[Stand Latte Macchiato einde maand]]-Tabel24256789101112131415171618192120222326141518[[#This Row],[Latte Macchiato vorige maand]]</f>
        <v>39</v>
      </c>
      <c r="N12" s="53">
        <v>1031</v>
      </c>
      <c r="O12">
        <f>juni2025!N12</f>
        <v>1010</v>
      </c>
      <c r="P12">
        <f>Tabel24256789101112131415171618192120222326141518[[#This Row],[Stand Coffee Latte einde maand]]-Tabel24256789101112131415171618192120222326141518[[#This Row],[Coffee Latte vorige maand]]</f>
        <v>21</v>
      </c>
      <c r="Q12" s="53">
        <v>1</v>
      </c>
      <c r="R12">
        <f>juni2025!Q12</f>
        <v>1</v>
      </c>
      <c r="S12">
        <f>Tabel24256789101112131415171618192120222326141518[[#This Row],[Stand Hot Water einde maand]]-Tabel24256789101112131415171618192120222326141518[[#This Row],[Hot Water vorige maand]]</f>
        <v>0</v>
      </c>
      <c r="T12" s="53">
        <v>9175</v>
      </c>
      <c r="U12">
        <f>juni2025!T12</f>
        <v>8865</v>
      </c>
      <c r="V12">
        <f>Tabel24256789101112131415171618192120222326141518[[#This Row],[Stand Cappucino einde maand]]-Tabel24256789101112131415171618192120222326141518[[#This Row],[Stand Cappucino vorige maand]]</f>
        <v>310</v>
      </c>
      <c r="W12" s="53">
        <v>3826</v>
      </c>
      <c r="X12">
        <f>juni2025!W12</f>
        <v>3708</v>
      </c>
      <c r="Y12">
        <f>Tabel24256789101112131415171618192120222326141518[[#This Row],[Stand Cappucino Plantaardig einde maand]]-Tabel24256789101112131415171618192120222326141518[[#This Row],[Stand Cappucino Plantaardig vorige maand]]</f>
        <v>118</v>
      </c>
      <c r="Z12" s="53">
        <v>835</v>
      </c>
      <c r="AA12">
        <f>juni2025!Z12</f>
        <v>820</v>
      </c>
      <c r="AB12">
        <f>Tabel24256789101112131415171618192120222326141518[[#This Row],[Stand Latte Macchiato Plantaardig einde maand]]-Tabel24256789101112131415171618192120222326141518[[#This Row],[Stand Latte Macchiato Plantaardig vorige maand]]</f>
        <v>15</v>
      </c>
      <c r="AC12" s="71">
        <f>Tabel24256789101112131415171618192120222326141518[[#This Row],[Verbruik Stand Latte Macchiato Plantaardig deze maand]]+Tabel24256789101112131415171618192120222326141518[[#This Row],[Verbruik  Cappucino Plantaardig deze maand]]+Tabel24256789101112131415171618192120222326141518[[#This Row],[Verbruik Cappucino deze maand]]+Tabel24256789101112131415171618192120222326141518[[#This Row],[Verbruik Hot Water deze maand]]+Tabel24256789101112131415171618192120222326141518[[#This Row],[Verbruik Coffee Latte deze maand]]+Tabel24256789101112131415171618192120222326141518[[#This Row],[Verbruik Latte Macchiato deze maand]]+Tabel24256789101112131415171618192120222326141518[[#This Row],[Verbruik Espresso deze maand]]+Tabel24256789101112131415171618192120222326141518[[#This Row],[Verbruik Coffee deze maand]]</f>
        <v>1805</v>
      </c>
      <c r="AD12" s="53">
        <v>702.2</v>
      </c>
      <c r="AE12">
        <f>juni2025!AD12</f>
        <v>660.2</v>
      </c>
      <c r="AF12">
        <f>Tabel24256789101112131415171618192120222326141518[[#This Row],[Stand Kamertemp liter einde maand]]-Tabel24256789101112131415171618192120222326141518[[#This Row],[Stand Kamertemp liter vorige maand]]</f>
        <v>42</v>
      </c>
      <c r="AG12" s="2">
        <f>Tabel24256789101112131415171618192120222326141518[[#This Row],[Verbruik Kamertemp liter deze maand]]/0.15</f>
        <v>280</v>
      </c>
      <c r="AH12" s="53">
        <v>2892.7</v>
      </c>
      <c r="AI12">
        <f>juni2025!AH12</f>
        <v>2629.3</v>
      </c>
      <c r="AJ12">
        <f>Tabel24256789101112131415171618192120222326141518[[#This Row],[Stand Gekoeld liter einde maand]]-Tabel24256789101112131415171618192120222326141518[[#This Row],[Stand Gekoeld liter vorige maand]]</f>
        <v>263.39999999999964</v>
      </c>
      <c r="AK12" s="2">
        <f>Tabel24256789101112131415171618192120222326141518[[#This Row],[Verbruik Gekoeld liter deze maand]]/0.15</f>
        <v>1755.9999999999977</v>
      </c>
      <c r="AL12" s="53">
        <v>2177.1</v>
      </c>
      <c r="AM12">
        <f>juni2025!AL12</f>
        <v>2001.3</v>
      </c>
      <c r="AN12">
        <f>Tabel24256789101112131415171618192120222326141518[[#This Row],[Stand Bruisend liter einde maand]]-Tabel24256789101112131415171618192120222326141518[[#This Row],[Stand Bruisend liter vorige maand]]</f>
        <v>175.79999999999995</v>
      </c>
      <c r="AO12" s="2">
        <f>Tabel24256789101112131415171618192120222326141518[[#This Row],[Verbruik Bruisend liter deze maand]]/0.15</f>
        <v>1171.9999999999998</v>
      </c>
      <c r="AP12" s="53">
        <v>762.2</v>
      </c>
      <c r="AQ12">
        <f>juni2025!AP12</f>
        <v>692.1</v>
      </c>
      <c r="AR12">
        <f>Tabel24256789101112131415171618192120222326141518[[#This Row],[Stand licht bruisend liter einde maand]]-Tabel24256789101112131415171618192120222326141518[[#This Row],[Stand licht bruisend liter vorige maand]]</f>
        <v>70.100000000000023</v>
      </c>
      <c r="AS12" s="2">
        <f>Tabel24256789101112131415171618192120222326141518[[#This Row],[Verbruik licht bruisend liter deze maand]]/0.15</f>
        <v>467.33333333333348</v>
      </c>
      <c r="AT12" s="53">
        <v>5213.2</v>
      </c>
      <c r="AU12">
        <f>juni2025!AT12</f>
        <v>4870.7</v>
      </c>
      <c r="AV12">
        <f>Tabel24256789101112131415171618192120222326141518[[#This Row],[Stand heet water liter einde maand]]-Tabel24256789101112131415171618192120222326141518[[#This Row],[Stand heet water liter vorige maand]]</f>
        <v>342.5</v>
      </c>
      <c r="AW12" s="2">
        <f>Tabel24256789101112131415171618192120222326141518[[#This Row],[Verbruik heet Water liter deze maand ]]/0.15</f>
        <v>2283.3333333333335</v>
      </c>
      <c r="AX12" s="77">
        <f>Tabel24256789101112131415171618192120222326141518[[#This Row],[Aantal consumpties heet water deze maand]]+Tabel24256789101112131415171618192120222326141518[[#This Row],[Aantal consumpties licht bruisend water deze maand]]+Tabel24256789101112131415171618192120222326141518[[#This Row],[aantal consumpties Bruisend water deze maand]]+Tabel24256789101112131415171618192120222326141518[[#This Row],[Aantal consumpties gekoeld water deze maand]]+Tabel24256789101112131415171618192120222326141518[[#This Row],[Aantal consumpties Kamertemp deze maand]]</f>
        <v>5958.6666666666642</v>
      </c>
      <c r="AY12" s="95">
        <f>Tabel24256789101112131415171618192120222326141518[[#This Row],[Subtotaal waterbar in consumpties]]+Tabel24256789101112131415171618192120222326141518[[#This Row],[Subtotaal koffieautomaten]]</f>
        <v>7763.6666666666642</v>
      </c>
    </row>
    <row r="13" spans="1:130" ht="14.45" customHeight="1" x14ac:dyDescent="0.25">
      <c r="A13" s="65" t="s">
        <v>48</v>
      </c>
      <c r="B13" t="s">
        <v>49</v>
      </c>
      <c r="C13" t="s">
        <v>31</v>
      </c>
      <c r="E13" s="102">
        <v>28326</v>
      </c>
      <c r="F13">
        <f>juni2025!E13</f>
        <v>27443</v>
      </c>
      <c r="G13">
        <f>Tabel24256789101112131415171618192120222326141518[[#This Row],[Stand Coffee einde maand]]-Tabel24256789101112131415171618192120222326141518[[#This Row],[Coffee vorige maand]]</f>
        <v>883</v>
      </c>
      <c r="H13" s="53">
        <v>7917</v>
      </c>
      <c r="I13">
        <f>juni2025!H13</f>
        <v>7555</v>
      </c>
      <c r="J13">
        <f>Tabel24256789101112131415171618192120222326141518[[#This Row],[Stand Espresso Einde maand]]-Tabel24256789101112131415171618192120222326141518[[#This Row],[Espresso vorige maand]]</f>
        <v>362</v>
      </c>
      <c r="K13" s="53">
        <v>1556</v>
      </c>
      <c r="L13">
        <f>juni2025!K13</f>
        <v>1536</v>
      </c>
      <c r="M13">
        <f>Tabel24256789101112131415171618192120222326141518[[#This Row],[Stand Latte Macchiato einde maand]]-Tabel24256789101112131415171618192120222326141518[[#This Row],[Latte Macchiato vorige maand]]</f>
        <v>20</v>
      </c>
      <c r="N13" s="53">
        <v>640</v>
      </c>
      <c r="O13">
        <f>juni2025!N13</f>
        <v>620</v>
      </c>
      <c r="P13">
        <f>Tabel24256789101112131415171618192120222326141518[[#This Row],[Stand Coffee Latte einde maand]]-Tabel24256789101112131415171618192120222326141518[[#This Row],[Coffee Latte vorige maand]]</f>
        <v>20</v>
      </c>
      <c r="Q13" s="53">
        <v>73215</v>
      </c>
      <c r="R13">
        <f>juni2025!Q13</f>
        <v>70984</v>
      </c>
      <c r="S13">
        <f>Tabel24256789101112131415171618192120222326141518[[#This Row],[Stand Hot Water einde maand]]-Tabel24256789101112131415171618192120222326141518[[#This Row],[Hot Water vorige maand]]</f>
        <v>2231</v>
      </c>
      <c r="T13" s="53">
        <v>15241</v>
      </c>
      <c r="U13">
        <f>juni2025!T13</f>
        <v>14734</v>
      </c>
      <c r="V13">
        <f>Tabel24256789101112131415171618192120222326141518[[#This Row],[Stand Cappucino einde maand]]-Tabel24256789101112131415171618192120222326141518[[#This Row],[Stand Cappucino vorige maand]]</f>
        <v>507</v>
      </c>
      <c r="W13" s="53">
        <v>2590</v>
      </c>
      <c r="X13">
        <f>juni2025!W13</f>
        <v>2518</v>
      </c>
      <c r="Y13">
        <f>Tabel24256789101112131415171618192120222326141518[[#This Row],[Stand Cappucino Plantaardig einde maand]]-Tabel24256789101112131415171618192120222326141518[[#This Row],[Stand Cappucino Plantaardig vorige maand]]</f>
        <v>72</v>
      </c>
      <c r="Z13" s="53">
        <v>960</v>
      </c>
      <c r="AA13">
        <f>juni2025!Z13</f>
        <v>921</v>
      </c>
      <c r="AB13">
        <f>Tabel24256789101112131415171618192120222326141518[[#This Row],[Stand Latte Macchiato Plantaardig einde maand]]-Tabel24256789101112131415171618192120222326141518[[#This Row],[Stand Latte Macchiato Plantaardig vorige maand]]</f>
        <v>39</v>
      </c>
      <c r="AC13" s="71">
        <f>Tabel24256789101112131415171618192120222326141518[[#This Row],[Verbruik Stand Latte Macchiato Plantaardig deze maand]]+Tabel24256789101112131415171618192120222326141518[[#This Row],[Verbruik  Cappucino Plantaardig deze maand]]+Tabel24256789101112131415171618192120222326141518[[#This Row],[Verbruik Cappucino deze maand]]+Tabel24256789101112131415171618192120222326141518[[#This Row],[Verbruik Hot Water deze maand]]+Tabel24256789101112131415171618192120222326141518[[#This Row],[Verbruik Coffee Latte deze maand]]+Tabel24256789101112131415171618192120222326141518[[#This Row],[Verbruik Latte Macchiato deze maand]]+Tabel24256789101112131415171618192120222326141518[[#This Row],[Verbruik Espresso deze maand]]+Tabel24256789101112131415171618192120222326141518[[#This Row],[Verbruik Coffee deze maand]]</f>
        <v>4134</v>
      </c>
      <c r="AD13" s="69"/>
      <c r="AE13" s="41"/>
      <c r="AF13" s="5"/>
      <c r="AG13" s="5"/>
      <c r="AH13" s="75"/>
      <c r="AI13" s="41"/>
      <c r="AJ13" s="5"/>
      <c r="AK13" s="5"/>
      <c r="AL13" s="75"/>
      <c r="AM13" s="41"/>
      <c r="AN13" s="5"/>
      <c r="AO13" s="5"/>
      <c r="AP13" s="75"/>
      <c r="AQ13" s="41"/>
      <c r="AR13" s="5"/>
      <c r="AS13" s="5"/>
      <c r="AT13" s="75"/>
      <c r="AU13" s="41"/>
      <c r="AV13" s="5"/>
      <c r="AW13" s="5"/>
      <c r="AX13" s="79"/>
      <c r="AY13" s="95">
        <f>Tabel24256789101112131415171618192120222326141518[[#This Row],[Subtotaal waterbar in consumpties]]+Tabel24256789101112131415171618192120222326141518[[#This Row],[Subtotaal koffieautomaten]]</f>
        <v>4134</v>
      </c>
    </row>
    <row r="14" spans="1:130" ht="14.45" customHeight="1" x14ac:dyDescent="0.25">
      <c r="A14" s="65" t="s">
        <v>50</v>
      </c>
      <c r="B14" t="s">
        <v>51</v>
      </c>
      <c r="C14" t="s">
        <v>47</v>
      </c>
      <c r="E14">
        <v>23321</v>
      </c>
      <c r="F14">
        <f>juni2025!E14</f>
        <v>22523</v>
      </c>
      <c r="G14">
        <f>Tabel24256789101112131415171618192120222326141518[[#This Row],[Stand Coffee einde maand]]-Tabel24256789101112131415171618192120222326141518[[#This Row],[Coffee vorige maand]]</f>
        <v>798</v>
      </c>
      <c r="H14" s="53">
        <v>6200</v>
      </c>
      <c r="I14">
        <f>juni2025!H14</f>
        <v>5959</v>
      </c>
      <c r="J14">
        <f>Tabel24256789101112131415171618192120222326141518[[#This Row],[Stand Espresso Einde maand]]-Tabel24256789101112131415171618192120222326141518[[#This Row],[Espresso vorige maand]]</f>
        <v>241</v>
      </c>
      <c r="K14" s="53">
        <v>2448</v>
      </c>
      <c r="L14">
        <f>juni2025!K14</f>
        <v>2367</v>
      </c>
      <c r="M14">
        <f>Tabel24256789101112131415171618192120222326141518[[#This Row],[Stand Latte Macchiato einde maand]]-Tabel24256789101112131415171618192120222326141518[[#This Row],[Latte Macchiato vorige maand]]</f>
        <v>81</v>
      </c>
      <c r="N14" s="53">
        <v>1257</v>
      </c>
      <c r="O14">
        <f>juni2025!N14</f>
        <v>1248</v>
      </c>
      <c r="P14">
        <f>Tabel24256789101112131415171618192120222326141518[[#This Row],[Stand Coffee Latte einde maand]]-Tabel24256789101112131415171618192120222326141518[[#This Row],[Coffee Latte vorige maand]]</f>
        <v>9</v>
      </c>
      <c r="Q14" s="53">
        <v>1</v>
      </c>
      <c r="R14">
        <f>juni2025!Q14</f>
        <v>1</v>
      </c>
      <c r="S14">
        <f>Tabel24256789101112131415171618192120222326141518[[#This Row],[Stand Hot Water einde maand]]-Tabel24256789101112131415171618192120222326141518[[#This Row],[Hot Water vorige maand]]</f>
        <v>0</v>
      </c>
      <c r="T14" s="53">
        <v>10307</v>
      </c>
      <c r="U14">
        <f>juni2025!T14</f>
        <v>10053</v>
      </c>
      <c r="V14">
        <f>Tabel24256789101112131415171618192120222326141518[[#This Row],[Stand Cappucino einde maand]]-Tabel24256789101112131415171618192120222326141518[[#This Row],[Stand Cappucino vorige maand]]</f>
        <v>254</v>
      </c>
      <c r="W14" s="53">
        <v>1281</v>
      </c>
      <c r="X14">
        <f>juni2025!W14</f>
        <v>1272</v>
      </c>
      <c r="Y14">
        <f>Tabel24256789101112131415171618192120222326141518[[#This Row],[Stand Cappucino Plantaardig einde maand]]-Tabel24256789101112131415171618192120222326141518[[#This Row],[Stand Cappucino Plantaardig vorige maand]]</f>
        <v>9</v>
      </c>
      <c r="Z14" s="53">
        <v>776</v>
      </c>
      <c r="AA14">
        <f>juni2025!Z14</f>
        <v>763</v>
      </c>
      <c r="AB14">
        <f>Tabel24256789101112131415171618192120222326141518[[#This Row],[Stand Latte Macchiato Plantaardig einde maand]]-Tabel24256789101112131415171618192120222326141518[[#This Row],[Stand Latte Macchiato Plantaardig vorige maand]]</f>
        <v>13</v>
      </c>
      <c r="AC14" s="71">
        <f>Tabel24256789101112131415171618192120222326141518[[#This Row],[Verbruik Stand Latte Macchiato Plantaardig deze maand]]+Tabel24256789101112131415171618192120222326141518[[#This Row],[Verbruik  Cappucino Plantaardig deze maand]]+Tabel24256789101112131415171618192120222326141518[[#This Row],[Verbruik Cappucino deze maand]]+Tabel24256789101112131415171618192120222326141518[[#This Row],[Verbruik Hot Water deze maand]]+Tabel24256789101112131415171618192120222326141518[[#This Row],[Verbruik Coffee Latte deze maand]]+Tabel24256789101112131415171618192120222326141518[[#This Row],[Verbruik Latte Macchiato deze maand]]+Tabel24256789101112131415171618192120222326141518[[#This Row],[Verbruik Espresso deze maand]]+Tabel24256789101112131415171618192120222326141518[[#This Row],[Verbruik Coffee deze maand]]</f>
        <v>1405</v>
      </c>
      <c r="AD14" s="53">
        <v>35.799999999999997</v>
      </c>
      <c r="AE14">
        <f>juni2025!AD14</f>
        <v>16.3</v>
      </c>
      <c r="AF14">
        <f>Tabel24256789101112131415171618192120222326141518[[#This Row],[Stand Kamertemp liter einde maand]]-Tabel24256789101112131415171618192120222326141518[[#This Row],[Stand Kamertemp liter vorige maand]]</f>
        <v>19.499999999999996</v>
      </c>
      <c r="AG14" s="2">
        <f>Tabel24256789101112131415171618192120222326141518[[#This Row],[Verbruik Kamertemp liter deze maand]]/0.15</f>
        <v>129.99999999999997</v>
      </c>
      <c r="AH14" s="53">
        <v>571.70000000000005</v>
      </c>
      <c r="AI14">
        <f>juni2025!AH14</f>
        <v>254</v>
      </c>
      <c r="AJ14">
        <f>Tabel24256789101112131415171618192120222326141518[[#This Row],[Stand Gekoeld liter einde maand]]-Tabel24256789101112131415171618192120222326141518[[#This Row],[Stand Gekoeld liter vorige maand]]</f>
        <v>317.70000000000005</v>
      </c>
      <c r="AK14" s="2">
        <f>Tabel24256789101112131415171618192120222326141518[[#This Row],[Verbruik Gekoeld liter deze maand]]/0.15</f>
        <v>2118.0000000000005</v>
      </c>
      <c r="AL14" s="53">
        <v>299.2</v>
      </c>
      <c r="AM14">
        <f>juni2025!AL14</f>
        <v>141</v>
      </c>
      <c r="AN14">
        <f>Tabel24256789101112131415171618192120222326141518[[#This Row],[Stand Bruisend liter einde maand]]-Tabel24256789101112131415171618192120222326141518[[#This Row],[Stand Bruisend liter vorige maand]]</f>
        <v>158.19999999999999</v>
      </c>
      <c r="AO14" s="2">
        <f>Tabel24256789101112131415171618192120222326141518[[#This Row],[Verbruik Bruisend liter deze maand]]/0.15</f>
        <v>1054.6666666666667</v>
      </c>
      <c r="AP14" s="53">
        <v>233.5</v>
      </c>
      <c r="AQ14">
        <f>juni2025!AP14</f>
        <v>116.3</v>
      </c>
      <c r="AR14">
        <f>Tabel24256789101112131415171618192120222326141518[[#This Row],[Stand licht bruisend liter einde maand]]-Tabel24256789101112131415171618192120222326141518[[#This Row],[Stand licht bruisend liter vorige maand]]</f>
        <v>117.2</v>
      </c>
      <c r="AS14" s="2">
        <f>Tabel24256789101112131415171618192120222326141518[[#This Row],[Verbruik licht bruisend liter deze maand]]/0.15</f>
        <v>781.33333333333337</v>
      </c>
      <c r="AT14" s="53">
        <v>573.79999999999995</v>
      </c>
      <c r="AU14">
        <f>juni2025!AT14</f>
        <v>288.5</v>
      </c>
      <c r="AV14">
        <f>Tabel24256789101112131415171618192120222326141518[[#This Row],[Stand heet water liter einde maand]]-Tabel24256789101112131415171618192120222326141518[[#This Row],[Stand heet water liter vorige maand]]</f>
        <v>285.29999999999995</v>
      </c>
      <c r="AW14" s="2">
        <f>Tabel24256789101112131415171618192120222326141518[[#This Row],[Verbruik heet Water liter deze maand ]]/0.15</f>
        <v>1901.9999999999998</v>
      </c>
      <c r="AX14" s="77">
        <f>Tabel24256789101112131415171618192120222326141518[[#This Row],[Aantal consumpties heet water deze maand]]+Tabel24256789101112131415171618192120222326141518[[#This Row],[Aantal consumpties licht bruisend water deze maand]]+Tabel24256789101112131415171618192120222326141518[[#This Row],[aantal consumpties Bruisend water deze maand]]+Tabel24256789101112131415171618192120222326141518[[#This Row],[Aantal consumpties gekoeld water deze maand]]+Tabel24256789101112131415171618192120222326141518[[#This Row],[Aantal consumpties Kamertemp deze maand]]</f>
        <v>5986</v>
      </c>
      <c r="AY14" s="95">
        <f>Tabel24256789101112131415171618192120222326141518[[#This Row],[Subtotaal waterbar in consumpties]]+Tabel24256789101112131415171618192120222326141518[[#This Row],[Subtotaal koffieautomaten]]</f>
        <v>7391</v>
      </c>
    </row>
    <row r="15" spans="1:130" ht="14.45" customHeight="1" x14ac:dyDescent="0.25">
      <c r="A15" s="65" t="s">
        <v>52</v>
      </c>
      <c r="B15" t="s">
        <v>53</v>
      </c>
      <c r="C15" t="s">
        <v>31</v>
      </c>
      <c r="E15">
        <v>20827</v>
      </c>
      <c r="F15">
        <f>juni2025!E15</f>
        <v>20281</v>
      </c>
      <c r="G15">
        <f>Tabel24256789101112131415171618192120222326141518[[#This Row],[Stand Coffee einde maand]]-Tabel24256789101112131415171618192120222326141518[[#This Row],[Coffee vorige maand]]</f>
        <v>546</v>
      </c>
      <c r="H15" s="53">
        <v>5730</v>
      </c>
      <c r="I15">
        <f>juni2025!H15</f>
        <v>5640</v>
      </c>
      <c r="J15">
        <f>Tabel24256789101112131415171618192120222326141518[[#This Row],[Stand Espresso Einde maand]]-Tabel24256789101112131415171618192120222326141518[[#This Row],[Espresso vorige maand]]</f>
        <v>90</v>
      </c>
      <c r="K15" s="53">
        <v>1205</v>
      </c>
      <c r="L15">
        <f>juni2025!K15</f>
        <v>1167</v>
      </c>
      <c r="M15">
        <f>Tabel24256789101112131415171618192120222326141518[[#This Row],[Stand Latte Macchiato einde maand]]-Tabel24256789101112131415171618192120222326141518[[#This Row],[Latte Macchiato vorige maand]]</f>
        <v>38</v>
      </c>
      <c r="N15" s="53">
        <v>1307</v>
      </c>
      <c r="O15">
        <f>juni2025!N15</f>
        <v>1264</v>
      </c>
      <c r="P15">
        <f>Tabel24256789101112131415171618192120222326141518[[#This Row],[Stand Coffee Latte einde maand]]-Tabel24256789101112131415171618192120222326141518[[#This Row],[Coffee Latte vorige maand]]</f>
        <v>43</v>
      </c>
      <c r="Q15" s="53">
        <v>36713</v>
      </c>
      <c r="R15">
        <f>juni2025!Q15</f>
        <v>35538</v>
      </c>
      <c r="S15">
        <f>Tabel24256789101112131415171618192120222326141518[[#This Row],[Stand Hot Water einde maand]]-Tabel24256789101112131415171618192120222326141518[[#This Row],[Hot Water vorige maand]]</f>
        <v>1175</v>
      </c>
      <c r="T15" s="53">
        <v>9059</v>
      </c>
      <c r="U15">
        <f>juni2025!T15</f>
        <v>8835</v>
      </c>
      <c r="V15">
        <f>Tabel24256789101112131415171618192120222326141518[[#This Row],[Stand Cappucino einde maand]]-Tabel24256789101112131415171618192120222326141518[[#This Row],[Stand Cappucino vorige maand]]</f>
        <v>224</v>
      </c>
      <c r="W15" s="53">
        <v>1908</v>
      </c>
      <c r="X15">
        <f>juni2025!W15</f>
        <v>1867</v>
      </c>
      <c r="Y15">
        <f>Tabel24256789101112131415171618192120222326141518[[#This Row],[Stand Cappucino Plantaardig einde maand]]-Tabel24256789101112131415171618192120222326141518[[#This Row],[Stand Cappucino Plantaardig vorige maand]]</f>
        <v>41</v>
      </c>
      <c r="Z15" s="97">
        <v>458</v>
      </c>
      <c r="AA15">
        <f>juni2025!Z15</f>
        <v>447</v>
      </c>
      <c r="AB15">
        <f>Tabel24256789101112131415171618192120222326141518[[#This Row],[Stand Latte Macchiato Plantaardig einde maand]]-Tabel24256789101112131415171618192120222326141518[[#This Row],[Stand Latte Macchiato Plantaardig vorige maand]]</f>
        <v>11</v>
      </c>
      <c r="AC15" s="71">
        <f>Tabel24256789101112131415171618192120222326141518[[#This Row],[Verbruik Stand Latte Macchiato Plantaardig deze maand]]+Tabel24256789101112131415171618192120222326141518[[#This Row],[Verbruik  Cappucino Plantaardig deze maand]]+Tabel24256789101112131415171618192120222326141518[[#This Row],[Verbruik Cappucino deze maand]]+Tabel24256789101112131415171618192120222326141518[[#This Row],[Verbruik Hot Water deze maand]]+Tabel24256789101112131415171618192120222326141518[[#This Row],[Verbruik Coffee Latte deze maand]]+Tabel24256789101112131415171618192120222326141518[[#This Row],[Verbruik Latte Macchiato deze maand]]+Tabel24256789101112131415171618192120222326141518[[#This Row],[Verbruik Espresso deze maand]]+Tabel24256789101112131415171618192120222326141518[[#This Row],[Verbruik Coffee deze maand]]</f>
        <v>2168</v>
      </c>
      <c r="AD15" s="69"/>
      <c r="AE15" s="41"/>
      <c r="AF15" s="5"/>
      <c r="AG15" s="5"/>
      <c r="AH15" s="75"/>
      <c r="AI15" s="41"/>
      <c r="AJ15" s="5"/>
      <c r="AK15" s="5"/>
      <c r="AL15" s="75"/>
      <c r="AM15" s="41"/>
      <c r="AN15" s="5"/>
      <c r="AO15" s="5"/>
      <c r="AP15" s="75"/>
      <c r="AQ15" s="41"/>
      <c r="AR15" s="5"/>
      <c r="AS15" s="5"/>
      <c r="AT15" s="75"/>
      <c r="AU15" s="41"/>
      <c r="AV15" s="5"/>
      <c r="AW15" s="5"/>
      <c r="AX15" s="79"/>
      <c r="AY15" s="95">
        <f>Tabel24256789101112131415171618192120222326141518[[#This Row],[Subtotaal waterbar in consumpties]]+Tabel24256789101112131415171618192120222326141518[[#This Row],[Subtotaal koffieautomaten]]</f>
        <v>2168</v>
      </c>
    </row>
    <row r="16" spans="1:130" ht="14.45" customHeight="1" x14ac:dyDescent="0.25">
      <c r="A16" s="65" t="s">
        <v>54</v>
      </c>
      <c r="B16" t="s">
        <v>55</v>
      </c>
      <c r="C16" t="s">
        <v>47</v>
      </c>
      <c r="E16">
        <v>3007</v>
      </c>
      <c r="F16">
        <f>juni2025!E16</f>
        <v>2751</v>
      </c>
      <c r="G16">
        <f>Tabel24256789101112131415171618192120222326141518[[#This Row],[Stand Coffee einde maand]]-Tabel24256789101112131415171618192120222326141518[[#This Row],[Coffee vorige maand]]</f>
        <v>256</v>
      </c>
      <c r="H16" s="53">
        <v>3749</v>
      </c>
      <c r="I16">
        <f>juni2025!H16</f>
        <v>3514</v>
      </c>
      <c r="J16">
        <f>Tabel24256789101112131415171618192120222326141518[[#This Row],[Stand Espresso Einde maand]]-Tabel24256789101112131415171618192120222326141518[[#This Row],[Espresso vorige maand]]</f>
        <v>235</v>
      </c>
      <c r="K16" s="53">
        <v>322</v>
      </c>
      <c r="L16">
        <f>juni2025!K16</f>
        <v>298</v>
      </c>
      <c r="M16">
        <f>Tabel24256789101112131415171618192120222326141518[[#This Row],[Stand Latte Macchiato einde maand]]-Tabel24256789101112131415171618192120222326141518[[#This Row],[Latte Macchiato vorige maand]]</f>
        <v>24</v>
      </c>
      <c r="N16" s="53">
        <v>189</v>
      </c>
      <c r="O16">
        <f>juni2025!N16</f>
        <v>183</v>
      </c>
      <c r="P16">
        <f>Tabel24256789101112131415171618192120222326141518[[#This Row],[Stand Coffee Latte einde maand]]-Tabel24256789101112131415171618192120222326141518[[#This Row],[Coffee Latte vorige maand]]</f>
        <v>6</v>
      </c>
      <c r="Q16" s="53">
        <v>908</v>
      </c>
      <c r="R16">
        <f>juni2025!Q16</f>
        <v>829</v>
      </c>
      <c r="S16">
        <f>Tabel24256789101112131415171618192120222326141518[[#This Row],[Stand Hot Water einde maand]]-Tabel24256789101112131415171618192120222326141518[[#This Row],[Hot Water vorige maand]]</f>
        <v>79</v>
      </c>
      <c r="T16" s="53">
        <v>4509</v>
      </c>
      <c r="U16">
        <f>juni2025!T16</f>
        <v>4174</v>
      </c>
      <c r="V16">
        <f>Tabel24256789101112131415171618192120222326141518[[#This Row],[Stand Cappucino einde maand]]-Tabel24256789101112131415171618192120222326141518[[#This Row],[Stand Cappucino vorige maand]]</f>
        <v>335</v>
      </c>
      <c r="W16" s="53">
        <v>407</v>
      </c>
      <c r="X16">
        <f>juni2025!W16</f>
        <v>374</v>
      </c>
      <c r="Y16">
        <f>Tabel24256789101112131415171618192120222326141518[[#This Row],[Stand Cappucino Plantaardig einde maand]]-Tabel24256789101112131415171618192120222326141518[[#This Row],[Stand Cappucino Plantaardig vorige maand]]</f>
        <v>33</v>
      </c>
      <c r="Z16" s="53">
        <v>58</v>
      </c>
      <c r="AA16">
        <f>juni2025!Z16</f>
        <v>56</v>
      </c>
      <c r="AB16">
        <f>Tabel24256789101112131415171618192120222326141518[[#This Row],[Stand Latte Macchiato Plantaardig einde maand]]-Tabel24256789101112131415171618192120222326141518[[#This Row],[Stand Latte Macchiato Plantaardig vorige maand]]</f>
        <v>2</v>
      </c>
      <c r="AC16" s="71">
        <f>Tabel24256789101112131415171618192120222326141518[[#This Row],[Verbruik Stand Latte Macchiato Plantaardig deze maand]]+Tabel24256789101112131415171618192120222326141518[[#This Row],[Verbruik  Cappucino Plantaardig deze maand]]+Tabel24256789101112131415171618192120222326141518[[#This Row],[Verbruik Cappucino deze maand]]+Tabel24256789101112131415171618192120222326141518[[#This Row],[Verbruik Hot Water deze maand]]+Tabel24256789101112131415171618192120222326141518[[#This Row],[Verbruik Coffee Latte deze maand]]+Tabel24256789101112131415171618192120222326141518[[#This Row],[Verbruik Latte Macchiato deze maand]]+Tabel24256789101112131415171618192120222326141518[[#This Row],[Verbruik Espresso deze maand]]+Tabel24256789101112131415171618192120222326141518[[#This Row],[Verbruik Coffee deze maand]]</f>
        <v>970</v>
      </c>
      <c r="AD16" s="53">
        <v>48.3</v>
      </c>
      <c r="AE16">
        <f>juni2025!AD16</f>
        <v>30.5</v>
      </c>
      <c r="AF16">
        <f>Tabel24256789101112131415171618192120222326141518[[#This Row],[Stand Kamertemp liter einde maand]]-Tabel24256789101112131415171618192120222326141518[[#This Row],[Stand Kamertemp liter vorige maand]]</f>
        <v>17.799999999999997</v>
      </c>
      <c r="AG16" s="2">
        <f>Tabel24256789101112131415171618192120222326141518[[#This Row],[Verbruik Kamertemp liter deze maand]]/0.15</f>
        <v>118.66666666666666</v>
      </c>
      <c r="AH16" s="51">
        <v>723.7</v>
      </c>
      <c r="AI16">
        <f>juni2025!AH16</f>
        <v>574.9</v>
      </c>
      <c r="AJ16">
        <f>Tabel24256789101112131415171618192120222326141518[[#This Row],[Stand Gekoeld liter einde maand]]-Tabel24256789101112131415171618192120222326141518[[#This Row],[Stand Gekoeld liter vorige maand]]</f>
        <v>148.80000000000007</v>
      </c>
      <c r="AK16" s="2">
        <f>Tabel24256789101112131415171618192120222326141518[[#This Row],[Verbruik Gekoeld liter deze maand]]/0.15</f>
        <v>992.00000000000045</v>
      </c>
      <c r="AL16" s="51">
        <v>531.4</v>
      </c>
      <c r="AM16">
        <f>juni2025!AL16</f>
        <v>386.5</v>
      </c>
      <c r="AN16">
        <f>Tabel24256789101112131415171618192120222326141518[[#This Row],[Stand Bruisend liter einde maand]]-Tabel24256789101112131415171618192120222326141518[[#This Row],[Stand Bruisend liter vorige maand]]</f>
        <v>144.89999999999998</v>
      </c>
      <c r="AO16" s="2">
        <f>Tabel24256789101112131415171618192120222326141518[[#This Row],[Verbruik Bruisend liter deze maand]]/0.15</f>
        <v>965.99999999999989</v>
      </c>
      <c r="AP16" s="51">
        <v>114.3</v>
      </c>
      <c r="AQ16">
        <f>juni2025!AP16</f>
        <v>88.5</v>
      </c>
      <c r="AR16">
        <f>Tabel24256789101112131415171618192120222326141518[[#This Row],[Stand licht bruisend liter einde maand]]-Tabel24256789101112131415171618192120222326141518[[#This Row],[Stand licht bruisend liter vorige maand]]</f>
        <v>25.799999999999997</v>
      </c>
      <c r="AS16" s="2">
        <f>Tabel24256789101112131415171618192120222326141518[[#This Row],[Verbruik licht bruisend liter deze maand]]/0.15</f>
        <v>172</v>
      </c>
      <c r="AT16" s="51">
        <v>1352.1</v>
      </c>
      <c r="AU16">
        <f>juni2025!AT16</f>
        <v>1146.8</v>
      </c>
      <c r="AV16">
        <f>Tabel24256789101112131415171618192120222326141518[[#This Row],[Stand heet water liter einde maand]]-Tabel24256789101112131415171618192120222326141518[[#This Row],[Stand heet water liter vorige maand]]</f>
        <v>205.29999999999995</v>
      </c>
      <c r="AW16" s="2">
        <f>Tabel24256789101112131415171618192120222326141518[[#This Row],[Verbruik heet Water liter deze maand ]]/0.15</f>
        <v>1368.6666666666665</v>
      </c>
      <c r="AX16" s="77">
        <f>Tabel24256789101112131415171618192120222326141518[[#This Row],[Aantal consumpties heet water deze maand]]+Tabel24256789101112131415171618192120222326141518[[#This Row],[Aantal consumpties licht bruisend water deze maand]]+Tabel24256789101112131415171618192120222326141518[[#This Row],[aantal consumpties Bruisend water deze maand]]+Tabel24256789101112131415171618192120222326141518[[#This Row],[Aantal consumpties gekoeld water deze maand]]+Tabel24256789101112131415171618192120222326141518[[#This Row],[Aantal consumpties Kamertemp deze maand]]</f>
        <v>3617.3333333333335</v>
      </c>
      <c r="AY16" s="95">
        <f>Tabel24256789101112131415171618192120222326141518[[#This Row],[Subtotaal waterbar in consumpties]]+Tabel24256789101112131415171618192120222326141518[[#This Row],[Subtotaal koffieautomaten]]</f>
        <v>4587.3333333333339</v>
      </c>
    </row>
    <row r="17" spans="1:130" ht="14.45" customHeight="1" x14ac:dyDescent="0.25">
      <c r="A17" s="65" t="s">
        <v>56</v>
      </c>
      <c r="B17" t="s">
        <v>57</v>
      </c>
      <c r="C17" t="s">
        <v>31</v>
      </c>
      <c r="E17">
        <v>30617</v>
      </c>
      <c r="F17">
        <f>juni2025!E17</f>
        <v>29655</v>
      </c>
      <c r="G17">
        <f>Tabel24256789101112131415171618192120222326141518[[#This Row],[Stand Coffee einde maand]]-Tabel24256789101112131415171618192120222326141518[[#This Row],[Coffee vorige maand]]</f>
        <v>962</v>
      </c>
      <c r="H17" s="53">
        <v>6002</v>
      </c>
      <c r="I17">
        <f>juni2025!H17</f>
        <v>5896</v>
      </c>
      <c r="J17">
        <f>Tabel24256789101112131415171618192120222326141518[[#This Row],[Stand Espresso Einde maand]]-Tabel24256789101112131415171618192120222326141518[[#This Row],[Espresso vorige maand]]</f>
        <v>106</v>
      </c>
      <c r="K17" s="53">
        <v>840</v>
      </c>
      <c r="L17">
        <f>juni2025!K17</f>
        <v>823</v>
      </c>
      <c r="M17">
        <f>Tabel24256789101112131415171618192120222326141518[[#This Row],[Stand Latte Macchiato einde maand]]-Tabel24256789101112131415171618192120222326141518[[#This Row],[Latte Macchiato vorige maand]]</f>
        <v>17</v>
      </c>
      <c r="N17" s="53">
        <v>1752</v>
      </c>
      <c r="O17">
        <f>juni2025!N17</f>
        <v>1714</v>
      </c>
      <c r="P17">
        <f>Tabel24256789101112131415171618192120222326141518[[#This Row],[Stand Coffee Latte einde maand]]-Tabel24256789101112131415171618192120222326141518[[#This Row],[Coffee Latte vorige maand]]</f>
        <v>38</v>
      </c>
      <c r="Q17" s="53">
        <v>48223</v>
      </c>
      <c r="R17">
        <f>juni2025!Q17</f>
        <v>46657</v>
      </c>
      <c r="S17">
        <f>Tabel24256789101112131415171618192120222326141518[[#This Row],[Stand Hot Water einde maand]]-Tabel24256789101112131415171618192120222326141518[[#This Row],[Hot Water vorige maand]]</f>
        <v>1566</v>
      </c>
      <c r="T17" s="53">
        <v>12104</v>
      </c>
      <c r="U17">
        <f>juni2025!T17</f>
        <v>11868</v>
      </c>
      <c r="V17">
        <f>Tabel24256789101112131415171618192120222326141518[[#This Row],[Stand Cappucino einde maand]]-Tabel24256789101112131415171618192120222326141518[[#This Row],[Stand Cappucino vorige maand]]</f>
        <v>236</v>
      </c>
      <c r="W17" s="53">
        <v>3650</v>
      </c>
      <c r="X17">
        <f>juni2025!W17</f>
        <v>3544</v>
      </c>
      <c r="Y17">
        <f>Tabel24256789101112131415171618192120222326141518[[#This Row],[Stand Cappucino Plantaardig einde maand]]-Tabel24256789101112131415171618192120222326141518[[#This Row],[Stand Cappucino Plantaardig vorige maand]]</f>
        <v>106</v>
      </c>
      <c r="Z17" s="53">
        <v>998</v>
      </c>
      <c r="AA17">
        <f>juni2025!Z17</f>
        <v>955</v>
      </c>
      <c r="AB17">
        <f>Tabel24256789101112131415171618192120222326141518[[#This Row],[Stand Latte Macchiato Plantaardig einde maand]]-Tabel24256789101112131415171618192120222326141518[[#This Row],[Stand Latte Macchiato Plantaardig vorige maand]]</f>
        <v>43</v>
      </c>
      <c r="AC17" s="71">
        <f>Tabel24256789101112131415171618192120222326141518[[#This Row],[Verbruik Stand Latte Macchiato Plantaardig deze maand]]+Tabel24256789101112131415171618192120222326141518[[#This Row],[Verbruik  Cappucino Plantaardig deze maand]]+Tabel24256789101112131415171618192120222326141518[[#This Row],[Verbruik Cappucino deze maand]]+Tabel24256789101112131415171618192120222326141518[[#This Row],[Verbruik Hot Water deze maand]]+Tabel24256789101112131415171618192120222326141518[[#This Row],[Verbruik Coffee Latte deze maand]]+Tabel24256789101112131415171618192120222326141518[[#This Row],[Verbruik Latte Macchiato deze maand]]+Tabel24256789101112131415171618192120222326141518[[#This Row],[Verbruik Espresso deze maand]]+Tabel24256789101112131415171618192120222326141518[[#This Row],[Verbruik Coffee deze maand]]</f>
        <v>3074</v>
      </c>
      <c r="AD17" s="69"/>
      <c r="AE17" s="41"/>
      <c r="AF17" s="5"/>
      <c r="AG17" s="5"/>
      <c r="AH17" s="75"/>
      <c r="AI17" s="41"/>
      <c r="AJ17" s="5"/>
      <c r="AK17" s="5"/>
      <c r="AL17" s="75"/>
      <c r="AM17" s="41"/>
      <c r="AN17" s="5"/>
      <c r="AO17" s="5"/>
      <c r="AP17" s="75"/>
      <c r="AQ17" s="41"/>
      <c r="AR17" s="5"/>
      <c r="AS17" s="5"/>
      <c r="AT17" s="75"/>
      <c r="AU17" s="41"/>
      <c r="AV17" s="5"/>
      <c r="AW17" s="5"/>
      <c r="AX17" s="79"/>
      <c r="AY17" s="95">
        <f>Tabel24256789101112131415171618192120222326141518[[#This Row],[Subtotaal waterbar in consumpties]]+Tabel24256789101112131415171618192120222326141518[[#This Row],[Subtotaal koffieautomaten]]</f>
        <v>3074</v>
      </c>
    </row>
    <row r="18" spans="1:130" ht="14.45" customHeight="1" x14ac:dyDescent="0.25">
      <c r="A18" s="65" t="s">
        <v>58</v>
      </c>
      <c r="B18" t="s">
        <v>59</v>
      </c>
      <c r="C18" t="s">
        <v>47</v>
      </c>
      <c r="E18">
        <v>21498</v>
      </c>
      <c r="F18">
        <f>juni2025!E18</f>
        <v>20831</v>
      </c>
      <c r="G18">
        <f>Tabel24256789101112131415171618192120222326141518[[#This Row],[Stand Coffee einde maand]]-Tabel24256789101112131415171618192120222326141518[[#This Row],[Coffee vorige maand]]</f>
        <v>667</v>
      </c>
      <c r="H18" s="53">
        <v>5828</v>
      </c>
      <c r="I18">
        <f>juni2025!H18</f>
        <v>5503</v>
      </c>
      <c r="J18">
        <f>Tabel24256789101112131415171618192120222326141518[[#This Row],[Stand Espresso Einde maand]]-Tabel24256789101112131415171618192120222326141518[[#This Row],[Espresso vorige maand]]</f>
        <v>325</v>
      </c>
      <c r="K18" s="53">
        <v>3005</v>
      </c>
      <c r="L18">
        <f>juni2025!K18</f>
        <v>2923</v>
      </c>
      <c r="M18">
        <f>Tabel24256789101112131415171618192120222326141518[[#This Row],[Stand Latte Macchiato einde maand]]-Tabel24256789101112131415171618192120222326141518[[#This Row],[Latte Macchiato vorige maand]]</f>
        <v>82</v>
      </c>
      <c r="N18" s="53">
        <v>777</v>
      </c>
      <c r="O18">
        <f>juni2025!N18</f>
        <v>764</v>
      </c>
      <c r="P18">
        <f>Tabel24256789101112131415171618192120222326141518[[#This Row],[Stand Coffee Latte einde maand]]-Tabel24256789101112131415171618192120222326141518[[#This Row],[Coffee Latte vorige maand]]</f>
        <v>13</v>
      </c>
      <c r="Q18" s="53">
        <v>1</v>
      </c>
      <c r="R18">
        <f>juni2025!Q18</f>
        <v>1</v>
      </c>
      <c r="S18">
        <f>Tabel24256789101112131415171618192120222326141518[[#This Row],[Stand Hot Water einde maand]]-Tabel24256789101112131415171618192120222326141518[[#This Row],[Hot Water vorige maand]]</f>
        <v>0</v>
      </c>
      <c r="T18" s="53">
        <v>11594</v>
      </c>
      <c r="U18">
        <f>juni2025!T18</f>
        <v>11252</v>
      </c>
      <c r="V18">
        <f>Tabel24256789101112131415171618192120222326141518[[#This Row],[Stand Cappucino einde maand]]-Tabel24256789101112131415171618192120222326141518[[#This Row],[Stand Cappucino vorige maand]]</f>
        <v>342</v>
      </c>
      <c r="W18" s="53">
        <v>4287</v>
      </c>
      <c r="X18">
        <f>juni2025!W18</f>
        <v>4142</v>
      </c>
      <c r="Y18">
        <f>Tabel24256789101112131415171618192120222326141518[[#This Row],[Stand Cappucino Plantaardig einde maand]]-Tabel24256789101112131415171618192120222326141518[[#This Row],[Stand Cappucino Plantaardig vorige maand]]</f>
        <v>145</v>
      </c>
      <c r="Z18" s="53">
        <v>479</v>
      </c>
      <c r="AA18">
        <f>juni2025!Z18</f>
        <v>467</v>
      </c>
      <c r="AB18">
        <f>Tabel24256789101112131415171618192120222326141518[[#This Row],[Stand Latte Macchiato Plantaardig einde maand]]-Tabel24256789101112131415171618192120222326141518[[#This Row],[Stand Latte Macchiato Plantaardig vorige maand]]</f>
        <v>12</v>
      </c>
      <c r="AC18" s="71">
        <f>Tabel24256789101112131415171618192120222326141518[[#This Row],[Verbruik Stand Latte Macchiato Plantaardig deze maand]]+Tabel24256789101112131415171618192120222326141518[[#This Row],[Verbruik  Cappucino Plantaardig deze maand]]+Tabel24256789101112131415171618192120222326141518[[#This Row],[Verbruik Cappucino deze maand]]+Tabel24256789101112131415171618192120222326141518[[#This Row],[Verbruik Hot Water deze maand]]+Tabel24256789101112131415171618192120222326141518[[#This Row],[Verbruik Coffee Latte deze maand]]+Tabel24256789101112131415171618192120222326141518[[#This Row],[Verbruik Latte Macchiato deze maand]]+Tabel24256789101112131415171618192120222326141518[[#This Row],[Verbruik Espresso deze maand]]+Tabel24256789101112131415171618192120222326141518[[#This Row],[Verbruik Coffee deze maand]]</f>
        <v>1586</v>
      </c>
      <c r="AD18" s="53">
        <v>611.70000000000005</v>
      </c>
      <c r="AE18">
        <f>juni2025!AD18</f>
        <v>565.20000000000005</v>
      </c>
      <c r="AF18">
        <f>Tabel24256789101112131415171618192120222326141518[[#This Row],[Stand Kamertemp liter einde maand]]-Tabel24256789101112131415171618192120222326141518[[#This Row],[Stand Kamertemp liter vorige maand]]</f>
        <v>46.5</v>
      </c>
      <c r="AG18" s="2">
        <f>Tabel24256789101112131415171618192120222326141518[[#This Row],[Verbruik Kamertemp liter deze maand]]/0.15</f>
        <v>310</v>
      </c>
      <c r="AH18" s="53">
        <v>2653.4</v>
      </c>
      <c r="AI18">
        <f>juni2025!AH18</f>
        <v>2363</v>
      </c>
      <c r="AJ18">
        <f>Tabel24256789101112131415171618192120222326141518[[#This Row],[Stand Gekoeld liter einde maand]]-Tabel24256789101112131415171618192120222326141518[[#This Row],[Stand Gekoeld liter vorige maand]]</f>
        <v>290.40000000000009</v>
      </c>
      <c r="AK18" s="2">
        <f>Tabel24256789101112131415171618192120222326141518[[#This Row],[Verbruik Gekoeld liter deze maand]]/0.15</f>
        <v>1936.0000000000007</v>
      </c>
      <c r="AL18" s="53">
        <v>2127.8000000000002</v>
      </c>
      <c r="AM18">
        <f>juni2025!AL18</f>
        <v>1957.7</v>
      </c>
      <c r="AN18">
        <f>Tabel24256789101112131415171618192120222326141518[[#This Row],[Stand Bruisend liter einde maand]]-Tabel24256789101112131415171618192120222326141518[[#This Row],[Stand Bruisend liter vorige maand]]</f>
        <v>170.10000000000014</v>
      </c>
      <c r="AO18" s="2">
        <f>Tabel24256789101112131415171618192120222326141518[[#This Row],[Verbruik Bruisend liter deze maand]]/0.15</f>
        <v>1134.0000000000009</v>
      </c>
      <c r="AP18" s="53">
        <v>789.2</v>
      </c>
      <c r="AQ18">
        <f>juni2025!AP18</f>
        <v>721.9</v>
      </c>
      <c r="AR18">
        <f>Tabel24256789101112131415171618192120222326141518[[#This Row],[Stand licht bruisend liter einde maand]]-Tabel24256789101112131415171618192120222326141518[[#This Row],[Stand licht bruisend liter vorige maand]]</f>
        <v>67.300000000000068</v>
      </c>
      <c r="AS18" s="2">
        <f>Tabel24256789101112131415171618192120222326141518[[#This Row],[Verbruik licht bruisend liter deze maand]]/0.15</f>
        <v>448.66666666666714</v>
      </c>
      <c r="AT18" s="53">
        <v>5341.9</v>
      </c>
      <c r="AU18">
        <f>juni2025!AT18</f>
        <v>5065.3</v>
      </c>
      <c r="AV18">
        <f>Tabel24256789101112131415171618192120222326141518[[#This Row],[Stand heet water liter einde maand]]-Tabel24256789101112131415171618192120222326141518[[#This Row],[Stand heet water liter vorige maand]]</f>
        <v>276.59999999999945</v>
      </c>
      <c r="AW18" s="2">
        <f>Tabel24256789101112131415171618192120222326141518[[#This Row],[Verbruik heet Water liter deze maand ]]/0.15</f>
        <v>1843.9999999999964</v>
      </c>
      <c r="AX18" s="77">
        <f>Tabel24256789101112131415171618192120222326141518[[#This Row],[Aantal consumpties heet water deze maand]]+Tabel24256789101112131415171618192120222326141518[[#This Row],[Aantal consumpties licht bruisend water deze maand]]+Tabel24256789101112131415171618192120222326141518[[#This Row],[aantal consumpties Bruisend water deze maand]]+Tabel24256789101112131415171618192120222326141518[[#This Row],[Aantal consumpties gekoeld water deze maand]]+Tabel24256789101112131415171618192120222326141518[[#This Row],[Aantal consumpties Kamertemp deze maand]]</f>
        <v>5672.6666666666652</v>
      </c>
      <c r="AY18" s="95">
        <f>Tabel24256789101112131415171618192120222326141518[[#This Row],[Subtotaal waterbar in consumpties]]+Tabel24256789101112131415171618192120222326141518[[#This Row],[Subtotaal koffieautomaten]]</f>
        <v>7258.6666666666652</v>
      </c>
    </row>
    <row r="19" spans="1:130" ht="14.45" customHeight="1" x14ac:dyDescent="0.25">
      <c r="A19" s="65" t="s">
        <v>60</v>
      </c>
      <c r="B19" t="s">
        <v>61</v>
      </c>
      <c r="C19" t="s">
        <v>31</v>
      </c>
      <c r="E19">
        <v>23106</v>
      </c>
      <c r="F19">
        <f>juni2025!E19</f>
        <v>22326</v>
      </c>
      <c r="G19">
        <f>Tabel24256789101112131415171618192120222326141518[[#This Row],[Stand Coffee einde maand]]-Tabel24256789101112131415171618192120222326141518[[#This Row],[Coffee vorige maand]]</f>
        <v>780</v>
      </c>
      <c r="H19" s="53">
        <v>5159</v>
      </c>
      <c r="I19">
        <f>juni2025!H19</f>
        <v>5033</v>
      </c>
      <c r="J19">
        <f>Tabel24256789101112131415171618192120222326141518[[#This Row],[Stand Espresso Einde maand]]-Tabel24256789101112131415171618192120222326141518[[#This Row],[Espresso vorige maand]]</f>
        <v>126</v>
      </c>
      <c r="K19" s="53">
        <v>1700</v>
      </c>
      <c r="L19">
        <f>juni2025!K19</f>
        <v>1625</v>
      </c>
      <c r="M19">
        <f>Tabel24256789101112131415171618192120222326141518[[#This Row],[Stand Latte Macchiato einde maand]]-Tabel24256789101112131415171618192120222326141518[[#This Row],[Latte Macchiato vorige maand]]</f>
        <v>75</v>
      </c>
      <c r="N19" s="53">
        <v>1074</v>
      </c>
      <c r="O19">
        <f>juni2025!N19</f>
        <v>1039</v>
      </c>
      <c r="P19">
        <f>Tabel24256789101112131415171618192120222326141518[[#This Row],[Stand Coffee Latte einde maand]]-Tabel24256789101112131415171618192120222326141518[[#This Row],[Coffee Latte vorige maand]]</f>
        <v>35</v>
      </c>
      <c r="Q19" s="53">
        <v>52147</v>
      </c>
      <c r="R19">
        <f>juni2025!Q19</f>
        <v>50477</v>
      </c>
      <c r="S19">
        <f>Tabel24256789101112131415171618192120222326141518[[#This Row],[Stand Hot Water einde maand]]-Tabel24256789101112131415171618192120222326141518[[#This Row],[Hot Water vorige maand]]</f>
        <v>1670</v>
      </c>
      <c r="T19" s="53">
        <v>12349</v>
      </c>
      <c r="U19">
        <f>juni2025!T19</f>
        <v>12026</v>
      </c>
      <c r="V19">
        <f>Tabel24256789101112131415171618192120222326141518[[#This Row],[Stand Cappucino einde maand]]-Tabel24256789101112131415171618192120222326141518[[#This Row],[Stand Cappucino vorige maand]]</f>
        <v>323</v>
      </c>
      <c r="W19" s="53">
        <v>2036</v>
      </c>
      <c r="X19">
        <f>juni2025!W19</f>
        <v>2008</v>
      </c>
      <c r="Y19">
        <f>Tabel24256789101112131415171618192120222326141518[[#This Row],[Stand Cappucino Plantaardig einde maand]]-Tabel24256789101112131415171618192120222326141518[[#This Row],[Stand Cappucino Plantaardig vorige maand]]</f>
        <v>28</v>
      </c>
      <c r="Z19" s="53">
        <v>566</v>
      </c>
      <c r="AA19">
        <f>juni2025!Z19</f>
        <v>538</v>
      </c>
      <c r="AB19">
        <f>Tabel24256789101112131415171618192120222326141518[[#This Row],[Stand Latte Macchiato Plantaardig einde maand]]-Tabel24256789101112131415171618192120222326141518[[#This Row],[Stand Latte Macchiato Plantaardig vorige maand]]</f>
        <v>28</v>
      </c>
      <c r="AC19" s="71">
        <f>Tabel24256789101112131415171618192120222326141518[[#This Row],[Verbruik Stand Latte Macchiato Plantaardig deze maand]]+Tabel24256789101112131415171618192120222326141518[[#This Row],[Verbruik  Cappucino Plantaardig deze maand]]+Tabel24256789101112131415171618192120222326141518[[#This Row],[Verbruik Cappucino deze maand]]+Tabel24256789101112131415171618192120222326141518[[#This Row],[Verbruik Hot Water deze maand]]+Tabel24256789101112131415171618192120222326141518[[#This Row],[Verbruik Coffee Latte deze maand]]+Tabel24256789101112131415171618192120222326141518[[#This Row],[Verbruik Latte Macchiato deze maand]]+Tabel24256789101112131415171618192120222326141518[[#This Row],[Verbruik Espresso deze maand]]+Tabel24256789101112131415171618192120222326141518[[#This Row],[Verbruik Coffee deze maand]]</f>
        <v>3065</v>
      </c>
      <c r="AD19" s="69"/>
      <c r="AE19" s="41"/>
      <c r="AF19" s="5"/>
      <c r="AG19" s="5"/>
      <c r="AH19" s="75"/>
      <c r="AI19" s="41"/>
      <c r="AJ19" s="5"/>
      <c r="AK19" s="5"/>
      <c r="AL19" s="75"/>
      <c r="AM19" s="41"/>
      <c r="AN19" s="5"/>
      <c r="AO19" s="5"/>
      <c r="AP19" s="75"/>
      <c r="AQ19" s="41"/>
      <c r="AR19" s="5"/>
      <c r="AS19" s="5"/>
      <c r="AT19" s="75"/>
      <c r="AU19" s="41"/>
      <c r="AV19" s="5"/>
      <c r="AW19" s="5"/>
      <c r="AX19" s="79"/>
      <c r="AY19" s="95">
        <f>Tabel24256789101112131415171618192120222326141518[[#This Row],[Subtotaal waterbar in consumpties]]+Tabel24256789101112131415171618192120222326141518[[#This Row],[Subtotaal koffieautomaten]]</f>
        <v>3065</v>
      </c>
    </row>
    <row r="20" spans="1:130" ht="14.45" customHeight="1" x14ac:dyDescent="0.25">
      <c r="A20" s="65" t="s">
        <v>62</v>
      </c>
      <c r="B20" t="s">
        <v>63</v>
      </c>
      <c r="C20" t="s">
        <v>47</v>
      </c>
      <c r="E20">
        <v>9180</v>
      </c>
      <c r="F20">
        <f>juni2025!E20</f>
        <v>8449</v>
      </c>
      <c r="G20">
        <f>Tabel24256789101112131415171618192120222326141518[[#This Row],[Stand Coffee einde maand]]-Tabel24256789101112131415171618192120222326141518[[#This Row],[Coffee vorige maand]]</f>
        <v>731</v>
      </c>
      <c r="H20" s="53">
        <v>1761</v>
      </c>
      <c r="I20">
        <f>juni2025!H20</f>
        <v>1656</v>
      </c>
      <c r="J20">
        <f>Tabel24256789101112131415171618192120222326141518[[#This Row],[Stand Espresso Einde maand]]-Tabel24256789101112131415171618192120222326141518[[#This Row],[Espresso vorige maand]]</f>
        <v>105</v>
      </c>
      <c r="K20" s="53">
        <v>368</v>
      </c>
      <c r="L20">
        <f>juni2025!K20</f>
        <v>342</v>
      </c>
      <c r="M20">
        <f>Tabel24256789101112131415171618192120222326141518[[#This Row],[Stand Latte Macchiato einde maand]]-Tabel24256789101112131415171618192120222326141518[[#This Row],[Latte Macchiato vorige maand]]</f>
        <v>26</v>
      </c>
      <c r="N20" s="53">
        <v>680</v>
      </c>
      <c r="O20">
        <f>juni2025!N20</f>
        <v>631</v>
      </c>
      <c r="P20">
        <f>Tabel24256789101112131415171618192120222326141518[[#This Row],[Stand Coffee Latte einde maand]]-Tabel24256789101112131415171618192120222326141518[[#This Row],[Coffee Latte vorige maand]]</f>
        <v>49</v>
      </c>
      <c r="Q20" s="53">
        <v>3103</v>
      </c>
      <c r="R20">
        <f>juni2025!Q20</f>
        <v>2975</v>
      </c>
      <c r="S20">
        <f>Tabel24256789101112131415171618192120222326141518[[#This Row],[Stand Hot Water einde maand]]-Tabel24256789101112131415171618192120222326141518[[#This Row],[Hot Water vorige maand]]</f>
        <v>128</v>
      </c>
      <c r="T20" s="53">
        <v>2934</v>
      </c>
      <c r="U20">
        <f>juni2025!T20</f>
        <v>2753</v>
      </c>
      <c r="V20">
        <f>Tabel24256789101112131415171618192120222326141518[[#This Row],[Stand Cappucino einde maand]]-Tabel24256789101112131415171618192120222326141518[[#This Row],[Stand Cappucino vorige maand]]</f>
        <v>181</v>
      </c>
      <c r="W20" s="53">
        <v>962</v>
      </c>
      <c r="X20">
        <f>juni2025!W20</f>
        <v>907</v>
      </c>
      <c r="Y20">
        <f>Tabel24256789101112131415171618192120222326141518[[#This Row],[Stand Cappucino Plantaardig einde maand]]-Tabel24256789101112131415171618192120222326141518[[#This Row],[Stand Cappucino Plantaardig vorige maand]]</f>
        <v>55</v>
      </c>
      <c r="Z20" s="53">
        <v>356</v>
      </c>
      <c r="AA20">
        <f>juni2025!Z20</f>
        <v>340</v>
      </c>
      <c r="AB20">
        <f>Tabel24256789101112131415171618192120222326141518[[#This Row],[Stand Latte Macchiato Plantaardig einde maand]]-Tabel24256789101112131415171618192120222326141518[[#This Row],[Stand Latte Macchiato Plantaardig vorige maand]]</f>
        <v>16</v>
      </c>
      <c r="AC20" s="71">
        <f>Tabel24256789101112131415171618192120222326141518[[#This Row],[Verbruik Stand Latte Macchiato Plantaardig deze maand]]+Tabel24256789101112131415171618192120222326141518[[#This Row],[Verbruik  Cappucino Plantaardig deze maand]]+Tabel24256789101112131415171618192120222326141518[[#This Row],[Verbruik Cappucino deze maand]]+Tabel24256789101112131415171618192120222326141518[[#This Row],[Verbruik Hot Water deze maand]]+Tabel24256789101112131415171618192120222326141518[[#This Row],[Verbruik Coffee Latte deze maand]]+Tabel24256789101112131415171618192120222326141518[[#This Row],[Verbruik Latte Macchiato deze maand]]+Tabel24256789101112131415171618192120222326141518[[#This Row],[Verbruik Espresso deze maand]]+Tabel24256789101112131415171618192120222326141518[[#This Row],[Verbruik Coffee deze maand]]</f>
        <v>1291</v>
      </c>
      <c r="AD20" s="53">
        <v>223.7</v>
      </c>
      <c r="AE20">
        <f>juni2025!AD20</f>
        <v>207.1</v>
      </c>
      <c r="AF20">
        <f>Tabel24256789101112131415171618192120222326141518[[#This Row],[Stand Kamertemp liter einde maand]]-Tabel24256789101112131415171618192120222326141518[[#This Row],[Stand Kamertemp liter vorige maand]]</f>
        <v>16.599999999999994</v>
      </c>
      <c r="AG20" s="2">
        <f>Tabel24256789101112131415171618192120222326141518[[#This Row],[Verbruik Kamertemp liter deze maand]]/0.15</f>
        <v>110.66666666666663</v>
      </c>
      <c r="AH20" s="51">
        <v>1927</v>
      </c>
      <c r="AI20">
        <f>juni2025!AH20</f>
        <v>1789.6</v>
      </c>
      <c r="AJ20">
        <f>Tabel24256789101112131415171618192120222326141518[[#This Row],[Stand Gekoeld liter einde maand]]-Tabel24256789101112131415171618192120222326141518[[#This Row],[Stand Gekoeld liter vorige maand]]</f>
        <v>137.40000000000009</v>
      </c>
      <c r="AK20" s="2">
        <f>Tabel24256789101112131415171618192120222326141518[[#This Row],[Verbruik Gekoeld liter deze maand]]/0.15</f>
        <v>916.00000000000068</v>
      </c>
      <c r="AL20" s="51">
        <v>2229.1999999999998</v>
      </c>
      <c r="AM20">
        <f>juni2025!AL20</f>
        <v>2057.1999999999998</v>
      </c>
      <c r="AN20">
        <f>Tabel24256789101112131415171618192120222326141518[[#This Row],[Stand Bruisend liter einde maand]]-Tabel24256789101112131415171618192120222326141518[[#This Row],[Stand Bruisend liter vorige maand]]</f>
        <v>172</v>
      </c>
      <c r="AO20" s="2">
        <f>Tabel24256789101112131415171618192120222326141518[[#This Row],[Verbruik Bruisend liter deze maand]]/0.15</f>
        <v>1146.6666666666667</v>
      </c>
      <c r="AP20" s="51">
        <v>558.1</v>
      </c>
      <c r="AQ20">
        <f>juni2025!AP20</f>
        <v>484.5</v>
      </c>
      <c r="AR20">
        <f>Tabel24256789101112131415171618192120222326141518[[#This Row],[Stand licht bruisend liter einde maand]]-Tabel24256789101112131415171618192120222326141518[[#This Row],[Stand licht bruisend liter vorige maand]]</f>
        <v>73.600000000000023</v>
      </c>
      <c r="AS20" s="2">
        <f>Tabel24256789101112131415171618192120222326141518[[#This Row],[Verbruik licht bruisend liter deze maand]]/0.15</f>
        <v>490.66666666666686</v>
      </c>
      <c r="AT20" s="51">
        <v>5352.2</v>
      </c>
      <c r="AU20">
        <f>juni2025!AT20</f>
        <v>5190.6000000000004</v>
      </c>
      <c r="AV20">
        <f>Tabel24256789101112131415171618192120222326141518[[#This Row],[Stand heet water liter einde maand]]-Tabel24256789101112131415171618192120222326141518[[#This Row],[Stand heet water liter vorige maand]]</f>
        <v>161.59999999999945</v>
      </c>
      <c r="AW20" s="2">
        <f>Tabel24256789101112131415171618192120222326141518[[#This Row],[Verbruik heet Water liter deze maand ]]/0.15</f>
        <v>1077.3333333333298</v>
      </c>
      <c r="AX20" s="77">
        <f>Tabel24256789101112131415171618192120222326141518[[#This Row],[Aantal consumpties heet water deze maand]]+Tabel24256789101112131415171618192120222326141518[[#This Row],[Aantal consumpties licht bruisend water deze maand]]+Tabel24256789101112131415171618192120222326141518[[#This Row],[aantal consumpties Bruisend water deze maand]]+Tabel24256789101112131415171618192120222326141518[[#This Row],[Aantal consumpties gekoeld water deze maand]]+Tabel24256789101112131415171618192120222326141518[[#This Row],[Aantal consumpties Kamertemp deze maand]]</f>
        <v>3741.3333333333308</v>
      </c>
      <c r="AY20" s="95">
        <f>Tabel24256789101112131415171618192120222326141518[[#This Row],[Subtotaal waterbar in consumpties]]+Tabel24256789101112131415171618192120222326141518[[#This Row],[Subtotaal koffieautomaten]]</f>
        <v>5032.3333333333303</v>
      </c>
    </row>
    <row r="21" spans="1:130" ht="14.45" customHeight="1" x14ac:dyDescent="0.25">
      <c r="A21" s="65" t="s">
        <v>64</v>
      </c>
      <c r="B21" t="s">
        <v>65</v>
      </c>
      <c r="C21" t="s">
        <v>31</v>
      </c>
      <c r="E21">
        <v>26519</v>
      </c>
      <c r="F21">
        <f>juni2025!E21</f>
        <v>25454</v>
      </c>
      <c r="G21">
        <f>Tabel24256789101112131415171618192120222326141518[[#This Row],[Stand Coffee einde maand]]-Tabel24256789101112131415171618192120222326141518[[#This Row],[Coffee vorige maand]]</f>
        <v>1065</v>
      </c>
      <c r="H21" s="53">
        <v>7377</v>
      </c>
      <c r="I21">
        <f>juni2025!H21</f>
        <v>7001</v>
      </c>
      <c r="J21">
        <f>Tabel24256789101112131415171618192120222326141518[[#This Row],[Stand Espresso Einde maand]]-Tabel24256789101112131415171618192120222326141518[[#This Row],[Espresso vorige maand]]</f>
        <v>376</v>
      </c>
      <c r="K21" s="53">
        <v>3082</v>
      </c>
      <c r="L21">
        <f>juni2025!K21</f>
        <v>3004</v>
      </c>
      <c r="M21">
        <f>Tabel24256789101112131415171618192120222326141518[[#This Row],[Stand Latte Macchiato einde maand]]-Tabel24256789101112131415171618192120222326141518[[#This Row],[Latte Macchiato vorige maand]]</f>
        <v>78</v>
      </c>
      <c r="N21" s="53">
        <v>1265</v>
      </c>
      <c r="O21">
        <f>juni2025!N21</f>
        <v>1242</v>
      </c>
      <c r="P21">
        <f>Tabel24256789101112131415171618192120222326141518[[#This Row],[Stand Coffee Latte einde maand]]-Tabel24256789101112131415171618192120222326141518[[#This Row],[Coffee Latte vorige maand]]</f>
        <v>23</v>
      </c>
      <c r="Q21" s="53">
        <v>57102</v>
      </c>
      <c r="R21">
        <f>juni2025!Q21</f>
        <v>54872</v>
      </c>
      <c r="S21">
        <f>Tabel24256789101112131415171618192120222326141518[[#This Row],[Stand Hot Water einde maand]]-Tabel24256789101112131415171618192120222326141518[[#This Row],[Hot Water vorige maand]]</f>
        <v>2230</v>
      </c>
      <c r="T21" s="53">
        <v>16493</v>
      </c>
      <c r="U21">
        <f>juni2025!T21</f>
        <v>16130</v>
      </c>
      <c r="V21">
        <f>Tabel24256789101112131415171618192120222326141518[[#This Row],[Stand Cappucino einde maand]]-Tabel24256789101112131415171618192120222326141518[[#This Row],[Stand Cappucino vorige maand]]</f>
        <v>363</v>
      </c>
      <c r="W21" s="53">
        <v>2833</v>
      </c>
      <c r="X21">
        <f>juni2025!W21</f>
        <v>2779</v>
      </c>
      <c r="Y21">
        <f>Tabel24256789101112131415171618192120222326141518[[#This Row],[Stand Cappucino Plantaardig einde maand]]-Tabel24256789101112131415171618192120222326141518[[#This Row],[Stand Cappucino Plantaardig vorige maand]]</f>
        <v>54</v>
      </c>
      <c r="Z21" s="53">
        <v>932</v>
      </c>
      <c r="AA21">
        <f>juni2025!Z21</f>
        <v>901</v>
      </c>
      <c r="AB21">
        <f>Tabel24256789101112131415171618192120222326141518[[#This Row],[Stand Latte Macchiato Plantaardig einde maand]]-Tabel24256789101112131415171618192120222326141518[[#This Row],[Stand Latte Macchiato Plantaardig vorige maand]]</f>
        <v>31</v>
      </c>
      <c r="AC21" s="71">
        <f>Tabel24256789101112131415171618192120222326141518[[#This Row],[Verbruik Stand Latte Macchiato Plantaardig deze maand]]+Tabel24256789101112131415171618192120222326141518[[#This Row],[Verbruik  Cappucino Plantaardig deze maand]]+Tabel24256789101112131415171618192120222326141518[[#This Row],[Verbruik Cappucino deze maand]]+Tabel24256789101112131415171618192120222326141518[[#This Row],[Verbruik Hot Water deze maand]]+Tabel24256789101112131415171618192120222326141518[[#This Row],[Verbruik Coffee Latte deze maand]]+Tabel24256789101112131415171618192120222326141518[[#This Row],[Verbruik Latte Macchiato deze maand]]+Tabel24256789101112131415171618192120222326141518[[#This Row],[Verbruik Espresso deze maand]]+Tabel24256789101112131415171618192120222326141518[[#This Row],[Verbruik Coffee deze maand]]</f>
        <v>4220</v>
      </c>
      <c r="AD21" s="69"/>
      <c r="AE21" s="41"/>
      <c r="AF21" s="5"/>
      <c r="AG21" s="5"/>
      <c r="AH21" s="75"/>
      <c r="AI21" s="41"/>
      <c r="AJ21" s="5"/>
      <c r="AK21" s="5"/>
      <c r="AL21" s="75"/>
      <c r="AM21" s="41"/>
      <c r="AN21" s="5"/>
      <c r="AO21" s="5"/>
      <c r="AP21" s="75"/>
      <c r="AQ21" s="41"/>
      <c r="AR21" s="5"/>
      <c r="AS21" s="5"/>
      <c r="AT21" s="75"/>
      <c r="AU21" s="41"/>
      <c r="AV21" s="5"/>
      <c r="AW21" s="5"/>
      <c r="AX21" s="79"/>
      <c r="AY21" s="95">
        <f>Tabel24256789101112131415171618192120222326141518[[#This Row],[Subtotaal waterbar in consumpties]]+Tabel24256789101112131415171618192120222326141518[[#This Row],[Subtotaal koffieautomaten]]</f>
        <v>4220</v>
      </c>
    </row>
    <row r="22" spans="1:130" ht="14.45" customHeight="1" x14ac:dyDescent="0.25">
      <c r="A22" s="65" t="s">
        <v>66</v>
      </c>
      <c r="B22" t="s">
        <v>67</v>
      </c>
      <c r="C22" t="s">
        <v>31</v>
      </c>
      <c r="E22">
        <v>31566</v>
      </c>
      <c r="F22">
        <f>juni2025!E22</f>
        <v>30454</v>
      </c>
      <c r="G22">
        <f>Tabel24256789101112131415171618192120222326141518[[#This Row],[Stand Coffee einde maand]]-Tabel24256789101112131415171618192120222326141518[[#This Row],[Coffee vorige maand]]</f>
        <v>1112</v>
      </c>
      <c r="H22" s="53">
        <v>5539</v>
      </c>
      <c r="I22">
        <f>juni2025!H22</f>
        <v>5222</v>
      </c>
      <c r="J22">
        <f>Tabel24256789101112131415171618192120222326141518[[#This Row],[Stand Espresso Einde maand]]-Tabel24256789101112131415171618192120222326141518[[#This Row],[Espresso vorige maand]]</f>
        <v>317</v>
      </c>
      <c r="K22" s="53">
        <v>3701</v>
      </c>
      <c r="L22">
        <f>juni2025!K22</f>
        <v>3622</v>
      </c>
      <c r="M22">
        <f>Tabel24256789101112131415171618192120222326141518[[#This Row],[Stand Latte Macchiato einde maand]]-Tabel24256789101112131415171618192120222326141518[[#This Row],[Latte Macchiato vorige maand]]</f>
        <v>79</v>
      </c>
      <c r="N22" s="53">
        <v>908</v>
      </c>
      <c r="O22">
        <f>juni2025!N22</f>
        <v>885</v>
      </c>
      <c r="P22">
        <f>Tabel24256789101112131415171618192120222326141518[[#This Row],[Stand Coffee Latte einde maand]]-Tabel24256789101112131415171618192120222326141518[[#This Row],[Coffee Latte vorige maand]]</f>
        <v>23</v>
      </c>
      <c r="Q22" s="53">
        <v>50600</v>
      </c>
      <c r="R22">
        <f>juni2025!Q22</f>
        <v>49481</v>
      </c>
      <c r="S22">
        <f>Tabel24256789101112131415171618192120222326141518[[#This Row],[Stand Hot Water einde maand]]-Tabel24256789101112131415171618192120222326141518[[#This Row],[Hot Water vorige maand]]</f>
        <v>1119</v>
      </c>
      <c r="T22" s="53">
        <v>17148</v>
      </c>
      <c r="U22">
        <f>juni2025!T22</f>
        <v>16588</v>
      </c>
      <c r="V22">
        <f>Tabel24256789101112131415171618192120222326141518[[#This Row],[Stand Cappucino einde maand]]-Tabel24256789101112131415171618192120222326141518[[#This Row],[Stand Cappucino vorige maand]]</f>
        <v>560</v>
      </c>
      <c r="W22" s="53">
        <v>3724</v>
      </c>
      <c r="X22">
        <f>juni2025!W22</f>
        <v>3610</v>
      </c>
      <c r="Y22">
        <f>Tabel24256789101112131415171618192120222326141518[[#This Row],[Stand Cappucino Plantaardig einde maand]]-Tabel24256789101112131415171618192120222326141518[[#This Row],[Stand Cappucino Plantaardig vorige maand]]</f>
        <v>114</v>
      </c>
      <c r="Z22" s="53">
        <v>730</v>
      </c>
      <c r="AA22">
        <f>juni2025!Z22</f>
        <v>720</v>
      </c>
      <c r="AB22">
        <f>Tabel24256789101112131415171618192120222326141518[[#This Row],[Stand Latte Macchiato Plantaardig einde maand]]-Tabel24256789101112131415171618192120222326141518[[#This Row],[Stand Latte Macchiato Plantaardig vorige maand]]</f>
        <v>10</v>
      </c>
      <c r="AC22" s="71">
        <f>Tabel24256789101112131415171618192120222326141518[[#This Row],[Verbruik Stand Latte Macchiato Plantaardig deze maand]]+Tabel24256789101112131415171618192120222326141518[[#This Row],[Verbruik  Cappucino Plantaardig deze maand]]+Tabel24256789101112131415171618192120222326141518[[#This Row],[Verbruik Cappucino deze maand]]+Tabel24256789101112131415171618192120222326141518[[#This Row],[Verbruik Hot Water deze maand]]+Tabel24256789101112131415171618192120222326141518[[#This Row],[Verbruik Coffee Latte deze maand]]+Tabel24256789101112131415171618192120222326141518[[#This Row],[Verbruik Latte Macchiato deze maand]]+Tabel24256789101112131415171618192120222326141518[[#This Row],[Verbruik Espresso deze maand]]+Tabel24256789101112131415171618192120222326141518[[#This Row],[Verbruik Coffee deze maand]]</f>
        <v>3334</v>
      </c>
      <c r="AD22" s="69"/>
      <c r="AE22" s="41"/>
      <c r="AF22" s="5"/>
      <c r="AG22" s="5"/>
      <c r="AH22" s="75"/>
      <c r="AI22" s="41"/>
      <c r="AJ22" s="5"/>
      <c r="AK22" s="5"/>
      <c r="AL22" s="75"/>
      <c r="AM22" s="41"/>
      <c r="AN22" s="5"/>
      <c r="AO22" s="5"/>
      <c r="AP22" s="75"/>
      <c r="AQ22" s="41"/>
      <c r="AR22" s="5"/>
      <c r="AS22" s="5"/>
      <c r="AT22" s="75"/>
      <c r="AU22" s="41"/>
      <c r="AV22" s="5"/>
      <c r="AW22" s="5"/>
      <c r="AX22" s="79"/>
      <c r="AY22" s="95">
        <f>Tabel24256789101112131415171618192120222326141518[[#This Row],[Subtotaal waterbar in consumpties]]+Tabel24256789101112131415171618192120222326141518[[#This Row],[Subtotaal koffieautomaten]]</f>
        <v>3334</v>
      </c>
    </row>
    <row r="23" spans="1:130" ht="14.45" customHeight="1" x14ac:dyDescent="0.25">
      <c r="A23" s="65" t="s">
        <v>68</v>
      </c>
      <c r="B23" t="s">
        <v>69</v>
      </c>
      <c r="C23" t="s">
        <v>47</v>
      </c>
      <c r="E23">
        <v>18411</v>
      </c>
      <c r="F23">
        <f>juni2025!E23</f>
        <v>17825</v>
      </c>
      <c r="G23">
        <f>Tabel24256789101112131415171618192120222326141518[[#This Row],[Stand Coffee einde maand]]-Tabel24256789101112131415171618192120222326141518[[#This Row],[Coffee vorige maand]]</f>
        <v>586</v>
      </c>
      <c r="H23" s="53">
        <v>7518</v>
      </c>
      <c r="I23">
        <f>juni2025!H23</f>
        <v>7309</v>
      </c>
      <c r="J23">
        <f>Tabel24256789101112131415171618192120222326141518[[#This Row],[Stand Espresso Einde maand]]-Tabel24256789101112131415171618192120222326141518[[#This Row],[Espresso vorige maand]]</f>
        <v>209</v>
      </c>
      <c r="K23" s="53">
        <v>5548</v>
      </c>
      <c r="L23">
        <f>juni2025!K23</f>
        <v>5403</v>
      </c>
      <c r="M23">
        <f>Tabel24256789101112131415171618192120222326141518[[#This Row],[Stand Latte Macchiato einde maand]]-Tabel24256789101112131415171618192120222326141518[[#This Row],[Latte Macchiato vorige maand]]</f>
        <v>145</v>
      </c>
      <c r="N23" s="53">
        <v>1072</v>
      </c>
      <c r="O23">
        <f>juni2025!N23</f>
        <v>985</v>
      </c>
      <c r="P23">
        <f>Tabel24256789101112131415171618192120222326141518[[#This Row],[Stand Coffee Latte einde maand]]-Tabel24256789101112131415171618192120222326141518[[#This Row],[Coffee Latte vorige maand]]</f>
        <v>87</v>
      </c>
      <c r="Q23" s="53">
        <v>1</v>
      </c>
      <c r="R23">
        <f>juni2025!Q23</f>
        <v>1</v>
      </c>
      <c r="S23">
        <f>Tabel24256789101112131415171618192120222326141518[[#This Row],[Stand Hot Water einde maand]]-Tabel24256789101112131415171618192120222326141518[[#This Row],[Hot Water vorige maand]]</f>
        <v>0</v>
      </c>
      <c r="T23" s="53">
        <v>15300</v>
      </c>
      <c r="U23">
        <f>juni2025!T23</f>
        <v>14893</v>
      </c>
      <c r="V23">
        <f>Tabel24256789101112131415171618192120222326141518[[#This Row],[Stand Cappucino einde maand]]-Tabel24256789101112131415171618192120222326141518[[#This Row],[Stand Cappucino vorige maand]]</f>
        <v>407</v>
      </c>
      <c r="W23" s="53">
        <v>3007</v>
      </c>
      <c r="X23">
        <f>juni2025!W23</f>
        <v>2941</v>
      </c>
      <c r="Y23">
        <f>Tabel24256789101112131415171618192120222326141518[[#This Row],[Stand Cappucino Plantaardig einde maand]]-Tabel24256789101112131415171618192120222326141518[[#This Row],[Stand Cappucino Plantaardig vorige maand]]</f>
        <v>66</v>
      </c>
      <c r="Z23" s="53">
        <v>867</v>
      </c>
      <c r="AA23">
        <f>juni2025!Z23</f>
        <v>809</v>
      </c>
      <c r="AB23">
        <f>Tabel24256789101112131415171618192120222326141518[[#This Row],[Stand Latte Macchiato Plantaardig einde maand]]-Tabel24256789101112131415171618192120222326141518[[#This Row],[Stand Latte Macchiato Plantaardig vorige maand]]</f>
        <v>58</v>
      </c>
      <c r="AC23" s="71">
        <f>Tabel24256789101112131415171618192120222326141518[[#This Row],[Verbruik Stand Latte Macchiato Plantaardig deze maand]]+Tabel24256789101112131415171618192120222326141518[[#This Row],[Verbruik  Cappucino Plantaardig deze maand]]+Tabel24256789101112131415171618192120222326141518[[#This Row],[Verbruik Cappucino deze maand]]+Tabel24256789101112131415171618192120222326141518[[#This Row],[Verbruik Hot Water deze maand]]+Tabel24256789101112131415171618192120222326141518[[#This Row],[Verbruik Coffee Latte deze maand]]+Tabel24256789101112131415171618192120222326141518[[#This Row],[Verbruik Latte Macchiato deze maand]]+Tabel24256789101112131415171618192120222326141518[[#This Row],[Verbruik Espresso deze maand]]+Tabel24256789101112131415171618192120222326141518[[#This Row],[Verbruik Coffee deze maand]]</f>
        <v>1558</v>
      </c>
      <c r="AD23" s="53">
        <v>140</v>
      </c>
      <c r="AE23">
        <f>juni2025!AD23</f>
        <v>126.2</v>
      </c>
      <c r="AF23">
        <f>Tabel24256789101112131415171618192120222326141518[[#This Row],[Stand Kamertemp liter einde maand]]-Tabel24256789101112131415171618192120222326141518[[#This Row],[Stand Kamertemp liter vorige maand]]</f>
        <v>13.799999999999997</v>
      </c>
      <c r="AG23" s="2">
        <f>Tabel24256789101112131415171618192120222326141518[[#This Row],[Verbruik Kamertemp liter deze maand]]/0.15</f>
        <v>91.999999999999986</v>
      </c>
      <c r="AH23" s="53">
        <v>1453.2</v>
      </c>
      <c r="AI23">
        <f>juni2025!AH23</f>
        <v>1251.8</v>
      </c>
      <c r="AJ23">
        <f>Tabel24256789101112131415171618192120222326141518[[#This Row],[Stand Gekoeld liter einde maand]]-Tabel24256789101112131415171618192120222326141518[[#This Row],[Stand Gekoeld liter vorige maand]]</f>
        <v>201.40000000000009</v>
      </c>
      <c r="AK23" s="2">
        <f>Tabel24256789101112131415171618192120222326141518[[#This Row],[Verbruik Gekoeld liter deze maand]]/0.15</f>
        <v>1342.6666666666674</v>
      </c>
      <c r="AL23" s="53">
        <v>734.4</v>
      </c>
      <c r="AM23">
        <f>juni2025!AL23</f>
        <v>601.6</v>
      </c>
      <c r="AN23">
        <f>Tabel24256789101112131415171618192120222326141518[[#This Row],[Stand Bruisend liter einde maand]]-Tabel24256789101112131415171618192120222326141518[[#This Row],[Stand Bruisend liter vorige maand]]</f>
        <v>132.79999999999995</v>
      </c>
      <c r="AO23" s="2">
        <f>Tabel24256789101112131415171618192120222326141518[[#This Row],[Verbruik Bruisend liter deze maand]]/0.15</f>
        <v>885.33333333333303</v>
      </c>
      <c r="AP23" s="53">
        <v>134.30000000000001</v>
      </c>
      <c r="AQ23">
        <f>juni2025!AP23</f>
        <v>108.7</v>
      </c>
      <c r="AR23">
        <f>Tabel24256789101112131415171618192120222326141518[[#This Row],[Stand licht bruisend liter einde maand]]-Tabel24256789101112131415171618192120222326141518[[#This Row],[Stand licht bruisend liter vorige maand]]</f>
        <v>25.600000000000009</v>
      </c>
      <c r="AS23" s="2">
        <f>Tabel24256789101112131415171618192120222326141518[[#This Row],[Verbruik licht bruisend liter deze maand]]/0.15</f>
        <v>170.66666666666674</v>
      </c>
      <c r="AT23" s="53">
        <v>3007.7</v>
      </c>
      <c r="AU23">
        <f>juni2025!AT23</f>
        <v>2711.1</v>
      </c>
      <c r="AV23">
        <f>Tabel24256789101112131415171618192120222326141518[[#This Row],[Stand heet water liter einde maand]]-Tabel24256789101112131415171618192120222326141518[[#This Row],[Stand heet water liter vorige maand]]</f>
        <v>296.59999999999991</v>
      </c>
      <c r="AW23" s="2">
        <f>Tabel24256789101112131415171618192120222326141518[[#This Row],[Verbruik heet Water liter deze maand ]]/0.15</f>
        <v>1977.3333333333328</v>
      </c>
      <c r="AX23" s="77">
        <f>Tabel24256789101112131415171618192120222326141518[[#This Row],[Aantal consumpties heet water deze maand]]+Tabel24256789101112131415171618192120222326141518[[#This Row],[Aantal consumpties licht bruisend water deze maand]]+Tabel24256789101112131415171618192120222326141518[[#This Row],[aantal consumpties Bruisend water deze maand]]+Tabel24256789101112131415171618192120222326141518[[#This Row],[Aantal consumpties gekoeld water deze maand]]+Tabel24256789101112131415171618192120222326141518[[#This Row],[Aantal consumpties Kamertemp deze maand]]</f>
        <v>4468</v>
      </c>
      <c r="AY23" s="95">
        <f>Tabel24256789101112131415171618192120222326141518[[#This Row],[Subtotaal waterbar in consumpties]]+Tabel24256789101112131415171618192120222326141518[[#This Row],[Subtotaal koffieautomaten]]</f>
        <v>6026</v>
      </c>
    </row>
    <row r="24" spans="1:130" ht="14.45" customHeight="1" x14ac:dyDescent="0.25">
      <c r="A24" s="65" t="s">
        <v>70</v>
      </c>
      <c r="B24" t="s">
        <v>71</v>
      </c>
      <c r="C24" t="s">
        <v>31</v>
      </c>
      <c r="E24">
        <v>20534</v>
      </c>
      <c r="F24">
        <f>juni2025!E24</f>
        <v>19775</v>
      </c>
      <c r="G24">
        <f>Tabel24256789101112131415171618192120222326141518[[#This Row],[Stand Coffee einde maand]]-Tabel24256789101112131415171618192120222326141518[[#This Row],[Coffee vorige maand]]</f>
        <v>759</v>
      </c>
      <c r="H24" s="53">
        <v>3219</v>
      </c>
      <c r="I24">
        <f>juni2025!H24</f>
        <v>3088</v>
      </c>
      <c r="J24">
        <f>Tabel24256789101112131415171618192120222326141518[[#This Row],[Stand Espresso Einde maand]]-Tabel24256789101112131415171618192120222326141518[[#This Row],[Espresso vorige maand]]</f>
        <v>131</v>
      </c>
      <c r="K24" s="53">
        <v>1434</v>
      </c>
      <c r="L24">
        <f>juni2025!K24</f>
        <v>1415</v>
      </c>
      <c r="M24">
        <f>Tabel24256789101112131415171618192120222326141518[[#This Row],[Stand Latte Macchiato einde maand]]-Tabel24256789101112131415171618192120222326141518[[#This Row],[Latte Macchiato vorige maand]]</f>
        <v>19</v>
      </c>
      <c r="N24" s="53">
        <v>2411</v>
      </c>
      <c r="O24">
        <f>juni2025!N24</f>
        <v>2329</v>
      </c>
      <c r="P24">
        <f>Tabel24256789101112131415171618192120222326141518[[#This Row],[Stand Coffee Latte einde maand]]-Tabel24256789101112131415171618192120222326141518[[#This Row],[Coffee Latte vorige maand]]</f>
        <v>82</v>
      </c>
      <c r="Q24" s="53">
        <v>39339</v>
      </c>
      <c r="R24">
        <f>juni2025!Q24</f>
        <v>37939</v>
      </c>
      <c r="S24">
        <f>Tabel24256789101112131415171618192120222326141518[[#This Row],[Stand Hot Water einde maand]]-Tabel24256789101112131415171618192120222326141518[[#This Row],[Hot Water vorige maand]]</f>
        <v>1400</v>
      </c>
      <c r="T24" s="53">
        <v>7400</v>
      </c>
      <c r="U24">
        <f>juni2025!T24</f>
        <v>7180</v>
      </c>
      <c r="V24">
        <f>Tabel24256789101112131415171618192120222326141518[[#This Row],[Stand Cappucino einde maand]]-Tabel24256789101112131415171618192120222326141518[[#This Row],[Stand Cappucino vorige maand]]</f>
        <v>220</v>
      </c>
      <c r="W24" s="53">
        <v>1320</v>
      </c>
      <c r="X24">
        <f>juni2025!W24</f>
        <v>1290</v>
      </c>
      <c r="Y24">
        <f>Tabel24256789101112131415171618192120222326141518[[#This Row],[Stand Cappucino Plantaardig einde maand]]-Tabel24256789101112131415171618192120222326141518[[#This Row],[Stand Cappucino Plantaardig vorige maand]]</f>
        <v>30</v>
      </c>
      <c r="Z24" s="97">
        <v>2461</v>
      </c>
      <c r="AA24">
        <f>juni2025!Z24</f>
        <v>2350</v>
      </c>
      <c r="AB24">
        <f>Tabel24256789101112131415171618192120222326141518[[#This Row],[Stand Latte Macchiato Plantaardig einde maand]]-Tabel24256789101112131415171618192120222326141518[[#This Row],[Stand Latte Macchiato Plantaardig vorige maand]]</f>
        <v>111</v>
      </c>
      <c r="AC24" s="71">
        <f>Tabel24256789101112131415171618192120222326141518[[#This Row],[Verbruik Stand Latte Macchiato Plantaardig deze maand]]+Tabel24256789101112131415171618192120222326141518[[#This Row],[Verbruik  Cappucino Plantaardig deze maand]]+Tabel24256789101112131415171618192120222326141518[[#This Row],[Verbruik Cappucino deze maand]]+Tabel24256789101112131415171618192120222326141518[[#This Row],[Verbruik Hot Water deze maand]]+Tabel24256789101112131415171618192120222326141518[[#This Row],[Verbruik Coffee Latte deze maand]]+Tabel24256789101112131415171618192120222326141518[[#This Row],[Verbruik Latte Macchiato deze maand]]+Tabel24256789101112131415171618192120222326141518[[#This Row],[Verbruik Espresso deze maand]]+Tabel24256789101112131415171618192120222326141518[[#This Row],[Verbruik Coffee deze maand]]</f>
        <v>2752</v>
      </c>
      <c r="AD24" s="69"/>
      <c r="AE24" s="41"/>
      <c r="AF24" s="5"/>
      <c r="AG24" s="5"/>
      <c r="AH24" s="75"/>
      <c r="AI24" s="41"/>
      <c r="AJ24" s="5"/>
      <c r="AK24" s="5"/>
      <c r="AL24" s="75"/>
      <c r="AM24" s="41"/>
      <c r="AN24" s="5"/>
      <c r="AO24" s="5"/>
      <c r="AP24" s="75"/>
      <c r="AQ24" s="41"/>
      <c r="AR24" s="5"/>
      <c r="AS24" s="5"/>
      <c r="AT24" s="75"/>
      <c r="AU24" s="41"/>
      <c r="AV24" s="5"/>
      <c r="AW24" s="5"/>
      <c r="AX24" s="79"/>
      <c r="AY24" s="95">
        <f>Tabel24256789101112131415171618192120222326141518[[#This Row],[Subtotaal waterbar in consumpties]]+Tabel24256789101112131415171618192120222326141518[[#This Row],[Subtotaal koffieautomaten]]</f>
        <v>2752</v>
      </c>
    </row>
    <row r="25" spans="1:130" ht="14.45" customHeight="1" x14ac:dyDescent="0.25">
      <c r="A25" s="65" t="s">
        <v>72</v>
      </c>
      <c r="B25" t="s">
        <v>73</v>
      </c>
      <c r="C25" t="s">
        <v>47</v>
      </c>
      <c r="E25">
        <v>14630</v>
      </c>
      <c r="F25">
        <f>juni2025!E25</f>
        <v>14239</v>
      </c>
      <c r="G25">
        <f>Tabel24256789101112131415171618192120222326141518[[#This Row],[Stand Coffee einde maand]]-Tabel24256789101112131415171618192120222326141518[[#This Row],[Coffee vorige maand]]</f>
        <v>391</v>
      </c>
      <c r="H25" s="53">
        <v>4674</v>
      </c>
      <c r="I25">
        <f>juni2025!H25</f>
        <v>4500</v>
      </c>
      <c r="J25">
        <f>Tabel24256789101112131415171618192120222326141518[[#This Row],[Stand Espresso Einde maand]]-Tabel24256789101112131415171618192120222326141518[[#This Row],[Espresso vorige maand]]</f>
        <v>174</v>
      </c>
      <c r="K25" s="53">
        <v>1863</v>
      </c>
      <c r="L25">
        <f>juni2025!K25</f>
        <v>1781</v>
      </c>
      <c r="M25">
        <f>Tabel24256789101112131415171618192120222326141518[[#This Row],[Stand Latte Macchiato einde maand]]-Tabel24256789101112131415171618192120222326141518[[#This Row],[Latte Macchiato vorige maand]]</f>
        <v>82</v>
      </c>
      <c r="N25" s="53">
        <v>1248</v>
      </c>
      <c r="O25">
        <f>juni2025!N25</f>
        <v>1186</v>
      </c>
      <c r="P25">
        <f>Tabel24256789101112131415171618192120222326141518[[#This Row],[Stand Coffee Latte einde maand]]-Tabel24256789101112131415171618192120222326141518[[#This Row],[Coffee Latte vorige maand]]</f>
        <v>62</v>
      </c>
      <c r="Q25" s="53">
        <v>1</v>
      </c>
      <c r="R25">
        <f>juni2025!Q25</f>
        <v>1</v>
      </c>
      <c r="S25">
        <f>Tabel24256789101112131415171618192120222326141518[[#This Row],[Stand Hot Water einde maand]]-Tabel24256789101112131415171618192120222326141518[[#This Row],[Hot Water vorige maand]]</f>
        <v>0</v>
      </c>
      <c r="T25" s="53">
        <v>9524</v>
      </c>
      <c r="U25">
        <f>juni2025!T25</f>
        <v>9294</v>
      </c>
      <c r="V25">
        <f>Tabel24256789101112131415171618192120222326141518[[#This Row],[Stand Cappucino einde maand]]-Tabel24256789101112131415171618192120222326141518[[#This Row],[Stand Cappucino vorige maand]]</f>
        <v>230</v>
      </c>
      <c r="W25" s="53">
        <v>1719</v>
      </c>
      <c r="X25">
        <f>juni2025!W25</f>
        <v>1690</v>
      </c>
      <c r="Y25">
        <f>Tabel24256789101112131415171618192120222326141518[[#This Row],[Stand Cappucino Plantaardig einde maand]]-Tabel24256789101112131415171618192120222326141518[[#This Row],[Stand Cappucino Plantaardig vorige maand]]</f>
        <v>29</v>
      </c>
      <c r="Z25" s="53">
        <v>542</v>
      </c>
      <c r="AA25">
        <f>juni2025!Z25</f>
        <v>511</v>
      </c>
      <c r="AB25">
        <f>Tabel24256789101112131415171618192120222326141518[[#This Row],[Stand Latte Macchiato Plantaardig einde maand]]-Tabel24256789101112131415171618192120222326141518[[#This Row],[Stand Latte Macchiato Plantaardig vorige maand]]</f>
        <v>31</v>
      </c>
      <c r="AC25" s="71">
        <f>Tabel24256789101112131415171618192120222326141518[[#This Row],[Verbruik Stand Latte Macchiato Plantaardig deze maand]]+Tabel24256789101112131415171618192120222326141518[[#This Row],[Verbruik  Cappucino Plantaardig deze maand]]+Tabel24256789101112131415171618192120222326141518[[#This Row],[Verbruik Cappucino deze maand]]+Tabel24256789101112131415171618192120222326141518[[#This Row],[Verbruik Hot Water deze maand]]+Tabel24256789101112131415171618192120222326141518[[#This Row],[Verbruik Coffee Latte deze maand]]+Tabel24256789101112131415171618192120222326141518[[#This Row],[Verbruik Latte Macchiato deze maand]]+Tabel24256789101112131415171618192120222326141518[[#This Row],[Verbruik Espresso deze maand]]+Tabel24256789101112131415171618192120222326141518[[#This Row],[Verbruik Coffee deze maand]]</f>
        <v>999</v>
      </c>
      <c r="AD25" s="53">
        <v>475.2</v>
      </c>
      <c r="AE25">
        <f>juni2025!AD25</f>
        <v>459.1</v>
      </c>
      <c r="AF25">
        <f>Tabel24256789101112131415171618192120222326141518[[#This Row],[Stand Kamertemp liter einde maand]]-Tabel24256789101112131415171618192120222326141518[[#This Row],[Stand Kamertemp liter vorige maand]]</f>
        <v>16.099999999999966</v>
      </c>
      <c r="AG25" s="2">
        <f>Tabel24256789101112131415171618192120222326141518[[#This Row],[Verbruik Kamertemp liter deze maand]]/0.15</f>
        <v>107.33333333333312</v>
      </c>
      <c r="AH25" s="53">
        <v>3129.5</v>
      </c>
      <c r="AI25">
        <f>juni2025!AH25</f>
        <v>2926.7</v>
      </c>
      <c r="AJ25">
        <f>Tabel24256789101112131415171618192120222326141518[[#This Row],[Stand Gekoeld liter einde maand]]-Tabel24256789101112131415171618192120222326141518[[#This Row],[Stand Gekoeld liter vorige maand]]</f>
        <v>202.80000000000018</v>
      </c>
      <c r="AK25" s="2">
        <f>Tabel24256789101112131415171618192120222326141518[[#This Row],[Verbruik Gekoeld liter deze maand]]/0.15</f>
        <v>1352.0000000000014</v>
      </c>
      <c r="AL25" s="53">
        <v>2386.6</v>
      </c>
      <c r="AM25">
        <f>juni2025!AL25</f>
        <v>2282.1999999999998</v>
      </c>
      <c r="AN25">
        <f>Tabel24256789101112131415171618192120222326141518[[#This Row],[Stand Bruisend liter einde maand]]-Tabel24256789101112131415171618192120222326141518[[#This Row],[Stand Bruisend liter vorige maand]]</f>
        <v>104.40000000000009</v>
      </c>
      <c r="AO25" s="2">
        <f>Tabel24256789101112131415171618192120222326141518[[#This Row],[Verbruik Bruisend liter deze maand]]/0.15</f>
        <v>696.00000000000068</v>
      </c>
      <c r="AP25" s="53">
        <v>736.5</v>
      </c>
      <c r="AQ25">
        <f>juni2025!AP25</f>
        <v>702.9</v>
      </c>
      <c r="AR25">
        <f>Tabel24256789101112131415171618192120222326141518[[#This Row],[Stand licht bruisend liter einde maand]]-Tabel24256789101112131415171618192120222326141518[[#This Row],[Stand licht bruisend liter vorige maand]]</f>
        <v>33.600000000000023</v>
      </c>
      <c r="AS25" s="2">
        <f>Tabel24256789101112131415171618192120222326141518[[#This Row],[Verbruik licht bruisend liter deze maand]]/0.15</f>
        <v>224.00000000000017</v>
      </c>
      <c r="AT25" s="53">
        <v>3769.3</v>
      </c>
      <c r="AU25">
        <f>juni2025!AT25</f>
        <v>3671</v>
      </c>
      <c r="AV25">
        <f>Tabel24256789101112131415171618192120222326141518[[#This Row],[Stand heet water liter einde maand]]-Tabel24256789101112131415171618192120222326141518[[#This Row],[Stand heet water liter vorige maand]]</f>
        <v>98.300000000000182</v>
      </c>
      <c r="AW25" s="2">
        <f>Tabel24256789101112131415171618192120222326141518[[#This Row],[Verbruik heet Water liter deze maand ]]/0.15</f>
        <v>655.33333333333462</v>
      </c>
      <c r="AX25" s="77">
        <f>Tabel24256789101112131415171618192120222326141518[[#This Row],[Aantal consumpties heet water deze maand]]+Tabel24256789101112131415171618192120222326141518[[#This Row],[Aantal consumpties licht bruisend water deze maand]]+Tabel24256789101112131415171618192120222326141518[[#This Row],[aantal consumpties Bruisend water deze maand]]+Tabel24256789101112131415171618192120222326141518[[#This Row],[Aantal consumpties gekoeld water deze maand]]+Tabel24256789101112131415171618192120222326141518[[#This Row],[Aantal consumpties Kamertemp deze maand]]</f>
        <v>3034.6666666666697</v>
      </c>
      <c r="AY25" s="95">
        <f>Tabel24256789101112131415171618192120222326141518[[#This Row],[Subtotaal waterbar in consumpties]]+Tabel24256789101112131415171618192120222326141518[[#This Row],[Subtotaal koffieautomaten]]</f>
        <v>4033.6666666666697</v>
      </c>
    </row>
    <row r="26" spans="1:130" s="81" customFormat="1" ht="14.45" customHeight="1" x14ac:dyDescent="0.25">
      <c r="A26" s="80" t="s">
        <v>74</v>
      </c>
      <c r="D26" s="82"/>
      <c r="H26" s="86"/>
      <c r="K26" s="86"/>
      <c r="N26" s="86"/>
      <c r="Q26" s="86"/>
      <c r="T26" s="86"/>
      <c r="W26" s="86"/>
      <c r="Z26" s="86"/>
      <c r="AC26" s="85"/>
      <c r="AD26" s="86"/>
      <c r="AG26" s="87"/>
      <c r="AH26" s="86"/>
      <c r="AK26" s="87"/>
      <c r="AL26" s="86"/>
      <c r="AO26" s="87"/>
      <c r="AP26" s="86"/>
      <c r="AS26" s="87"/>
      <c r="AT26" s="86"/>
      <c r="AW26" s="87"/>
      <c r="AX26" s="88"/>
      <c r="AY26" s="94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</row>
    <row r="27" spans="1:130" ht="14.45" customHeight="1" x14ac:dyDescent="0.25">
      <c r="A27" s="65" t="s">
        <v>32</v>
      </c>
      <c r="B27" t="s">
        <v>75</v>
      </c>
      <c r="C27" t="s">
        <v>47</v>
      </c>
      <c r="E27">
        <v>10211</v>
      </c>
      <c r="F27">
        <f>juni2025!E27</f>
        <v>9884</v>
      </c>
      <c r="G27">
        <f>Tabel24256789101112131415171618192120222326141518[[#This Row],[Stand Coffee einde maand]]-Tabel24256789101112131415171618192120222326141518[[#This Row],[Coffee vorige maand]]</f>
        <v>327</v>
      </c>
      <c r="H27" s="53">
        <v>2680</v>
      </c>
      <c r="I27">
        <f>juni2025!H27</f>
        <v>2603</v>
      </c>
      <c r="J27">
        <f>Tabel24256789101112131415171618192120222326141518[[#This Row],[Stand Espresso Einde maand]]-Tabel24256789101112131415171618192120222326141518[[#This Row],[Espresso vorige maand]]</f>
        <v>77</v>
      </c>
      <c r="K27" s="53">
        <v>1904</v>
      </c>
      <c r="L27">
        <f>juni2025!K27</f>
        <v>1857</v>
      </c>
      <c r="M27">
        <f>Tabel24256789101112131415171618192120222326141518[[#This Row],[Stand Latte Macchiato einde maand]]-Tabel24256789101112131415171618192120222326141518[[#This Row],[Latte Macchiato vorige maand]]</f>
        <v>47</v>
      </c>
      <c r="N27" s="53">
        <v>876</v>
      </c>
      <c r="O27">
        <f>juni2025!N27</f>
        <v>856</v>
      </c>
      <c r="P27">
        <f>Tabel24256789101112131415171618192120222326141518[[#This Row],[Stand Coffee Latte einde maand]]-Tabel24256789101112131415171618192120222326141518[[#This Row],[Coffee Latte vorige maand]]</f>
        <v>20</v>
      </c>
      <c r="Q27" s="53">
        <v>1</v>
      </c>
      <c r="R27">
        <f>juni2025!Q27</f>
        <v>1</v>
      </c>
      <c r="S27">
        <f>Tabel24256789101112131415171618192120222326141518[[#This Row],[Stand Hot Water einde maand]]-Tabel24256789101112131415171618192120222326141518[[#This Row],[Hot Water vorige maand]]</f>
        <v>0</v>
      </c>
      <c r="T27" s="53">
        <v>6217</v>
      </c>
      <c r="U27">
        <f>juni2025!T27</f>
        <v>6038</v>
      </c>
      <c r="V27">
        <f>Tabel24256789101112131415171618192120222326141518[[#This Row],[Stand Cappucino einde maand]]-Tabel24256789101112131415171618192120222326141518[[#This Row],[Stand Cappucino vorige maand]]</f>
        <v>179</v>
      </c>
      <c r="W27" s="53">
        <v>979</v>
      </c>
      <c r="X27">
        <f>juni2025!W27</f>
        <v>960</v>
      </c>
      <c r="Y27">
        <f>Tabel24256789101112131415171618192120222326141518[[#This Row],[Stand Cappucino Plantaardig einde maand]]-Tabel24256789101112131415171618192120222326141518[[#This Row],[Stand Cappucino Plantaardig vorige maand]]</f>
        <v>19</v>
      </c>
      <c r="Z27" s="53">
        <v>487</v>
      </c>
      <c r="AA27">
        <f>juni2025!Z27</f>
        <v>476</v>
      </c>
      <c r="AB27">
        <f>Tabel24256789101112131415171618192120222326141518[[#This Row],[Stand Latte Macchiato Plantaardig einde maand]]-Tabel24256789101112131415171618192120222326141518[[#This Row],[Stand Latte Macchiato Plantaardig vorige maand]]</f>
        <v>11</v>
      </c>
      <c r="AC27" s="71">
        <f>Tabel24256789101112131415171618192120222326141518[[#This Row],[Verbruik Stand Latte Macchiato Plantaardig deze maand]]+Tabel24256789101112131415171618192120222326141518[[#This Row],[Verbruik  Cappucino Plantaardig deze maand]]+Tabel24256789101112131415171618192120222326141518[[#This Row],[Verbruik Cappucino deze maand]]+Tabel24256789101112131415171618192120222326141518[[#This Row],[Verbruik Hot Water deze maand]]+Tabel24256789101112131415171618192120222326141518[[#This Row],[Verbruik Coffee Latte deze maand]]+Tabel24256789101112131415171618192120222326141518[[#This Row],[Verbruik Latte Macchiato deze maand]]+Tabel24256789101112131415171618192120222326141518[[#This Row],[Verbruik Espresso deze maand]]+Tabel24256789101112131415171618192120222326141518[[#This Row],[Verbruik Coffee deze maand]]</f>
        <v>680</v>
      </c>
      <c r="AD27" s="53">
        <v>19.2</v>
      </c>
      <c r="AE27">
        <f>juni2025!AD27</f>
        <v>15.7</v>
      </c>
      <c r="AF27">
        <f>Tabel24256789101112131415171618192120222326141518[[#This Row],[Stand Kamertemp liter einde maand]]-Tabel24256789101112131415171618192120222326141518[[#This Row],[Stand Kamertemp liter vorige maand]]</f>
        <v>3.5</v>
      </c>
      <c r="AG27" s="2">
        <f>Tabel24256789101112131415171618192120222326141518[[#This Row],[Verbruik Kamertemp liter deze maand]]/0.15</f>
        <v>23.333333333333336</v>
      </c>
      <c r="AH27" s="53">
        <v>77</v>
      </c>
      <c r="AI27">
        <f>juni2025!AH27</f>
        <v>73.599999999999994</v>
      </c>
      <c r="AJ27">
        <f>Tabel24256789101112131415171618192120222326141518[[#This Row],[Stand Gekoeld liter einde maand]]-Tabel24256789101112131415171618192120222326141518[[#This Row],[Stand Gekoeld liter vorige maand]]</f>
        <v>3.4000000000000057</v>
      </c>
      <c r="AK27" s="2">
        <f>Tabel24256789101112131415171618192120222326141518[[#This Row],[Verbruik Gekoeld liter deze maand]]/0.15</f>
        <v>22.666666666666707</v>
      </c>
      <c r="AL27" s="53">
        <v>24</v>
      </c>
      <c r="AM27">
        <f>juni2025!AL27</f>
        <v>29.4</v>
      </c>
      <c r="AN27">
        <f>Tabel24256789101112131415171618192120222326141518[[#This Row],[Stand Bruisend liter einde maand]]-Tabel24256789101112131415171618192120222326141518[[#This Row],[Stand Bruisend liter vorige maand]]</f>
        <v>-5.3999999999999986</v>
      </c>
      <c r="AO27" s="2">
        <f>Tabel24256789101112131415171618192120222326141518[[#This Row],[Verbruik Bruisend liter deze maand]]/0.15</f>
        <v>-35.999999999999993</v>
      </c>
      <c r="AP27" s="53">
        <v>26.5</v>
      </c>
      <c r="AQ27">
        <f>juni2025!AP27</f>
        <v>22.2</v>
      </c>
      <c r="AR27">
        <f>Tabel24256789101112131415171618192120222326141518[[#This Row],[Stand licht bruisend liter einde maand]]-Tabel24256789101112131415171618192120222326141518[[#This Row],[Stand licht bruisend liter vorige maand]]</f>
        <v>4.3000000000000007</v>
      </c>
      <c r="AS27" s="2">
        <f>Tabel24256789101112131415171618192120222326141518[[#This Row],[Verbruik licht bruisend liter deze maand]]/0.15</f>
        <v>28.666666666666671</v>
      </c>
      <c r="AT27" s="129">
        <v>93.6</v>
      </c>
      <c r="AU27">
        <v>145.6</v>
      </c>
      <c r="AV27">
        <f>Tabel24256789101112131415171618192120222326141518[[#This Row],[Stand heet water liter einde maand]]-Tabel24256789101112131415171618192120222326141518[[#This Row],[Stand heet water liter vorige maand]]</f>
        <v>-52</v>
      </c>
      <c r="AW27" s="2">
        <f>Tabel24256789101112131415171618192120222326141518[[#This Row],[Verbruik heet Water liter deze maand ]]/0.15</f>
        <v>-346.66666666666669</v>
      </c>
      <c r="AX27" s="77">
        <f>Tabel24256789101112131415171618192120222326141518[[#This Row],[Aantal consumpties heet water deze maand]]+Tabel24256789101112131415171618192120222326141518[[#This Row],[Aantal consumpties licht bruisend water deze maand]]+Tabel24256789101112131415171618192120222326141518[[#This Row],[aantal consumpties Bruisend water deze maand]]+Tabel24256789101112131415171618192120222326141518[[#This Row],[Aantal consumpties gekoeld water deze maand]]+Tabel24256789101112131415171618192120222326141518[[#This Row],[Aantal consumpties Kamertemp deze maand]]</f>
        <v>-308</v>
      </c>
      <c r="AY27" s="95">
        <f>Tabel24256789101112131415171618192120222326141518[[#This Row],[Subtotaal waterbar in consumpties]]+Tabel24256789101112131415171618192120222326141518[[#This Row],[Subtotaal koffieautomaten]]</f>
        <v>372</v>
      </c>
    </row>
    <row r="28" spans="1:130" ht="14.45" customHeight="1" x14ac:dyDescent="0.25">
      <c r="A28" s="65" t="s">
        <v>39</v>
      </c>
      <c r="B28" t="s">
        <v>163</v>
      </c>
      <c r="C28" t="s">
        <v>31</v>
      </c>
      <c r="E28">
        <v>28654</v>
      </c>
      <c r="F28">
        <f>juni2025!E28</f>
        <v>28094</v>
      </c>
      <c r="G28">
        <f>Tabel24256789101112131415171618192120222326141518[[#This Row],[Stand Coffee einde maand]]-Tabel24256789101112131415171618192120222326141518[[#This Row],[Coffee vorige maand]]</f>
        <v>560</v>
      </c>
      <c r="H28" s="53">
        <v>7247</v>
      </c>
      <c r="I28">
        <f>juni2025!H28</f>
        <v>7017</v>
      </c>
      <c r="J28">
        <f>Tabel24256789101112131415171618192120222326141518[[#This Row],[Stand Espresso Einde maand]]-Tabel24256789101112131415171618192120222326141518[[#This Row],[Espresso vorige maand]]</f>
        <v>230</v>
      </c>
      <c r="K28" s="53">
        <v>3495</v>
      </c>
      <c r="L28">
        <f>juni2025!K28</f>
        <v>3429</v>
      </c>
      <c r="M28">
        <f>Tabel24256789101112131415171618192120222326141518[[#This Row],[Stand Latte Macchiato einde maand]]-Tabel24256789101112131415171618192120222326141518[[#This Row],[Latte Macchiato vorige maand]]</f>
        <v>66</v>
      </c>
      <c r="N28" s="53">
        <v>1513</v>
      </c>
      <c r="O28">
        <f>juni2025!N28</f>
        <v>1490</v>
      </c>
      <c r="P28">
        <f>Tabel24256789101112131415171618192120222326141518[[#This Row],[Stand Coffee Latte einde maand]]-Tabel24256789101112131415171618192120222326141518[[#This Row],[Coffee Latte vorige maand]]</f>
        <v>23</v>
      </c>
      <c r="Q28" s="53">
        <v>24492</v>
      </c>
      <c r="R28">
        <f>juni2025!Q28</f>
        <v>24117</v>
      </c>
      <c r="S28">
        <f>Tabel24256789101112131415171618192120222326141518[[#This Row],[Stand Hot Water einde maand]]-Tabel24256789101112131415171618192120222326141518[[#This Row],[Hot Water vorige maand]]</f>
        <v>375</v>
      </c>
      <c r="T28" s="53">
        <v>20095</v>
      </c>
      <c r="U28">
        <f>juni2025!T28</f>
        <v>19699</v>
      </c>
      <c r="V28">
        <f>Tabel24256789101112131415171618192120222326141518[[#This Row],[Stand Cappucino einde maand]]-Tabel24256789101112131415171618192120222326141518[[#This Row],[Stand Cappucino vorige maand]]</f>
        <v>396</v>
      </c>
      <c r="W28" s="53">
        <v>2439</v>
      </c>
      <c r="X28">
        <f>juni2025!W28</f>
        <v>2397</v>
      </c>
      <c r="Y28">
        <f>Tabel24256789101112131415171618192120222326141518[[#This Row],[Stand Cappucino Plantaardig einde maand]]-Tabel24256789101112131415171618192120222326141518[[#This Row],[Stand Cappucino Plantaardig vorige maand]]</f>
        <v>42</v>
      </c>
      <c r="Z28" s="53">
        <v>754</v>
      </c>
      <c r="AA28">
        <f>juni2025!Z28</f>
        <v>738</v>
      </c>
      <c r="AB28">
        <f>Tabel24256789101112131415171618192120222326141518[[#This Row],[Stand Latte Macchiato Plantaardig einde maand]]-Tabel24256789101112131415171618192120222326141518[[#This Row],[Stand Latte Macchiato Plantaardig vorige maand]]</f>
        <v>16</v>
      </c>
      <c r="AC28" s="71">
        <f>Tabel24256789101112131415171618192120222326141518[[#This Row],[Verbruik Stand Latte Macchiato Plantaardig deze maand]]+Tabel24256789101112131415171618192120222326141518[[#This Row],[Verbruik  Cappucino Plantaardig deze maand]]+Tabel24256789101112131415171618192120222326141518[[#This Row],[Verbruik Cappucino deze maand]]+Tabel24256789101112131415171618192120222326141518[[#This Row],[Verbruik Hot Water deze maand]]+Tabel24256789101112131415171618192120222326141518[[#This Row],[Verbruik Coffee Latte deze maand]]+Tabel24256789101112131415171618192120222326141518[[#This Row],[Verbruik Latte Macchiato deze maand]]+Tabel24256789101112131415171618192120222326141518[[#This Row],[Verbruik Espresso deze maand]]+Tabel24256789101112131415171618192120222326141518[[#This Row],[Verbruik Coffee deze maand]]</f>
        <v>1708</v>
      </c>
      <c r="AD28" s="69"/>
      <c r="AE28" s="41"/>
      <c r="AF28" s="5"/>
      <c r="AG28" s="5"/>
      <c r="AH28" s="75"/>
      <c r="AI28" s="41"/>
      <c r="AJ28" s="5"/>
      <c r="AK28" s="5"/>
      <c r="AL28" s="75"/>
      <c r="AM28" s="41"/>
      <c r="AN28" s="5"/>
      <c r="AO28" s="5"/>
      <c r="AP28" s="75"/>
      <c r="AQ28" s="41"/>
      <c r="AR28" s="5"/>
      <c r="AS28" s="5"/>
      <c r="AT28" s="75"/>
      <c r="AU28" s="41"/>
      <c r="AV28" s="5"/>
      <c r="AW28" s="5"/>
      <c r="AX28" s="79"/>
      <c r="AY28" s="95">
        <f>Tabel24256789101112131415171618192120222326141518[[#This Row],[Subtotaal waterbar in consumpties]]+Tabel24256789101112131415171618192120222326141518[[#This Row],[Subtotaal koffieautomaten]]</f>
        <v>1708</v>
      </c>
    </row>
    <row r="29" spans="1:130" ht="14.45" customHeight="1" x14ac:dyDescent="0.25">
      <c r="A29" s="65" t="s">
        <v>39</v>
      </c>
      <c r="B29" t="s">
        <v>77</v>
      </c>
      <c r="C29" t="s">
        <v>36</v>
      </c>
      <c r="E29" s="46"/>
      <c r="F29" s="46"/>
      <c r="G29" s="47"/>
      <c r="H29" s="54"/>
      <c r="I29" s="46"/>
      <c r="J29" s="47"/>
      <c r="K29" s="54"/>
      <c r="L29" s="46"/>
      <c r="M29" s="47"/>
      <c r="N29" s="54"/>
      <c r="O29" s="46"/>
      <c r="P29" s="47"/>
      <c r="Q29" s="54"/>
      <c r="R29" s="46"/>
      <c r="S29" s="47"/>
      <c r="T29" s="54"/>
      <c r="U29" s="46"/>
      <c r="V29" s="47"/>
      <c r="W29" s="54"/>
      <c r="X29" s="46"/>
      <c r="Y29" s="47"/>
      <c r="Z29" s="54"/>
      <c r="AA29" s="46"/>
      <c r="AB29" s="47"/>
      <c r="AC29" s="72"/>
      <c r="AD29" s="53">
        <v>83</v>
      </c>
      <c r="AE29">
        <f>juni2025!AD29</f>
        <v>66</v>
      </c>
      <c r="AF29">
        <f>Tabel24256789101112131415171618192120222326141518[[#This Row],[Stand Kamertemp liter einde maand]]-Tabel24256789101112131415171618192120222326141518[[#This Row],[Stand Kamertemp liter vorige maand]]</f>
        <v>17</v>
      </c>
      <c r="AG29" s="2">
        <f>Tabel24256789101112131415171618192120222326141518[[#This Row],[Verbruik Kamertemp liter deze maand]]/0.15</f>
        <v>113.33333333333334</v>
      </c>
      <c r="AH29" s="53">
        <v>663</v>
      </c>
      <c r="AI29">
        <f>juni2025!AH29</f>
        <v>469.5</v>
      </c>
      <c r="AJ29">
        <f>Tabel24256789101112131415171618192120222326141518[[#This Row],[Stand Gekoeld liter einde maand]]-Tabel24256789101112131415171618192120222326141518[[#This Row],[Stand Gekoeld liter vorige maand]]</f>
        <v>193.5</v>
      </c>
      <c r="AK29" s="2">
        <f>Tabel24256789101112131415171618192120222326141518[[#This Row],[Verbruik Gekoeld liter deze maand]]/0.15</f>
        <v>1290</v>
      </c>
      <c r="AL29" s="53">
        <v>327.3</v>
      </c>
      <c r="AM29">
        <f>juni2025!AL29</f>
        <v>234.9</v>
      </c>
      <c r="AN29">
        <f>Tabel24256789101112131415171618192120222326141518[[#This Row],[Stand Bruisend liter einde maand]]-Tabel24256789101112131415171618192120222326141518[[#This Row],[Stand Bruisend liter vorige maand]]</f>
        <v>92.4</v>
      </c>
      <c r="AO29" s="2">
        <f>Tabel24256789101112131415171618192120222326141518[[#This Row],[Verbruik Bruisend liter deze maand]]/0.15</f>
        <v>616.00000000000011</v>
      </c>
      <c r="AP29" s="53">
        <v>122.9</v>
      </c>
      <c r="AQ29">
        <f>juni2025!AP29</f>
        <v>79</v>
      </c>
      <c r="AR29">
        <f>Tabel24256789101112131415171618192120222326141518[[#This Row],[Stand licht bruisend liter einde maand]]-Tabel24256789101112131415171618192120222326141518[[#This Row],[Stand licht bruisend liter vorige maand]]</f>
        <v>43.900000000000006</v>
      </c>
      <c r="AS29" s="2">
        <f>Tabel24256789101112131415171618192120222326141518[[#This Row],[Verbruik licht bruisend liter deze maand]]/0.15</f>
        <v>292.66666666666674</v>
      </c>
      <c r="AT29" s="53">
        <v>254.7</v>
      </c>
      <c r="AU29">
        <f>juni2025!AT29</f>
        <v>194.5</v>
      </c>
      <c r="AV29">
        <f>Tabel24256789101112131415171618192120222326141518[[#This Row],[Stand heet water liter einde maand]]-Tabel24256789101112131415171618192120222326141518[[#This Row],[Stand heet water liter vorige maand]]</f>
        <v>60.199999999999989</v>
      </c>
      <c r="AW29" s="2">
        <f>Tabel24256789101112131415171618192120222326141518[[#This Row],[Verbruik heet Water liter deze maand ]]/0.15</f>
        <v>401.33333333333326</v>
      </c>
      <c r="AX29" s="77">
        <f>Tabel24256789101112131415171618192120222326141518[[#This Row],[Aantal consumpties heet water deze maand]]+Tabel24256789101112131415171618192120222326141518[[#This Row],[Aantal consumpties licht bruisend water deze maand]]+Tabel24256789101112131415171618192120222326141518[[#This Row],[aantal consumpties Bruisend water deze maand]]+Tabel24256789101112131415171618192120222326141518[[#This Row],[Aantal consumpties gekoeld water deze maand]]+Tabel24256789101112131415171618192120222326141518[[#This Row],[Aantal consumpties Kamertemp deze maand]]</f>
        <v>2713.3333333333335</v>
      </c>
      <c r="AY29" s="95">
        <f>Tabel24256789101112131415171618192120222326141518[[#This Row],[Subtotaal waterbar in consumpties]]+Tabel24256789101112131415171618192120222326141518[[#This Row],[Subtotaal koffieautomaten]]</f>
        <v>2713.3333333333335</v>
      </c>
    </row>
    <row r="30" spans="1:130" ht="14.45" customHeight="1" x14ac:dyDescent="0.25">
      <c r="A30" s="65" t="s">
        <v>41</v>
      </c>
      <c r="B30" t="s">
        <v>78</v>
      </c>
      <c r="C30" t="s">
        <v>47</v>
      </c>
      <c r="E30">
        <v>7228</v>
      </c>
      <c r="F30">
        <f>juni2025!E30</f>
        <v>6983</v>
      </c>
      <c r="G30">
        <f>Tabel24256789101112131415171618192120222326141518[[#This Row],[Stand Coffee einde maand]]-Tabel24256789101112131415171618192120222326141518[[#This Row],[Coffee vorige maand]]</f>
        <v>245</v>
      </c>
      <c r="H30" s="53">
        <v>2182</v>
      </c>
      <c r="I30">
        <f>juni2025!H30</f>
        <v>2160</v>
      </c>
      <c r="J30">
        <f>Tabel24256789101112131415171618192120222326141518[[#This Row],[Stand Espresso Einde maand]]-Tabel24256789101112131415171618192120222326141518[[#This Row],[Espresso vorige maand]]</f>
        <v>22</v>
      </c>
      <c r="K30" s="53">
        <v>542</v>
      </c>
      <c r="L30">
        <f>juni2025!K30</f>
        <v>530</v>
      </c>
      <c r="M30">
        <f>Tabel24256789101112131415171618192120222326141518[[#This Row],[Stand Latte Macchiato einde maand]]-Tabel24256789101112131415171618192120222326141518[[#This Row],[Latte Macchiato vorige maand]]</f>
        <v>12</v>
      </c>
      <c r="N30" s="53">
        <v>378</v>
      </c>
      <c r="O30">
        <f>juni2025!N30</f>
        <v>373</v>
      </c>
      <c r="P30">
        <f>Tabel24256789101112131415171618192120222326141518[[#This Row],[Stand Coffee Latte einde maand]]-Tabel24256789101112131415171618192120222326141518[[#This Row],[Coffee Latte vorige maand]]</f>
        <v>5</v>
      </c>
      <c r="Q30" s="53">
        <v>1</v>
      </c>
      <c r="R30">
        <f>juni2025!Q30</f>
        <v>1</v>
      </c>
      <c r="S30">
        <f>Tabel24256789101112131415171618192120222326141518[[#This Row],[Stand Hot Water einde maand]]-Tabel24256789101112131415171618192120222326141518[[#This Row],[Hot Water vorige maand]]</f>
        <v>0</v>
      </c>
      <c r="T30" s="53">
        <v>3131</v>
      </c>
      <c r="U30">
        <f>juni2025!T30</f>
        <v>3070</v>
      </c>
      <c r="V30">
        <f>Tabel24256789101112131415171618192120222326141518[[#This Row],[Stand Cappucino einde maand]]-Tabel24256789101112131415171618192120222326141518[[#This Row],[Stand Cappucino vorige maand]]</f>
        <v>61</v>
      </c>
      <c r="W30" s="53">
        <v>1591</v>
      </c>
      <c r="X30">
        <f>juni2025!W30</f>
        <v>1554</v>
      </c>
      <c r="Y30">
        <f>Tabel24256789101112131415171618192120222326141518[[#This Row],[Stand Cappucino Plantaardig einde maand]]-Tabel24256789101112131415171618192120222326141518[[#This Row],[Stand Cappucino Plantaardig vorige maand]]</f>
        <v>37</v>
      </c>
      <c r="Z30" s="53">
        <v>1132</v>
      </c>
      <c r="AA30">
        <f>juni2025!Z30</f>
        <v>1102</v>
      </c>
      <c r="AB30">
        <f>Tabel24256789101112131415171618192120222326141518[[#This Row],[Stand Latte Macchiato Plantaardig einde maand]]-Tabel24256789101112131415171618192120222326141518[[#This Row],[Stand Latte Macchiato Plantaardig vorige maand]]</f>
        <v>30</v>
      </c>
      <c r="AC30" s="71">
        <f>Tabel24256789101112131415171618192120222326141518[[#This Row],[Verbruik Stand Latte Macchiato Plantaardig deze maand]]+Tabel24256789101112131415171618192120222326141518[[#This Row],[Verbruik  Cappucino Plantaardig deze maand]]+Tabel24256789101112131415171618192120222326141518[[#This Row],[Verbruik Cappucino deze maand]]+Tabel24256789101112131415171618192120222326141518[[#This Row],[Verbruik Hot Water deze maand]]+Tabel24256789101112131415171618192120222326141518[[#This Row],[Verbruik Coffee Latte deze maand]]+Tabel24256789101112131415171618192120222326141518[[#This Row],[Verbruik Latte Macchiato deze maand]]+Tabel24256789101112131415171618192120222326141518[[#This Row],[Verbruik Espresso deze maand]]+Tabel24256789101112131415171618192120222326141518[[#This Row],[Verbruik Coffee deze maand]]</f>
        <v>412</v>
      </c>
      <c r="AD30" s="53">
        <v>228.3</v>
      </c>
      <c r="AE30">
        <f>juni2025!AD30</f>
        <v>215.2</v>
      </c>
      <c r="AF30">
        <f>Tabel24256789101112131415171618192120222326141518[[#This Row],[Stand Kamertemp liter einde maand]]-Tabel24256789101112131415171618192120222326141518[[#This Row],[Stand Kamertemp liter vorige maand]]</f>
        <v>13.100000000000023</v>
      </c>
      <c r="AG30" s="2">
        <f>Tabel24256789101112131415171618192120222326141518[[#This Row],[Verbruik Kamertemp liter deze maand]]/0.15</f>
        <v>87.333333333333485</v>
      </c>
      <c r="AH30" s="53">
        <v>1658.4</v>
      </c>
      <c r="AI30">
        <f>juni2025!AH30</f>
        <v>1553.5</v>
      </c>
      <c r="AJ30">
        <f>Tabel24256789101112131415171618192120222326141518[[#This Row],[Stand Gekoeld liter einde maand]]-Tabel24256789101112131415171618192120222326141518[[#This Row],[Stand Gekoeld liter vorige maand]]</f>
        <v>104.90000000000009</v>
      </c>
      <c r="AK30" s="2">
        <f>Tabel24256789101112131415171618192120222326141518[[#This Row],[Verbruik Gekoeld liter deze maand]]/0.15</f>
        <v>699.33333333333394</v>
      </c>
      <c r="AL30" s="53">
        <v>954.8</v>
      </c>
      <c r="AM30">
        <f>juni2025!AL30</f>
        <v>914.2</v>
      </c>
      <c r="AN30">
        <f>Tabel24256789101112131415171618192120222326141518[[#This Row],[Stand Bruisend liter einde maand]]-Tabel24256789101112131415171618192120222326141518[[#This Row],[Stand Bruisend liter vorige maand]]</f>
        <v>40.599999999999909</v>
      </c>
      <c r="AO30" s="2">
        <f>Tabel24256789101112131415171618192120222326141518[[#This Row],[Verbruik Bruisend liter deze maand]]/0.15</f>
        <v>270.66666666666606</v>
      </c>
      <c r="AP30" s="53">
        <v>687.4</v>
      </c>
      <c r="AQ30">
        <f>juni2025!AP30</f>
        <v>650.20000000000005</v>
      </c>
      <c r="AR30">
        <f>Tabel24256789101112131415171618192120222326141518[[#This Row],[Stand licht bruisend liter einde maand]]-Tabel24256789101112131415171618192120222326141518[[#This Row],[Stand licht bruisend liter vorige maand]]</f>
        <v>37.199999999999932</v>
      </c>
      <c r="AS30" s="2">
        <f>Tabel24256789101112131415171618192120222326141518[[#This Row],[Verbruik licht bruisend liter deze maand]]/0.15</f>
        <v>247.99999999999955</v>
      </c>
      <c r="AT30" s="53">
        <v>4473.3</v>
      </c>
      <c r="AU30">
        <f>juni2025!AT30</f>
        <v>4336.3</v>
      </c>
      <c r="AV30">
        <f>Tabel24256789101112131415171618192120222326141518[[#This Row],[Stand heet water liter einde maand]]-Tabel24256789101112131415171618192120222326141518[[#This Row],[Stand heet water liter vorige maand]]</f>
        <v>137</v>
      </c>
      <c r="AW30" s="2">
        <f>Tabel24256789101112131415171618192120222326141518[[#This Row],[Verbruik heet Water liter deze maand ]]/0.15</f>
        <v>913.33333333333337</v>
      </c>
      <c r="AX30" s="77">
        <f>Tabel24256789101112131415171618192120222326141518[[#This Row],[Aantal consumpties heet water deze maand]]+Tabel24256789101112131415171618192120222326141518[[#This Row],[Aantal consumpties licht bruisend water deze maand]]+Tabel24256789101112131415171618192120222326141518[[#This Row],[aantal consumpties Bruisend water deze maand]]+Tabel24256789101112131415171618192120222326141518[[#This Row],[Aantal consumpties gekoeld water deze maand]]+Tabel24256789101112131415171618192120222326141518[[#This Row],[Aantal consumpties Kamertemp deze maand]]</f>
        <v>2218.6666666666665</v>
      </c>
      <c r="AY30" s="95">
        <f>Tabel24256789101112131415171618192120222326141518[[#This Row],[Subtotaal waterbar in consumpties]]+Tabel24256789101112131415171618192120222326141518[[#This Row],[Subtotaal koffieautomaten]]</f>
        <v>2630.6666666666665</v>
      </c>
    </row>
    <row r="31" spans="1:130" ht="14.45" customHeight="1" x14ac:dyDescent="0.25">
      <c r="A31" s="65" t="s">
        <v>43</v>
      </c>
      <c r="B31" t="s">
        <v>79</v>
      </c>
      <c r="C31" t="s">
        <v>31</v>
      </c>
      <c r="E31">
        <v>13358</v>
      </c>
      <c r="F31">
        <f>juni2025!E31</f>
        <v>12976</v>
      </c>
      <c r="G31">
        <f>Tabel24256789101112131415171618192120222326141518[[#This Row],[Stand Coffee einde maand]]-Tabel24256789101112131415171618192120222326141518[[#This Row],[Coffee vorige maand]]</f>
        <v>382</v>
      </c>
      <c r="H31" s="53">
        <v>5787</v>
      </c>
      <c r="I31">
        <f>juni2025!H31</f>
        <v>5508</v>
      </c>
      <c r="J31">
        <f>Tabel24256789101112131415171618192120222326141518[[#This Row],[Stand Espresso Einde maand]]-Tabel24256789101112131415171618192120222326141518[[#This Row],[Espresso vorige maand]]</f>
        <v>279</v>
      </c>
      <c r="K31" s="53">
        <v>849</v>
      </c>
      <c r="L31">
        <f>juni2025!K31</f>
        <v>827</v>
      </c>
      <c r="M31">
        <f>Tabel24256789101112131415171618192120222326141518[[#This Row],[Stand Latte Macchiato einde maand]]-Tabel24256789101112131415171618192120222326141518[[#This Row],[Latte Macchiato vorige maand]]</f>
        <v>22</v>
      </c>
      <c r="N31" s="53">
        <v>159</v>
      </c>
      <c r="O31">
        <f>juni2025!N31</f>
        <v>158</v>
      </c>
      <c r="P31">
        <f>Tabel24256789101112131415171618192120222326141518[[#This Row],[Stand Coffee Latte einde maand]]-Tabel24256789101112131415171618192120222326141518[[#This Row],[Coffee Latte vorige maand]]</f>
        <v>1</v>
      </c>
      <c r="Q31" s="53">
        <v>11698</v>
      </c>
      <c r="R31">
        <f>juni2025!Q31</f>
        <v>11336</v>
      </c>
      <c r="S31">
        <f>Tabel24256789101112131415171618192120222326141518[[#This Row],[Stand Hot Water einde maand]]-Tabel24256789101112131415171618192120222326141518[[#This Row],[Hot Water vorige maand]]</f>
        <v>362</v>
      </c>
      <c r="T31" s="53">
        <v>7666</v>
      </c>
      <c r="U31">
        <f>juni2025!T31</f>
        <v>7374</v>
      </c>
      <c r="V31">
        <f>Tabel24256789101112131415171618192120222326141518[[#This Row],[Stand Cappucino einde maand]]-Tabel24256789101112131415171618192120222326141518[[#This Row],[Stand Cappucino vorige maand]]</f>
        <v>292</v>
      </c>
      <c r="W31" s="53">
        <v>549</v>
      </c>
      <c r="X31">
        <f>juni2025!W31</f>
        <v>533</v>
      </c>
      <c r="Y31">
        <f>Tabel24256789101112131415171618192120222326141518[[#This Row],[Stand Cappucino Plantaardig einde maand]]-Tabel24256789101112131415171618192120222326141518[[#This Row],[Stand Cappucino Plantaardig vorige maand]]</f>
        <v>16</v>
      </c>
      <c r="Z31" s="53">
        <v>129</v>
      </c>
      <c r="AA31">
        <f>juni2025!Z31</f>
        <v>125</v>
      </c>
      <c r="AB31">
        <f>Tabel24256789101112131415171618192120222326141518[[#This Row],[Stand Latte Macchiato Plantaardig einde maand]]-Tabel24256789101112131415171618192120222326141518[[#This Row],[Stand Latte Macchiato Plantaardig vorige maand]]</f>
        <v>4</v>
      </c>
      <c r="AC31" s="71">
        <f>Tabel24256789101112131415171618192120222326141518[[#This Row],[Verbruik Stand Latte Macchiato Plantaardig deze maand]]+Tabel24256789101112131415171618192120222326141518[[#This Row],[Verbruik  Cappucino Plantaardig deze maand]]+Tabel24256789101112131415171618192120222326141518[[#This Row],[Verbruik Cappucino deze maand]]+Tabel24256789101112131415171618192120222326141518[[#This Row],[Verbruik Hot Water deze maand]]+Tabel24256789101112131415171618192120222326141518[[#This Row],[Verbruik Coffee Latte deze maand]]+Tabel24256789101112131415171618192120222326141518[[#This Row],[Verbruik Latte Macchiato deze maand]]+Tabel24256789101112131415171618192120222326141518[[#This Row],[Verbruik Espresso deze maand]]+Tabel24256789101112131415171618192120222326141518[[#This Row],[Verbruik Coffee deze maand]]</f>
        <v>1358</v>
      </c>
      <c r="AD31" s="69"/>
      <c r="AE31" s="41"/>
      <c r="AF31" s="5"/>
      <c r="AG31" s="5"/>
      <c r="AH31" s="75"/>
      <c r="AI31" s="41"/>
      <c r="AJ31" s="5"/>
      <c r="AK31" s="5"/>
      <c r="AL31" s="75"/>
      <c r="AM31" s="41"/>
      <c r="AN31" s="5"/>
      <c r="AO31" s="5"/>
      <c r="AP31" s="75"/>
      <c r="AQ31" s="41"/>
      <c r="AR31" s="5"/>
      <c r="AS31" s="5"/>
      <c r="AT31" s="75"/>
      <c r="AU31" s="41"/>
      <c r="AV31" s="5"/>
      <c r="AW31" s="5"/>
      <c r="AX31" s="79"/>
      <c r="AY31" s="95">
        <f>Tabel24256789101112131415171618192120222326141518[[#This Row],[Subtotaal waterbar in consumpties]]+Tabel24256789101112131415171618192120222326141518[[#This Row],[Subtotaal koffieautomaten]]</f>
        <v>1358</v>
      </c>
    </row>
    <row r="32" spans="1:130" ht="14.45" customHeight="1" x14ac:dyDescent="0.25">
      <c r="A32" s="65" t="s">
        <v>45</v>
      </c>
      <c r="B32" t="s">
        <v>80</v>
      </c>
      <c r="C32" t="s">
        <v>36</v>
      </c>
      <c r="E32" s="46"/>
      <c r="F32" s="46"/>
      <c r="G32" s="47"/>
      <c r="H32" s="54"/>
      <c r="I32" s="46"/>
      <c r="J32" s="47"/>
      <c r="K32" s="54"/>
      <c r="L32" s="46"/>
      <c r="M32" s="47"/>
      <c r="N32" s="54"/>
      <c r="O32" s="46"/>
      <c r="P32" s="47"/>
      <c r="Q32" s="54"/>
      <c r="R32" s="46"/>
      <c r="S32" s="47"/>
      <c r="T32" s="54"/>
      <c r="U32" s="46"/>
      <c r="V32" s="47"/>
      <c r="W32" s="54"/>
      <c r="X32" s="46"/>
      <c r="Y32" s="47"/>
      <c r="Z32" s="54"/>
      <c r="AA32" s="46"/>
      <c r="AB32" s="47"/>
      <c r="AC32" s="72"/>
      <c r="AD32" s="120">
        <v>16.8</v>
      </c>
      <c r="AE32" s="49">
        <v>0</v>
      </c>
      <c r="AF32" s="49">
        <f>Tabel24256789101112131415171618192120222326141518[[#This Row],[Stand Kamertemp liter einde maand]]-Tabel24256789101112131415171618192120222326141518[[#This Row],[Stand Kamertemp liter vorige maand]]</f>
        <v>16.8</v>
      </c>
      <c r="AG32" s="121">
        <f>Tabel24256789101112131415171618192120222326141518[[#This Row],[Verbruik Kamertemp liter deze maand]]/0.15</f>
        <v>112.00000000000001</v>
      </c>
      <c r="AH32" s="120">
        <v>78.3</v>
      </c>
      <c r="AI32" s="49">
        <v>0</v>
      </c>
      <c r="AJ32" s="49">
        <f>Tabel24256789101112131415171618192120222326141518[[#This Row],[Stand Gekoeld liter einde maand]]-Tabel24256789101112131415171618192120222326141518[[#This Row],[Stand Gekoeld liter vorige maand]]</f>
        <v>78.3</v>
      </c>
      <c r="AK32" s="121">
        <f>Tabel24256789101112131415171618192120222326141518[[#This Row],[Verbruik Gekoeld liter deze maand]]/0.15</f>
        <v>522</v>
      </c>
      <c r="AL32" s="120">
        <v>42.4</v>
      </c>
      <c r="AM32" s="49">
        <v>0</v>
      </c>
      <c r="AN32" s="49">
        <f>Tabel24256789101112131415171618192120222326141518[[#This Row],[Stand Bruisend liter einde maand]]-Tabel24256789101112131415171618192120222326141518[[#This Row],[Stand Bruisend liter vorige maand]]</f>
        <v>42.4</v>
      </c>
      <c r="AO32" s="121">
        <f>Tabel24256789101112131415171618192120222326141518[[#This Row],[Verbruik Bruisend liter deze maand]]/0.15</f>
        <v>282.66666666666669</v>
      </c>
      <c r="AP32" s="120">
        <v>9.9</v>
      </c>
      <c r="AQ32" s="49">
        <v>0</v>
      </c>
      <c r="AR32" s="49">
        <f>Tabel24256789101112131415171618192120222326141518[[#This Row],[Stand licht bruisend liter einde maand]]-Tabel24256789101112131415171618192120222326141518[[#This Row],[Stand licht bruisend liter vorige maand]]</f>
        <v>9.9</v>
      </c>
      <c r="AS32" s="121">
        <f>Tabel24256789101112131415171618192120222326141518[[#This Row],[Verbruik licht bruisend liter deze maand]]/0.15</f>
        <v>66</v>
      </c>
      <c r="AT32" s="120">
        <v>146</v>
      </c>
      <c r="AU32" s="49">
        <v>0</v>
      </c>
      <c r="AV32" s="49">
        <f>Tabel24256789101112131415171618192120222326141518[[#This Row],[Stand heet water liter einde maand]]-Tabel24256789101112131415171618192120222326141518[[#This Row],[Stand heet water liter vorige maand]]</f>
        <v>146</v>
      </c>
      <c r="AW32" s="121">
        <f>Tabel24256789101112131415171618192120222326141518[[#This Row],[Verbruik heet Water liter deze maand ]]/0.15</f>
        <v>973.33333333333337</v>
      </c>
      <c r="AX32" s="122">
        <f>Tabel24256789101112131415171618192120222326141518[[#This Row],[Aantal consumpties heet water deze maand]]+Tabel24256789101112131415171618192120222326141518[[#This Row],[Aantal consumpties licht bruisend water deze maand]]+Tabel24256789101112131415171618192120222326141518[[#This Row],[aantal consumpties Bruisend water deze maand]]+Tabel24256789101112131415171618192120222326141518[[#This Row],[Aantal consumpties gekoeld water deze maand]]+Tabel24256789101112131415171618192120222326141518[[#This Row],[Aantal consumpties Kamertemp deze maand]]</f>
        <v>1956.0000000000002</v>
      </c>
      <c r="AY32" s="95">
        <f>Tabel24256789101112131415171618192120222326141518[[#This Row],[Subtotaal waterbar in consumpties]]+Tabel24256789101112131415171618192120222326141518[[#This Row],[Subtotaal koffieautomaten]]</f>
        <v>1956.0000000000002</v>
      </c>
    </row>
    <row r="33" spans="1:130" ht="14.45" customHeight="1" x14ac:dyDescent="0.25">
      <c r="A33" s="65" t="s">
        <v>48</v>
      </c>
      <c r="B33" t="s">
        <v>81</v>
      </c>
      <c r="C33" t="s">
        <v>31</v>
      </c>
      <c r="E33">
        <v>12639</v>
      </c>
      <c r="F33">
        <f>juni2025!E33</f>
        <v>12060</v>
      </c>
      <c r="G33">
        <f>Tabel24256789101112131415171618192120222326141518[[#This Row],[Stand Coffee einde maand]]-Tabel24256789101112131415171618192120222326141518[[#This Row],[Coffee vorige maand]]</f>
        <v>579</v>
      </c>
      <c r="H33" s="53">
        <v>587</v>
      </c>
      <c r="I33">
        <f>juni2025!H33</f>
        <v>544</v>
      </c>
      <c r="J33">
        <f>Tabel24256789101112131415171618192120222326141518[[#This Row],[Stand Espresso Einde maand]]-Tabel24256789101112131415171618192120222326141518[[#This Row],[Espresso vorige maand]]</f>
        <v>43</v>
      </c>
      <c r="K33" s="53">
        <v>738</v>
      </c>
      <c r="L33">
        <f>juni2025!K33</f>
        <v>732</v>
      </c>
      <c r="M33">
        <f>Tabel24256789101112131415171618192120222326141518[[#This Row],[Stand Latte Macchiato einde maand]]-Tabel24256789101112131415171618192120222326141518[[#This Row],[Latte Macchiato vorige maand]]</f>
        <v>6</v>
      </c>
      <c r="N33" s="53">
        <v>432</v>
      </c>
      <c r="O33">
        <f>juni2025!N33</f>
        <v>422</v>
      </c>
      <c r="P33">
        <f>Tabel24256789101112131415171618192120222326141518[[#This Row],[Stand Coffee Latte einde maand]]-Tabel24256789101112131415171618192120222326141518[[#This Row],[Coffee Latte vorige maand]]</f>
        <v>10</v>
      </c>
      <c r="Q33" s="53">
        <v>27344</v>
      </c>
      <c r="R33">
        <f>juni2025!Q33</f>
        <v>26533</v>
      </c>
      <c r="S33">
        <f>Tabel24256789101112131415171618192120222326141518[[#This Row],[Stand Hot Water einde maand]]-Tabel24256789101112131415171618192120222326141518[[#This Row],[Hot Water vorige maand]]</f>
        <v>811</v>
      </c>
      <c r="T33" s="53">
        <v>4558</v>
      </c>
      <c r="U33">
        <f>juni2025!T33</f>
        <v>4483</v>
      </c>
      <c r="V33">
        <f>Tabel24256789101112131415171618192120222326141518[[#This Row],[Stand Cappucino einde maand]]-Tabel24256789101112131415171618192120222326141518[[#This Row],[Stand Cappucino vorige maand]]</f>
        <v>75</v>
      </c>
      <c r="W33" s="53">
        <v>431</v>
      </c>
      <c r="X33">
        <f>juni2025!W33</f>
        <v>428</v>
      </c>
      <c r="Y33">
        <f>Tabel24256789101112131415171618192120222326141518[[#This Row],[Stand Cappucino Plantaardig einde maand]]-Tabel24256789101112131415171618192120222326141518[[#This Row],[Stand Cappucino Plantaardig vorige maand]]</f>
        <v>3</v>
      </c>
      <c r="Z33" s="53">
        <v>72</v>
      </c>
      <c r="AA33">
        <f>juni2025!Z33</f>
        <v>71</v>
      </c>
      <c r="AB33">
        <f>Tabel24256789101112131415171618192120222326141518[[#This Row],[Stand Latte Macchiato Plantaardig einde maand]]-Tabel24256789101112131415171618192120222326141518[[#This Row],[Stand Latte Macchiato Plantaardig vorige maand]]</f>
        <v>1</v>
      </c>
      <c r="AC33" s="71">
        <f>Tabel24256789101112131415171618192120222326141518[[#This Row],[Verbruik Stand Latte Macchiato Plantaardig deze maand]]+Tabel24256789101112131415171618192120222326141518[[#This Row],[Verbruik  Cappucino Plantaardig deze maand]]+Tabel24256789101112131415171618192120222326141518[[#This Row],[Verbruik Cappucino deze maand]]+Tabel24256789101112131415171618192120222326141518[[#This Row],[Verbruik Hot Water deze maand]]+Tabel24256789101112131415171618192120222326141518[[#This Row],[Verbruik Coffee Latte deze maand]]+Tabel24256789101112131415171618192120222326141518[[#This Row],[Verbruik Latte Macchiato deze maand]]+Tabel24256789101112131415171618192120222326141518[[#This Row],[Verbruik Espresso deze maand]]+Tabel24256789101112131415171618192120222326141518[[#This Row],[Verbruik Coffee deze maand]]</f>
        <v>1528</v>
      </c>
      <c r="AD33" s="69"/>
      <c r="AE33" s="41"/>
      <c r="AF33" s="5"/>
      <c r="AG33" s="5"/>
      <c r="AH33" s="75"/>
      <c r="AI33" s="41"/>
      <c r="AJ33" s="5"/>
      <c r="AK33" s="5"/>
      <c r="AL33" s="75"/>
      <c r="AM33" s="41"/>
      <c r="AN33" s="5"/>
      <c r="AO33" s="5"/>
      <c r="AP33" s="75"/>
      <c r="AQ33" s="41"/>
      <c r="AR33" s="5"/>
      <c r="AS33" s="5"/>
      <c r="AT33" s="75"/>
      <c r="AU33" s="41"/>
      <c r="AV33" s="5"/>
      <c r="AW33" s="5"/>
      <c r="AX33" s="79"/>
      <c r="AY33" s="95">
        <f>Tabel24256789101112131415171618192120222326141518[[#This Row],[Subtotaal waterbar in consumpties]]+Tabel24256789101112131415171618192120222326141518[[#This Row],[Subtotaal koffieautomaten]]</f>
        <v>1528</v>
      </c>
    </row>
    <row r="34" spans="1:130" ht="14.45" customHeight="1" x14ac:dyDescent="0.25">
      <c r="A34" s="65" t="s">
        <v>50</v>
      </c>
      <c r="B34" t="s">
        <v>82</v>
      </c>
      <c r="C34" t="s">
        <v>47</v>
      </c>
      <c r="E34">
        <v>8599</v>
      </c>
      <c r="F34">
        <f>juni2025!E34</f>
        <v>8329</v>
      </c>
      <c r="G34">
        <f>Tabel24256789101112131415171618192120222326141518[[#This Row],[Stand Coffee einde maand]]-Tabel24256789101112131415171618192120222326141518[[#This Row],[Coffee vorige maand]]</f>
        <v>270</v>
      </c>
      <c r="H34" s="53">
        <v>1598</v>
      </c>
      <c r="I34">
        <f>juni2025!H34</f>
        <v>1529</v>
      </c>
      <c r="J34">
        <f>Tabel24256789101112131415171618192120222326141518[[#This Row],[Stand Espresso Einde maand]]-Tabel24256789101112131415171618192120222326141518[[#This Row],[Espresso vorige maand]]</f>
        <v>69</v>
      </c>
      <c r="K34" s="53">
        <v>2200</v>
      </c>
      <c r="L34">
        <f>juni2025!K34</f>
        <v>2127</v>
      </c>
      <c r="M34">
        <f>Tabel24256789101112131415171618192120222326141518[[#This Row],[Stand Latte Macchiato einde maand]]-Tabel24256789101112131415171618192120222326141518[[#This Row],[Latte Macchiato vorige maand]]</f>
        <v>73</v>
      </c>
      <c r="N34" s="53">
        <v>2377</v>
      </c>
      <c r="O34">
        <f>juni2025!N34</f>
        <v>2231</v>
      </c>
      <c r="P34">
        <f>Tabel24256789101112131415171618192120222326141518[[#This Row],[Stand Coffee Latte einde maand]]-Tabel24256789101112131415171618192120222326141518[[#This Row],[Coffee Latte vorige maand]]</f>
        <v>146</v>
      </c>
      <c r="Q34" s="53">
        <v>1</v>
      </c>
      <c r="R34">
        <f>juni2025!Q34</f>
        <v>1</v>
      </c>
      <c r="S34">
        <f>Tabel24256789101112131415171618192120222326141518[[#This Row],[Stand Hot Water einde maand]]-Tabel24256789101112131415171618192120222326141518[[#This Row],[Hot Water vorige maand]]</f>
        <v>0</v>
      </c>
      <c r="T34" s="53">
        <v>4594</v>
      </c>
      <c r="U34">
        <f>juni2025!T34</f>
        <v>4471</v>
      </c>
      <c r="V34">
        <f>Tabel24256789101112131415171618192120222326141518[[#This Row],[Stand Cappucino einde maand]]-Tabel24256789101112131415171618192120222326141518[[#This Row],[Stand Cappucino vorige maand]]</f>
        <v>123</v>
      </c>
      <c r="W34" s="53">
        <v>945</v>
      </c>
      <c r="X34">
        <f>juni2025!W34</f>
        <v>885</v>
      </c>
      <c r="Y34">
        <f>Tabel24256789101112131415171618192120222326141518[[#This Row],[Stand Cappucino Plantaardig einde maand]]-Tabel24256789101112131415171618192120222326141518[[#This Row],[Stand Cappucino Plantaardig vorige maand]]</f>
        <v>60</v>
      </c>
      <c r="Z34" s="53">
        <v>107</v>
      </c>
      <c r="AA34">
        <f>juni2025!Z34</f>
        <v>102</v>
      </c>
      <c r="AB34">
        <f>Tabel24256789101112131415171618192120222326141518[[#This Row],[Stand Latte Macchiato Plantaardig einde maand]]-Tabel24256789101112131415171618192120222326141518[[#This Row],[Stand Latte Macchiato Plantaardig vorige maand]]</f>
        <v>5</v>
      </c>
      <c r="AC34" s="71">
        <f>Tabel24256789101112131415171618192120222326141518[[#This Row],[Verbruik Stand Latte Macchiato Plantaardig deze maand]]+Tabel24256789101112131415171618192120222326141518[[#This Row],[Verbruik  Cappucino Plantaardig deze maand]]+Tabel24256789101112131415171618192120222326141518[[#This Row],[Verbruik Cappucino deze maand]]+Tabel24256789101112131415171618192120222326141518[[#This Row],[Verbruik Hot Water deze maand]]+Tabel24256789101112131415171618192120222326141518[[#This Row],[Verbruik Coffee Latte deze maand]]+Tabel24256789101112131415171618192120222326141518[[#This Row],[Verbruik Latte Macchiato deze maand]]+Tabel24256789101112131415171618192120222326141518[[#This Row],[Verbruik Espresso deze maand]]+Tabel24256789101112131415171618192120222326141518[[#This Row],[Verbruik Coffee deze maand]]</f>
        <v>746</v>
      </c>
      <c r="AD34" s="53">
        <v>87.8</v>
      </c>
      <c r="AE34">
        <f>juni2025!AD34</f>
        <v>78.8</v>
      </c>
      <c r="AF34">
        <f>Tabel24256789101112131415171618192120222326141518[[#This Row],[Stand Kamertemp liter einde maand]]-Tabel24256789101112131415171618192120222326141518[[#This Row],[Stand Kamertemp liter vorige maand]]</f>
        <v>9</v>
      </c>
      <c r="AG34" s="2">
        <f>Tabel24256789101112131415171618192120222326141518[[#This Row],[Verbruik Kamertemp liter deze maand]]/0.15</f>
        <v>60</v>
      </c>
      <c r="AH34" s="53">
        <v>395.1</v>
      </c>
      <c r="AI34">
        <f>juni2025!AH34</f>
        <v>331.7</v>
      </c>
      <c r="AJ34">
        <f>Tabel24256789101112131415171618192120222326141518[[#This Row],[Stand Gekoeld liter einde maand]]-Tabel24256789101112131415171618192120222326141518[[#This Row],[Stand Gekoeld liter vorige maand]]</f>
        <v>63.400000000000034</v>
      </c>
      <c r="AK34" s="2">
        <f>Tabel24256789101112131415171618192120222326141518[[#This Row],[Verbruik Gekoeld liter deze maand]]/0.15</f>
        <v>422.66666666666691</v>
      </c>
      <c r="AL34" s="53">
        <v>267.39999999999998</v>
      </c>
      <c r="AM34">
        <f>juni2025!AL34</f>
        <v>210.5</v>
      </c>
      <c r="AN34">
        <f>Tabel24256789101112131415171618192120222326141518[[#This Row],[Stand Bruisend liter einde maand]]-Tabel24256789101112131415171618192120222326141518[[#This Row],[Stand Bruisend liter vorige maand]]</f>
        <v>56.899999999999977</v>
      </c>
      <c r="AO34" s="2">
        <f>Tabel24256789101112131415171618192120222326141518[[#This Row],[Verbruik Bruisend liter deze maand]]/0.15</f>
        <v>379.3333333333332</v>
      </c>
      <c r="AP34" s="53">
        <v>113</v>
      </c>
      <c r="AQ34">
        <f>juni2025!AP34</f>
        <v>97.2</v>
      </c>
      <c r="AR34">
        <f>Tabel24256789101112131415171618192120222326141518[[#This Row],[Stand licht bruisend liter einde maand]]-Tabel24256789101112131415171618192120222326141518[[#This Row],[Stand licht bruisend liter vorige maand]]</f>
        <v>15.799999999999997</v>
      </c>
      <c r="AS34" s="2">
        <f>Tabel24256789101112131415171618192120222326141518[[#This Row],[Verbruik licht bruisend liter deze maand]]/0.15</f>
        <v>105.33333333333331</v>
      </c>
      <c r="AT34" s="53">
        <v>1492.7</v>
      </c>
      <c r="AU34">
        <f>juni2025!AT34</f>
        <v>1360.8</v>
      </c>
      <c r="AV34">
        <f>Tabel24256789101112131415171618192120222326141518[[#This Row],[Stand heet water liter einde maand]]-Tabel24256789101112131415171618192120222326141518[[#This Row],[Stand heet water liter vorige maand]]</f>
        <v>131.90000000000009</v>
      </c>
      <c r="AW34" s="2">
        <f>Tabel24256789101112131415171618192120222326141518[[#This Row],[Verbruik heet Water liter deze maand ]]/0.15</f>
        <v>879.33333333333394</v>
      </c>
      <c r="AX34" s="77">
        <f>Tabel24256789101112131415171618192120222326141518[[#This Row],[Aantal consumpties heet water deze maand]]+Tabel24256789101112131415171618192120222326141518[[#This Row],[Aantal consumpties licht bruisend water deze maand]]+Tabel24256789101112131415171618192120222326141518[[#This Row],[aantal consumpties Bruisend water deze maand]]+Tabel24256789101112131415171618192120222326141518[[#This Row],[Aantal consumpties gekoeld water deze maand]]+Tabel24256789101112131415171618192120222326141518[[#This Row],[Aantal consumpties Kamertemp deze maand]]</f>
        <v>1846.6666666666674</v>
      </c>
      <c r="AY34" s="95">
        <f>Tabel24256789101112131415171618192120222326141518[[#This Row],[Subtotaal waterbar in consumpties]]+Tabel24256789101112131415171618192120222326141518[[#This Row],[Subtotaal koffieautomaten]]</f>
        <v>2592.6666666666674</v>
      </c>
    </row>
    <row r="35" spans="1:130" ht="14.45" customHeight="1" x14ac:dyDescent="0.25">
      <c r="A35" s="65" t="s">
        <v>52</v>
      </c>
      <c r="B35" t="s">
        <v>83</v>
      </c>
      <c r="C35" t="s">
        <v>47</v>
      </c>
      <c r="E35">
        <v>9067</v>
      </c>
      <c r="F35">
        <f>juni2025!E35</f>
        <v>8843</v>
      </c>
      <c r="G35">
        <f>Tabel24256789101112131415171618192120222326141518[[#This Row],[Stand Coffee einde maand]]-Tabel24256789101112131415171618192120222326141518[[#This Row],[Coffee vorige maand]]</f>
        <v>224</v>
      </c>
      <c r="H35" s="53">
        <v>3364</v>
      </c>
      <c r="I35">
        <f>juni2025!H35</f>
        <v>3259</v>
      </c>
      <c r="J35">
        <f>Tabel24256789101112131415171618192120222326141518[[#This Row],[Stand Espresso Einde maand]]-Tabel24256789101112131415171618192120222326141518[[#This Row],[Espresso vorige maand]]</f>
        <v>105</v>
      </c>
      <c r="K35" s="53">
        <v>1582</v>
      </c>
      <c r="L35">
        <f>juni2025!K35</f>
        <v>1537</v>
      </c>
      <c r="M35">
        <f>Tabel24256789101112131415171618192120222326141518[[#This Row],[Stand Latte Macchiato einde maand]]-Tabel24256789101112131415171618192120222326141518[[#This Row],[Latte Macchiato vorige maand]]</f>
        <v>45</v>
      </c>
      <c r="N35" s="53">
        <v>285</v>
      </c>
      <c r="O35">
        <f>juni2025!N35</f>
        <v>282</v>
      </c>
      <c r="P35">
        <f>Tabel24256789101112131415171618192120222326141518[[#This Row],[Stand Coffee Latte einde maand]]-Tabel24256789101112131415171618192120222326141518[[#This Row],[Coffee Latte vorige maand]]</f>
        <v>3</v>
      </c>
      <c r="Q35" s="53">
        <v>1</v>
      </c>
      <c r="R35">
        <f>juni2025!Q35</f>
        <v>1</v>
      </c>
      <c r="S35">
        <f>Tabel24256789101112131415171618192120222326141518[[#This Row],[Stand Hot Water einde maand]]-Tabel24256789101112131415171618192120222326141518[[#This Row],[Hot Water vorige maand]]</f>
        <v>0</v>
      </c>
      <c r="T35" s="53">
        <v>3632</v>
      </c>
      <c r="U35">
        <f>juni2025!T35</f>
        <v>3442</v>
      </c>
      <c r="V35">
        <f>Tabel24256789101112131415171618192120222326141518[[#This Row],[Stand Cappucino einde maand]]-Tabel24256789101112131415171618192120222326141518[[#This Row],[Stand Cappucino vorige maand]]</f>
        <v>190</v>
      </c>
      <c r="W35" s="53">
        <v>1087</v>
      </c>
      <c r="X35">
        <f>juni2025!W35</f>
        <v>1013</v>
      </c>
      <c r="Y35">
        <f>Tabel24256789101112131415171618192120222326141518[[#This Row],[Stand Cappucino Plantaardig einde maand]]-Tabel24256789101112131415171618192120222326141518[[#This Row],[Stand Cappucino Plantaardig vorige maand]]</f>
        <v>74</v>
      </c>
      <c r="Z35" s="53">
        <v>611</v>
      </c>
      <c r="AA35">
        <f>juni2025!Z35</f>
        <v>606</v>
      </c>
      <c r="AB35">
        <f>Tabel24256789101112131415171618192120222326141518[[#This Row],[Stand Latte Macchiato Plantaardig einde maand]]-Tabel24256789101112131415171618192120222326141518[[#This Row],[Stand Latte Macchiato Plantaardig vorige maand]]</f>
        <v>5</v>
      </c>
      <c r="AC35" s="71">
        <f>Tabel24256789101112131415171618192120222326141518[[#This Row],[Verbruik Stand Latte Macchiato Plantaardig deze maand]]+Tabel24256789101112131415171618192120222326141518[[#This Row],[Verbruik  Cappucino Plantaardig deze maand]]+Tabel24256789101112131415171618192120222326141518[[#This Row],[Verbruik Cappucino deze maand]]+Tabel24256789101112131415171618192120222326141518[[#This Row],[Verbruik Hot Water deze maand]]+Tabel24256789101112131415171618192120222326141518[[#This Row],[Verbruik Coffee Latte deze maand]]+Tabel24256789101112131415171618192120222326141518[[#This Row],[Verbruik Latte Macchiato deze maand]]+Tabel24256789101112131415171618192120222326141518[[#This Row],[Verbruik Espresso deze maand]]+Tabel24256789101112131415171618192120222326141518[[#This Row],[Verbruik Coffee deze maand]]</f>
        <v>646</v>
      </c>
      <c r="AD35" s="53">
        <v>220.6</v>
      </c>
      <c r="AE35">
        <f>juni2025!AD35</f>
        <v>209.4</v>
      </c>
      <c r="AF35">
        <f>Tabel24256789101112131415171618192120222326141518[[#This Row],[Stand Kamertemp liter einde maand]]-Tabel24256789101112131415171618192120222326141518[[#This Row],[Stand Kamertemp liter vorige maand]]</f>
        <v>11.199999999999989</v>
      </c>
      <c r="AG35" s="2">
        <f>Tabel24256789101112131415171618192120222326141518[[#This Row],[Verbruik Kamertemp liter deze maand]]/0.15</f>
        <v>74.6666666666666</v>
      </c>
      <c r="AH35" s="53">
        <v>1070.8</v>
      </c>
      <c r="AI35">
        <f>juni2025!AH35</f>
        <v>999.3</v>
      </c>
      <c r="AJ35">
        <f>Tabel24256789101112131415171618192120222326141518[[#This Row],[Stand Gekoeld liter einde maand]]-Tabel24256789101112131415171618192120222326141518[[#This Row],[Stand Gekoeld liter vorige maand]]</f>
        <v>71.5</v>
      </c>
      <c r="AK35" s="2">
        <f>Tabel24256789101112131415171618192120222326141518[[#This Row],[Verbruik Gekoeld liter deze maand]]/0.15</f>
        <v>476.66666666666669</v>
      </c>
      <c r="AL35" s="53">
        <v>1013.3</v>
      </c>
      <c r="AM35">
        <f>juni2025!AL35</f>
        <v>965.8</v>
      </c>
      <c r="AN35">
        <f>Tabel24256789101112131415171618192120222326141518[[#This Row],[Stand Bruisend liter einde maand]]-Tabel24256789101112131415171618192120222326141518[[#This Row],[Stand Bruisend liter vorige maand]]</f>
        <v>47.5</v>
      </c>
      <c r="AO35" s="2">
        <f>Tabel24256789101112131415171618192120222326141518[[#This Row],[Verbruik Bruisend liter deze maand]]/0.15</f>
        <v>316.66666666666669</v>
      </c>
      <c r="AP35" s="53">
        <v>406.4</v>
      </c>
      <c r="AQ35">
        <f>juni2025!AP35</f>
        <v>386.1</v>
      </c>
      <c r="AR35">
        <f>Tabel24256789101112131415171618192120222326141518[[#This Row],[Stand licht bruisend liter einde maand]]-Tabel24256789101112131415171618192120222326141518[[#This Row],[Stand licht bruisend liter vorige maand]]</f>
        <v>20.299999999999955</v>
      </c>
      <c r="AS35" s="2">
        <f>Tabel24256789101112131415171618192120222326141518[[#This Row],[Verbruik licht bruisend liter deze maand]]/0.15</f>
        <v>135.33333333333303</v>
      </c>
      <c r="AT35" s="53">
        <v>6773.5</v>
      </c>
      <c r="AU35">
        <f>juni2025!AT35</f>
        <v>6587.6</v>
      </c>
      <c r="AV35">
        <f>Tabel24256789101112131415171618192120222326141518[[#This Row],[Stand heet water liter einde maand]]-Tabel24256789101112131415171618192120222326141518[[#This Row],[Stand heet water liter vorige maand]]</f>
        <v>185.89999999999964</v>
      </c>
      <c r="AW35" s="2">
        <f>Tabel24256789101112131415171618192120222326141518[[#This Row],[Verbruik heet Water liter deze maand ]]/0.15</f>
        <v>1239.333333333331</v>
      </c>
      <c r="AX35" s="77">
        <f>Tabel24256789101112131415171618192120222326141518[[#This Row],[Aantal consumpties heet water deze maand]]+Tabel24256789101112131415171618192120222326141518[[#This Row],[Aantal consumpties licht bruisend water deze maand]]+Tabel24256789101112131415171618192120222326141518[[#This Row],[aantal consumpties Bruisend water deze maand]]+Tabel24256789101112131415171618192120222326141518[[#This Row],[Aantal consumpties gekoeld water deze maand]]+Tabel24256789101112131415171618192120222326141518[[#This Row],[Aantal consumpties Kamertemp deze maand]]</f>
        <v>2242.6666666666638</v>
      </c>
      <c r="AY35" s="95">
        <f>Tabel24256789101112131415171618192120222326141518[[#This Row],[Subtotaal waterbar in consumpties]]+Tabel24256789101112131415171618192120222326141518[[#This Row],[Subtotaal koffieautomaten]]</f>
        <v>2888.6666666666638</v>
      </c>
    </row>
    <row r="36" spans="1:130" ht="14.45" customHeight="1" x14ac:dyDescent="0.25">
      <c r="A36" s="65" t="s">
        <v>54</v>
      </c>
      <c r="B36" t="s">
        <v>84</v>
      </c>
      <c r="C36" t="s">
        <v>31</v>
      </c>
      <c r="E36">
        <v>14539</v>
      </c>
      <c r="F36">
        <f>juni2025!E36</f>
        <v>13913</v>
      </c>
      <c r="G36">
        <f>Tabel24256789101112131415171618192120222326141518[[#This Row],[Stand Coffee einde maand]]-Tabel24256789101112131415171618192120222326141518[[#This Row],[Coffee vorige maand]]</f>
        <v>626</v>
      </c>
      <c r="H36" s="53">
        <v>2504</v>
      </c>
      <c r="I36">
        <f>juni2025!H36</f>
        <v>2357</v>
      </c>
      <c r="J36">
        <f>Tabel24256789101112131415171618192120222326141518[[#This Row],[Stand Espresso Einde maand]]-Tabel24256789101112131415171618192120222326141518[[#This Row],[Espresso vorige maand]]</f>
        <v>147</v>
      </c>
      <c r="K36" s="53">
        <v>1350</v>
      </c>
      <c r="L36">
        <f>juni2025!K36</f>
        <v>1320</v>
      </c>
      <c r="M36">
        <f>Tabel24256789101112131415171618192120222326141518[[#This Row],[Stand Latte Macchiato einde maand]]-Tabel24256789101112131415171618192120222326141518[[#This Row],[Latte Macchiato vorige maand]]</f>
        <v>30</v>
      </c>
      <c r="N36" s="53">
        <v>460</v>
      </c>
      <c r="O36">
        <f>juni2025!N36</f>
        <v>435</v>
      </c>
      <c r="P36">
        <f>Tabel24256789101112131415171618192120222326141518[[#This Row],[Stand Coffee Latte einde maand]]-Tabel24256789101112131415171618192120222326141518[[#This Row],[Coffee Latte vorige maand]]</f>
        <v>25</v>
      </c>
      <c r="Q36" s="53">
        <v>20393</v>
      </c>
      <c r="R36">
        <f>juni2025!Q36</f>
        <v>19691</v>
      </c>
      <c r="S36">
        <f>Tabel24256789101112131415171618192120222326141518[[#This Row],[Stand Hot Water einde maand]]-Tabel24256789101112131415171618192120222326141518[[#This Row],[Hot Water vorige maand]]</f>
        <v>702</v>
      </c>
      <c r="T36" s="53">
        <v>4866</v>
      </c>
      <c r="U36">
        <f>juni2025!T36</f>
        <v>4627</v>
      </c>
      <c r="V36">
        <f>Tabel24256789101112131415171618192120222326141518[[#This Row],[Stand Cappucino einde maand]]-Tabel24256789101112131415171618192120222326141518[[#This Row],[Stand Cappucino vorige maand]]</f>
        <v>239</v>
      </c>
      <c r="W36" s="53">
        <v>660</v>
      </c>
      <c r="X36">
        <f>juni2025!W36</f>
        <v>644</v>
      </c>
      <c r="Y36">
        <f>Tabel24256789101112131415171618192120222326141518[[#This Row],[Stand Cappucino Plantaardig einde maand]]-Tabel24256789101112131415171618192120222326141518[[#This Row],[Stand Cappucino Plantaardig vorige maand]]</f>
        <v>16</v>
      </c>
      <c r="Z36" s="53">
        <v>960</v>
      </c>
      <c r="AA36">
        <f>juni2025!Z36</f>
        <v>918</v>
      </c>
      <c r="AB36">
        <f>Tabel24256789101112131415171618192120222326141518[[#This Row],[Stand Latte Macchiato Plantaardig einde maand]]-Tabel24256789101112131415171618192120222326141518[[#This Row],[Stand Latte Macchiato Plantaardig vorige maand]]</f>
        <v>42</v>
      </c>
      <c r="AC36" s="71">
        <f>Tabel24256789101112131415171618192120222326141518[[#This Row],[Verbruik Stand Latte Macchiato Plantaardig deze maand]]+Tabel24256789101112131415171618192120222326141518[[#This Row],[Verbruik  Cappucino Plantaardig deze maand]]+Tabel24256789101112131415171618192120222326141518[[#This Row],[Verbruik Cappucino deze maand]]+Tabel24256789101112131415171618192120222326141518[[#This Row],[Verbruik Hot Water deze maand]]+Tabel24256789101112131415171618192120222326141518[[#This Row],[Verbruik Coffee Latte deze maand]]+Tabel24256789101112131415171618192120222326141518[[#This Row],[Verbruik Latte Macchiato deze maand]]+Tabel24256789101112131415171618192120222326141518[[#This Row],[Verbruik Espresso deze maand]]+Tabel24256789101112131415171618192120222326141518[[#This Row],[Verbruik Coffee deze maand]]</f>
        <v>1827</v>
      </c>
      <c r="AD36" s="69"/>
      <c r="AE36" s="41"/>
      <c r="AF36" s="5"/>
      <c r="AG36" s="5"/>
      <c r="AH36" s="75"/>
      <c r="AI36" s="41"/>
      <c r="AJ36" s="5"/>
      <c r="AK36" s="5"/>
      <c r="AL36" s="75"/>
      <c r="AM36" s="41"/>
      <c r="AN36" s="5"/>
      <c r="AO36" s="5"/>
      <c r="AP36" s="75"/>
      <c r="AQ36" s="41"/>
      <c r="AR36" s="5"/>
      <c r="AS36" s="5"/>
      <c r="AT36" s="75"/>
      <c r="AU36" s="41"/>
      <c r="AV36" s="5"/>
      <c r="AW36" s="5"/>
      <c r="AX36" s="79"/>
      <c r="AY36" s="95">
        <f>Tabel24256789101112131415171618192120222326141518[[#This Row],[Subtotaal waterbar in consumpties]]+Tabel24256789101112131415171618192120222326141518[[#This Row],[Subtotaal koffieautomaten]]</f>
        <v>1827</v>
      </c>
    </row>
    <row r="37" spans="1:130" ht="14.45" customHeight="1" x14ac:dyDescent="0.25">
      <c r="A37" s="65" t="s">
        <v>56</v>
      </c>
      <c r="B37" t="s">
        <v>85</v>
      </c>
      <c r="C37" t="s">
        <v>36</v>
      </c>
      <c r="E37" s="46"/>
      <c r="F37" s="46"/>
      <c r="G37" s="47"/>
      <c r="H37" s="54"/>
      <c r="I37" s="46"/>
      <c r="J37" s="47"/>
      <c r="K37" s="54"/>
      <c r="L37" s="46"/>
      <c r="M37" s="47"/>
      <c r="N37" s="54"/>
      <c r="O37" s="46"/>
      <c r="P37" s="47"/>
      <c r="Q37" s="54"/>
      <c r="R37" s="46"/>
      <c r="S37" s="47"/>
      <c r="T37" s="54"/>
      <c r="U37" s="46"/>
      <c r="V37" s="47"/>
      <c r="W37" s="54"/>
      <c r="X37" s="46"/>
      <c r="Y37" s="47"/>
      <c r="Z37" s="54"/>
      <c r="AA37" s="46"/>
      <c r="AB37" s="47"/>
      <c r="AC37" s="72"/>
      <c r="AD37" s="53">
        <v>161.30000000000001</v>
      </c>
      <c r="AE37">
        <f>juni2025!AD37</f>
        <v>149.30000000000001</v>
      </c>
      <c r="AF37">
        <f>Tabel24256789101112131415171618192120222326141518[[#This Row],[Stand Kamertemp liter einde maand]]-Tabel24256789101112131415171618192120222326141518[[#This Row],[Stand Kamertemp liter vorige maand]]</f>
        <v>12</v>
      </c>
      <c r="AG37" s="2">
        <f>Tabel24256789101112131415171618192120222326141518[[#This Row],[Verbruik Kamertemp liter deze maand]]/0.15</f>
        <v>80</v>
      </c>
      <c r="AH37" s="53">
        <v>891.2</v>
      </c>
      <c r="AI37">
        <f>juni2025!AH37</f>
        <v>802.6</v>
      </c>
      <c r="AJ37">
        <f>Tabel24256789101112131415171618192120222326141518[[#This Row],[Stand Gekoeld liter einde maand]]-Tabel24256789101112131415171618192120222326141518[[#This Row],[Stand Gekoeld liter vorige maand]]</f>
        <v>88.600000000000023</v>
      </c>
      <c r="AK37" s="2">
        <f>Tabel24256789101112131415171618192120222326141518[[#This Row],[Verbruik Gekoeld liter deze maand]]/0.15</f>
        <v>590.66666666666686</v>
      </c>
      <c r="AL37" s="53">
        <v>658.8</v>
      </c>
      <c r="AM37">
        <f>juni2025!AL37</f>
        <v>597.70000000000005</v>
      </c>
      <c r="AN37">
        <f>Tabel24256789101112131415171618192120222326141518[[#This Row],[Stand Bruisend liter einde maand]]-Tabel24256789101112131415171618192120222326141518[[#This Row],[Stand Bruisend liter vorige maand]]</f>
        <v>61.099999999999909</v>
      </c>
      <c r="AO37" s="2">
        <f>Tabel24256789101112131415171618192120222326141518[[#This Row],[Verbruik Bruisend liter deze maand]]/0.15</f>
        <v>407.33333333333275</v>
      </c>
      <c r="AP37" s="53">
        <v>351.5</v>
      </c>
      <c r="AQ37">
        <f>juni2025!AP37</f>
        <v>327.60000000000002</v>
      </c>
      <c r="AR37">
        <f>Tabel24256789101112131415171618192120222326141518[[#This Row],[Stand licht bruisend liter einde maand]]-Tabel24256789101112131415171618192120222326141518[[#This Row],[Stand licht bruisend liter vorige maand]]</f>
        <v>23.899999999999977</v>
      </c>
      <c r="AS37" s="2">
        <f>Tabel24256789101112131415171618192120222326141518[[#This Row],[Verbruik licht bruisend liter deze maand]]/0.15</f>
        <v>159.3333333333332</v>
      </c>
      <c r="AT37" s="53">
        <v>2578.6</v>
      </c>
      <c r="AU37">
        <f>juni2025!AT37</f>
        <v>2472.8000000000002</v>
      </c>
      <c r="AV37">
        <f>Tabel24256789101112131415171618192120222326141518[[#This Row],[Stand heet water liter einde maand]]-Tabel24256789101112131415171618192120222326141518[[#This Row],[Stand heet water liter vorige maand]]</f>
        <v>105.79999999999973</v>
      </c>
      <c r="AW37" s="2">
        <f>Tabel24256789101112131415171618192120222326141518[[#This Row],[Verbruik heet Water liter deze maand ]]/0.15</f>
        <v>705.33333333333155</v>
      </c>
      <c r="AX37" s="77">
        <f>Tabel24256789101112131415171618192120222326141518[[#This Row],[Aantal consumpties heet water deze maand]]+Tabel24256789101112131415171618192120222326141518[[#This Row],[Aantal consumpties licht bruisend water deze maand]]+Tabel24256789101112131415171618192120222326141518[[#This Row],[aantal consumpties Bruisend water deze maand]]+Tabel24256789101112131415171618192120222326141518[[#This Row],[Aantal consumpties gekoeld water deze maand]]+Tabel24256789101112131415171618192120222326141518[[#This Row],[Aantal consumpties Kamertemp deze maand]]</f>
        <v>1942.6666666666642</v>
      </c>
      <c r="AY37" s="95">
        <f>Tabel24256789101112131415171618192120222326141518[[#This Row],[Subtotaal waterbar in consumpties]]+Tabel24256789101112131415171618192120222326141518[[#This Row],[Subtotaal koffieautomaten]]</f>
        <v>1942.6666666666642</v>
      </c>
    </row>
    <row r="38" spans="1:130" ht="14.45" customHeight="1" x14ac:dyDescent="0.25">
      <c r="A38" s="65" t="s">
        <v>58</v>
      </c>
      <c r="B38" t="s">
        <v>86</v>
      </c>
      <c r="C38" t="s">
        <v>47</v>
      </c>
      <c r="E38">
        <v>13388</v>
      </c>
      <c r="F38">
        <f>juni2025!E38</f>
        <v>12920</v>
      </c>
      <c r="G38">
        <f>Tabel24256789101112131415171618192120222326141518[[#This Row],[Stand Coffee einde maand]]-Tabel24256789101112131415171618192120222326141518[[#This Row],[Coffee vorige maand]]</f>
        <v>468</v>
      </c>
      <c r="H38" s="53">
        <v>3794</v>
      </c>
      <c r="I38">
        <f>juni2025!H38</f>
        <v>3686</v>
      </c>
      <c r="J38">
        <f>Tabel24256789101112131415171618192120222326141518[[#This Row],[Stand Espresso Einde maand]]-Tabel24256789101112131415171618192120222326141518[[#This Row],[Espresso vorige maand]]</f>
        <v>108</v>
      </c>
      <c r="K38" s="53">
        <v>2316</v>
      </c>
      <c r="L38">
        <f>juni2025!K38</f>
        <v>2228</v>
      </c>
      <c r="M38">
        <f>Tabel24256789101112131415171618192120222326141518[[#This Row],[Stand Latte Macchiato einde maand]]-Tabel24256789101112131415171618192120222326141518[[#This Row],[Latte Macchiato vorige maand]]</f>
        <v>88</v>
      </c>
      <c r="N38" s="53">
        <v>1123</v>
      </c>
      <c r="O38">
        <f>juni2025!N38</f>
        <v>1087</v>
      </c>
      <c r="P38">
        <f>Tabel24256789101112131415171618192120222326141518[[#This Row],[Stand Coffee Latte einde maand]]-Tabel24256789101112131415171618192120222326141518[[#This Row],[Coffee Latte vorige maand]]</f>
        <v>36</v>
      </c>
      <c r="Q38" s="53">
        <v>1493</v>
      </c>
      <c r="R38">
        <f>juni2025!Q38</f>
        <v>1354</v>
      </c>
      <c r="S38">
        <f>Tabel24256789101112131415171618192120222326141518[[#This Row],[Stand Hot Water einde maand]]-Tabel24256789101112131415171618192120222326141518[[#This Row],[Hot Water vorige maand]]</f>
        <v>139</v>
      </c>
      <c r="T38" s="53">
        <v>6890</v>
      </c>
      <c r="U38">
        <f>juni2025!T38</f>
        <v>6709</v>
      </c>
      <c r="V38">
        <f>Tabel24256789101112131415171618192120222326141518[[#This Row],[Stand Cappucino einde maand]]-Tabel24256789101112131415171618192120222326141518[[#This Row],[Stand Cappucino vorige maand]]</f>
        <v>181</v>
      </c>
      <c r="W38" s="53">
        <v>1051</v>
      </c>
      <c r="X38">
        <f>juni2025!W38</f>
        <v>1023</v>
      </c>
      <c r="Y38">
        <f>Tabel24256789101112131415171618192120222326141518[[#This Row],[Stand Cappucino Plantaardig einde maand]]-Tabel24256789101112131415171618192120222326141518[[#This Row],[Stand Cappucino Plantaardig vorige maand]]</f>
        <v>28</v>
      </c>
      <c r="Z38" s="53">
        <v>810</v>
      </c>
      <c r="AA38">
        <f>juni2025!Z38</f>
        <v>807</v>
      </c>
      <c r="AB38">
        <f>Tabel24256789101112131415171618192120222326141518[[#This Row],[Stand Latte Macchiato Plantaardig einde maand]]-Tabel24256789101112131415171618192120222326141518[[#This Row],[Stand Latte Macchiato Plantaardig vorige maand]]</f>
        <v>3</v>
      </c>
      <c r="AC38" s="71">
        <f>Tabel24256789101112131415171618192120222326141518[[#This Row],[Verbruik Stand Latte Macchiato Plantaardig deze maand]]+Tabel24256789101112131415171618192120222326141518[[#This Row],[Verbruik  Cappucino Plantaardig deze maand]]+Tabel24256789101112131415171618192120222326141518[[#This Row],[Verbruik Cappucino deze maand]]+Tabel24256789101112131415171618192120222326141518[[#This Row],[Verbruik Hot Water deze maand]]+Tabel24256789101112131415171618192120222326141518[[#This Row],[Verbruik Coffee Latte deze maand]]+Tabel24256789101112131415171618192120222326141518[[#This Row],[Verbruik Latte Macchiato deze maand]]+Tabel24256789101112131415171618192120222326141518[[#This Row],[Verbruik Espresso deze maand]]+Tabel24256789101112131415171618192120222326141518[[#This Row],[Verbruik Coffee deze maand]]</f>
        <v>1051</v>
      </c>
      <c r="AD38" s="53">
        <v>138.1</v>
      </c>
      <c r="AE38">
        <f>juni2025!AD38</f>
        <v>125.7</v>
      </c>
      <c r="AF38">
        <f>Tabel24256789101112131415171618192120222326141518[[#This Row],[Stand Kamertemp liter einde maand]]-Tabel24256789101112131415171618192120222326141518[[#This Row],[Stand Kamertemp liter vorige maand]]</f>
        <v>12.399999999999991</v>
      </c>
      <c r="AG38" s="2">
        <f>Tabel24256789101112131415171618192120222326141518[[#This Row],[Verbruik Kamertemp liter deze maand]]/0.15</f>
        <v>82.666666666666615</v>
      </c>
      <c r="AH38" s="53">
        <v>717.1</v>
      </c>
      <c r="AI38">
        <f>juni2025!AH38</f>
        <v>629.4</v>
      </c>
      <c r="AJ38">
        <f>Tabel24256789101112131415171618192120222326141518[[#This Row],[Stand Gekoeld liter einde maand]]-Tabel24256789101112131415171618192120222326141518[[#This Row],[Stand Gekoeld liter vorige maand]]</f>
        <v>87.700000000000045</v>
      </c>
      <c r="AK38" s="2">
        <f>Tabel24256789101112131415171618192120222326141518[[#This Row],[Verbruik Gekoeld liter deze maand]]/0.15</f>
        <v>584.66666666666697</v>
      </c>
      <c r="AL38" s="53">
        <v>596.1</v>
      </c>
      <c r="AM38">
        <f>juni2025!AL38</f>
        <v>528.9</v>
      </c>
      <c r="AN38">
        <f>Tabel24256789101112131415171618192120222326141518[[#This Row],[Stand Bruisend liter einde maand]]-Tabel24256789101112131415171618192120222326141518[[#This Row],[Stand Bruisend liter vorige maand]]</f>
        <v>67.200000000000045</v>
      </c>
      <c r="AO38" s="2">
        <f>Tabel24256789101112131415171618192120222326141518[[#This Row],[Verbruik Bruisend liter deze maand]]/0.15</f>
        <v>448.00000000000034</v>
      </c>
      <c r="AP38" s="53">
        <v>169</v>
      </c>
      <c r="AQ38">
        <f>juni2025!AP38</f>
        <v>152.5</v>
      </c>
      <c r="AR38">
        <f>Tabel24256789101112131415171618192120222326141518[[#This Row],[Stand licht bruisend liter einde maand]]-Tabel24256789101112131415171618192120222326141518[[#This Row],[Stand licht bruisend liter vorige maand]]</f>
        <v>16.5</v>
      </c>
      <c r="AS38" s="2">
        <f>Tabel24256789101112131415171618192120222326141518[[#This Row],[Verbruik licht bruisend liter deze maand]]/0.15</f>
        <v>110</v>
      </c>
      <c r="AT38" s="53">
        <v>2153.1999999999998</v>
      </c>
      <c r="AU38">
        <f>juni2025!AT38</f>
        <v>1989.7</v>
      </c>
      <c r="AV38">
        <f>Tabel24256789101112131415171618192120222326141518[[#This Row],[Stand heet water liter einde maand]]-Tabel24256789101112131415171618192120222326141518[[#This Row],[Stand heet water liter vorige maand]]</f>
        <v>163.49999999999977</v>
      </c>
      <c r="AW38" s="2">
        <f>Tabel24256789101112131415171618192120222326141518[[#This Row],[Verbruik heet Water liter deze maand ]]/0.15</f>
        <v>1089.9999999999986</v>
      </c>
      <c r="AX38" s="77">
        <f>Tabel24256789101112131415171618192120222326141518[[#This Row],[Aantal consumpties heet water deze maand]]+Tabel24256789101112131415171618192120222326141518[[#This Row],[Aantal consumpties licht bruisend water deze maand]]+Tabel24256789101112131415171618192120222326141518[[#This Row],[aantal consumpties Bruisend water deze maand]]+Tabel24256789101112131415171618192120222326141518[[#This Row],[Aantal consumpties gekoeld water deze maand]]+Tabel24256789101112131415171618192120222326141518[[#This Row],[Aantal consumpties Kamertemp deze maand]]</f>
        <v>2315.3333333333326</v>
      </c>
      <c r="AY38" s="95">
        <f>Tabel24256789101112131415171618192120222326141518[[#This Row],[Subtotaal waterbar in consumpties]]+Tabel24256789101112131415171618192120222326141518[[#This Row],[Subtotaal koffieautomaten]]</f>
        <v>3366.3333333333326</v>
      </c>
    </row>
    <row r="39" spans="1:130" ht="14.45" customHeight="1" x14ac:dyDescent="0.25">
      <c r="A39" s="65" t="s">
        <v>60</v>
      </c>
      <c r="B39" t="s">
        <v>87</v>
      </c>
      <c r="C39" t="s">
        <v>31</v>
      </c>
      <c r="E39">
        <v>7479</v>
      </c>
      <c r="F39">
        <f>juni2025!E39</f>
        <v>7180</v>
      </c>
      <c r="G39">
        <f>Tabel24256789101112131415171618192120222326141518[[#This Row],[Stand Coffee einde maand]]-Tabel24256789101112131415171618192120222326141518[[#This Row],[Coffee vorige maand]]</f>
        <v>299</v>
      </c>
      <c r="H39" s="53">
        <v>1081</v>
      </c>
      <c r="I39">
        <f>juni2025!H39</f>
        <v>1068</v>
      </c>
      <c r="J39">
        <f>Tabel24256789101112131415171618192120222326141518[[#This Row],[Stand Espresso Einde maand]]-Tabel24256789101112131415171618192120222326141518[[#This Row],[Espresso vorige maand]]</f>
        <v>13</v>
      </c>
      <c r="K39" s="53">
        <v>711</v>
      </c>
      <c r="L39">
        <f>juni2025!K39</f>
        <v>707</v>
      </c>
      <c r="M39">
        <f>Tabel24256789101112131415171618192120222326141518[[#This Row],[Stand Latte Macchiato einde maand]]-Tabel24256789101112131415171618192120222326141518[[#This Row],[Latte Macchiato vorige maand]]</f>
        <v>4</v>
      </c>
      <c r="N39" s="53">
        <v>887</v>
      </c>
      <c r="O39">
        <f>juni2025!N39</f>
        <v>859</v>
      </c>
      <c r="P39">
        <f>Tabel24256789101112131415171618192120222326141518[[#This Row],[Stand Coffee Latte einde maand]]-Tabel24256789101112131415171618192120222326141518[[#This Row],[Coffee Latte vorige maand]]</f>
        <v>28</v>
      </c>
      <c r="Q39" s="53">
        <v>19580</v>
      </c>
      <c r="R39">
        <f>juni2025!Q39</f>
        <v>18989</v>
      </c>
      <c r="S39">
        <f>Tabel24256789101112131415171618192120222326141518[[#This Row],[Stand Hot Water einde maand]]-Tabel24256789101112131415171618192120222326141518[[#This Row],[Hot Water vorige maand]]</f>
        <v>591</v>
      </c>
      <c r="T39" s="53">
        <v>4649</v>
      </c>
      <c r="U39">
        <f>juni2025!T39</f>
        <v>4499</v>
      </c>
      <c r="V39">
        <f>Tabel24256789101112131415171618192120222326141518[[#This Row],[Stand Cappucino einde maand]]-Tabel24256789101112131415171618192120222326141518[[#This Row],[Stand Cappucino vorige maand]]</f>
        <v>150</v>
      </c>
      <c r="W39" s="53">
        <v>367</v>
      </c>
      <c r="X39">
        <f>juni2025!W39</f>
        <v>360</v>
      </c>
      <c r="Y39">
        <f>Tabel24256789101112131415171618192120222326141518[[#This Row],[Stand Cappucino Plantaardig einde maand]]-Tabel24256789101112131415171618192120222326141518[[#This Row],[Stand Cappucino Plantaardig vorige maand]]</f>
        <v>7</v>
      </c>
      <c r="Z39" s="53">
        <v>244</v>
      </c>
      <c r="AA39">
        <f>juni2025!Z39</f>
        <v>237</v>
      </c>
      <c r="AB39">
        <f>Tabel24256789101112131415171618192120222326141518[[#This Row],[Stand Latte Macchiato Plantaardig einde maand]]-Tabel24256789101112131415171618192120222326141518[[#This Row],[Stand Latte Macchiato Plantaardig vorige maand]]</f>
        <v>7</v>
      </c>
      <c r="AC39" s="71">
        <f>Tabel24256789101112131415171618192120222326141518[[#This Row],[Verbruik Stand Latte Macchiato Plantaardig deze maand]]+Tabel24256789101112131415171618192120222326141518[[#This Row],[Verbruik  Cappucino Plantaardig deze maand]]+Tabel24256789101112131415171618192120222326141518[[#This Row],[Verbruik Cappucino deze maand]]+Tabel24256789101112131415171618192120222326141518[[#This Row],[Verbruik Hot Water deze maand]]+Tabel24256789101112131415171618192120222326141518[[#This Row],[Verbruik Coffee Latte deze maand]]+Tabel24256789101112131415171618192120222326141518[[#This Row],[Verbruik Latte Macchiato deze maand]]+Tabel24256789101112131415171618192120222326141518[[#This Row],[Verbruik Espresso deze maand]]+Tabel24256789101112131415171618192120222326141518[[#This Row],[Verbruik Coffee deze maand]]</f>
        <v>1099</v>
      </c>
      <c r="AD39" s="69"/>
      <c r="AE39" s="41"/>
      <c r="AF39" s="5"/>
      <c r="AG39" s="5"/>
      <c r="AH39" s="75"/>
      <c r="AI39" s="41"/>
      <c r="AJ39" s="5"/>
      <c r="AK39" s="5"/>
      <c r="AL39" s="75"/>
      <c r="AM39" s="41"/>
      <c r="AN39" s="5"/>
      <c r="AO39" s="5"/>
      <c r="AP39" s="75"/>
      <c r="AQ39" s="41"/>
      <c r="AR39" s="5"/>
      <c r="AS39" s="5"/>
      <c r="AT39" s="75"/>
      <c r="AU39" s="41"/>
      <c r="AV39" s="5"/>
      <c r="AW39" s="5"/>
      <c r="AX39" s="79"/>
      <c r="AY39" s="95">
        <f>Tabel24256789101112131415171618192120222326141518[[#This Row],[Subtotaal waterbar in consumpties]]+Tabel24256789101112131415171618192120222326141518[[#This Row],[Subtotaal koffieautomaten]]</f>
        <v>1099</v>
      </c>
    </row>
    <row r="40" spans="1:130" s="81" customFormat="1" ht="14.45" customHeight="1" x14ac:dyDescent="0.25">
      <c r="A40" s="80" t="s">
        <v>88</v>
      </c>
      <c r="D40" s="82"/>
      <c r="H40" s="86"/>
      <c r="K40" s="86"/>
      <c r="N40" s="86"/>
      <c r="Q40" s="86"/>
      <c r="T40" s="86"/>
      <c r="W40" s="86"/>
      <c r="Z40" s="86"/>
      <c r="AC40" s="85"/>
      <c r="AD40" s="86"/>
      <c r="AG40" s="87"/>
      <c r="AH40" s="86"/>
      <c r="AK40" s="87"/>
      <c r="AL40" s="86"/>
      <c r="AO40" s="87"/>
      <c r="AP40" s="86"/>
      <c r="AS40" s="87"/>
      <c r="AT40" s="86"/>
      <c r="AW40" s="87"/>
      <c r="AX40" s="88"/>
      <c r="AY40" s="94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</row>
    <row r="41" spans="1:130" ht="14.45" customHeight="1" x14ac:dyDescent="0.25">
      <c r="A41" s="65" t="s">
        <v>39</v>
      </c>
      <c r="B41" t="s">
        <v>89</v>
      </c>
      <c r="C41" t="s">
        <v>47</v>
      </c>
      <c r="E41">
        <v>10362</v>
      </c>
      <c r="F41">
        <f>juni2025!E41</f>
        <v>9539</v>
      </c>
      <c r="G41" s="40">
        <f>Tabel24256789101112131415171618192120222326141518[[#This Row],[Stand Coffee einde maand]]-Tabel24256789101112131415171618192120222326141518[[#This Row],[Coffee vorige maand]]</f>
        <v>823</v>
      </c>
      <c r="H41" s="53">
        <v>2501</v>
      </c>
      <c r="I41">
        <f>juni2025!H41</f>
        <v>2317</v>
      </c>
      <c r="J41" s="40">
        <f>Tabel24256789101112131415171618192120222326141518[[#This Row],[Stand Espresso Einde maand]]-Tabel24256789101112131415171618192120222326141518[[#This Row],[Espresso vorige maand]]</f>
        <v>184</v>
      </c>
      <c r="K41" s="53">
        <v>1315</v>
      </c>
      <c r="L41">
        <f>juni2025!K41</f>
        <v>1204</v>
      </c>
      <c r="M41" s="40">
        <f>Tabel24256789101112131415171618192120222326141518[[#This Row],[Stand Latte Macchiato einde maand]]-Tabel24256789101112131415171618192120222326141518[[#This Row],[Latte Macchiato vorige maand]]</f>
        <v>111</v>
      </c>
      <c r="N41" s="53">
        <v>655</v>
      </c>
      <c r="O41">
        <f>juni2025!N41</f>
        <v>633</v>
      </c>
      <c r="P41" s="40">
        <f>Tabel24256789101112131415171618192120222326141518[[#This Row],[Stand Coffee Latte einde maand]]-Tabel24256789101112131415171618192120222326141518[[#This Row],[Coffee Latte vorige maand]]</f>
        <v>22</v>
      </c>
      <c r="Q41" s="53">
        <v>4374</v>
      </c>
      <c r="R41">
        <f>juni2025!Q41</f>
        <v>4193</v>
      </c>
      <c r="S41" s="40">
        <f>Tabel24256789101112131415171618192120222326141518[[#This Row],[Stand Hot Water einde maand]]-Tabel24256789101112131415171618192120222326141518[[#This Row],[Hot Water vorige maand]]</f>
        <v>181</v>
      </c>
      <c r="T41" s="53">
        <v>7457</v>
      </c>
      <c r="U41">
        <f>juni2025!T41</f>
        <v>7050</v>
      </c>
      <c r="V41" s="40">
        <f>Tabel24256789101112131415171618192120222326141518[[#This Row],[Stand Cappucino einde maand]]-Tabel24256789101112131415171618192120222326141518[[#This Row],[Stand Cappucino vorige maand]]</f>
        <v>407</v>
      </c>
      <c r="W41" s="53">
        <v>659</v>
      </c>
      <c r="X41">
        <f>juni2025!W41</f>
        <v>618</v>
      </c>
      <c r="Y41" s="40">
        <f>Tabel24256789101112131415171618192120222326141518[[#This Row],[Stand Cappucino Plantaardig einde maand]]-Tabel24256789101112131415171618192120222326141518[[#This Row],[Stand Cappucino Plantaardig vorige maand]]</f>
        <v>41</v>
      </c>
      <c r="Z41" s="53">
        <v>218</v>
      </c>
      <c r="AA41">
        <f>juni2025!Z41</f>
        <v>210</v>
      </c>
      <c r="AB41" s="40">
        <f>Tabel24256789101112131415171618192120222326141518[[#This Row],[Stand Latte Macchiato Plantaardig einde maand]]-Tabel24256789101112131415171618192120222326141518[[#This Row],[Stand Latte Macchiato Plantaardig vorige maand]]</f>
        <v>8</v>
      </c>
      <c r="AC41" s="73">
        <f>Tabel24256789101112131415171618192120222326141518[[#This Row],[Verbruik Stand Latte Macchiato Plantaardig deze maand]]+Tabel24256789101112131415171618192120222326141518[[#This Row],[Verbruik  Cappucino Plantaardig deze maand]]+Tabel24256789101112131415171618192120222326141518[[#This Row],[Verbruik Cappucino deze maand]]+Tabel24256789101112131415171618192120222326141518[[#This Row],[Verbruik Hot Water deze maand]]+Tabel24256789101112131415171618192120222326141518[[#This Row],[Verbruik Coffee Latte deze maand]]+Tabel24256789101112131415171618192120222326141518[[#This Row],[Verbruik Latte Macchiato deze maand]]+Tabel24256789101112131415171618192120222326141518[[#This Row],[Verbruik Espresso deze maand]]+Tabel24256789101112131415171618192120222326141518[[#This Row],[Verbruik Coffee deze maand]]</f>
        <v>1777</v>
      </c>
      <c r="AD41" s="53">
        <v>220.8</v>
      </c>
      <c r="AE41">
        <f>juni2025!AD41</f>
        <v>198.2</v>
      </c>
      <c r="AF41">
        <f>Tabel24256789101112131415171618192120222326141518[[#This Row],[Stand Kamertemp liter einde maand]]-Tabel24256789101112131415171618192120222326141518[[#This Row],[Stand Kamertemp liter vorige maand]]</f>
        <v>22.600000000000023</v>
      </c>
      <c r="AG41" s="2">
        <f>Tabel24256789101112131415171618192120222326141518[[#This Row],[Verbruik Kamertemp liter deze maand]]/0.15</f>
        <v>150.66666666666683</v>
      </c>
      <c r="AH41" s="53">
        <v>1526.7</v>
      </c>
      <c r="AI41">
        <f>juni2025!AH41</f>
        <v>1363.4</v>
      </c>
      <c r="AJ41">
        <f>Tabel24256789101112131415171618192120222326141518[[#This Row],[Stand Gekoeld liter einde maand]]-Tabel24256789101112131415171618192120222326141518[[#This Row],[Stand Gekoeld liter vorige maand]]</f>
        <v>163.29999999999995</v>
      </c>
      <c r="AK41" s="2">
        <f>Tabel24256789101112131415171618192120222326141518[[#This Row],[Verbruik Gekoeld liter deze maand]]/0.15</f>
        <v>1088.6666666666665</v>
      </c>
      <c r="AL41" s="53">
        <v>655.6</v>
      </c>
      <c r="AM41">
        <f>juni2025!AL41</f>
        <v>576.29999999999995</v>
      </c>
      <c r="AN41">
        <f>Tabel24256789101112131415171618192120222326141518[[#This Row],[Stand Bruisend liter einde maand]]-Tabel24256789101112131415171618192120222326141518[[#This Row],[Stand Bruisend liter vorige maand]]</f>
        <v>79.300000000000068</v>
      </c>
      <c r="AO41" s="2">
        <f>Tabel24256789101112131415171618192120222326141518[[#This Row],[Verbruik Bruisend liter deze maand]]/0.15</f>
        <v>528.6666666666672</v>
      </c>
      <c r="AP41" s="53">
        <v>235.8</v>
      </c>
      <c r="AQ41">
        <f>juni2025!AP41</f>
        <v>208.8</v>
      </c>
      <c r="AR41">
        <f>Tabel24256789101112131415171618192120222326141518[[#This Row],[Stand licht bruisend liter einde maand]]-Tabel24256789101112131415171618192120222326141518[[#This Row],[Stand licht bruisend liter vorige maand]]</f>
        <v>27</v>
      </c>
      <c r="AS41" s="2">
        <f>Tabel24256789101112131415171618192120222326141518[[#This Row],[Verbruik licht bruisend liter deze maand]]/0.15</f>
        <v>180</v>
      </c>
      <c r="AT41" s="53">
        <v>660.3</v>
      </c>
      <c r="AU41">
        <f>juni2025!AT41</f>
        <v>612.20000000000005</v>
      </c>
      <c r="AV41">
        <f>Tabel24256789101112131415171618192120222326141518[[#This Row],[Stand heet water liter einde maand]]-Tabel24256789101112131415171618192120222326141518[[#This Row],[Stand heet water liter vorige maand]]</f>
        <v>48.099999999999909</v>
      </c>
      <c r="AW41" s="2">
        <f>Tabel24256789101112131415171618192120222326141518[[#This Row],[Verbruik heet Water liter deze maand ]]/0.15</f>
        <v>320.66666666666606</v>
      </c>
      <c r="AX41" s="77">
        <f>Tabel24256789101112131415171618192120222326141518[[#This Row],[Aantal consumpties heet water deze maand]]+Tabel24256789101112131415171618192120222326141518[[#This Row],[Aantal consumpties licht bruisend water deze maand]]+Tabel24256789101112131415171618192120222326141518[[#This Row],[aantal consumpties Bruisend water deze maand]]+Tabel24256789101112131415171618192120222326141518[[#This Row],[Aantal consumpties gekoeld water deze maand]]+Tabel24256789101112131415171618192120222326141518[[#This Row],[Aantal consumpties Kamertemp deze maand]]</f>
        <v>2268.666666666667</v>
      </c>
      <c r="AY41" s="95">
        <f>Tabel24256789101112131415171618192120222326141518[[#This Row],[Subtotaal waterbar in consumpties]]+Tabel24256789101112131415171618192120222326141518[[#This Row],[Subtotaal koffieautomaten]]</f>
        <v>4045.666666666667</v>
      </c>
    </row>
    <row r="42" spans="1:130" ht="14.45" customHeight="1" x14ac:dyDescent="0.25">
      <c r="A42" s="65" t="s">
        <v>41</v>
      </c>
      <c r="B42" t="s">
        <v>90</v>
      </c>
      <c r="C42" t="s">
        <v>31</v>
      </c>
      <c r="E42">
        <v>14265</v>
      </c>
      <c r="F42">
        <f>juni2025!E42</f>
        <v>13999</v>
      </c>
      <c r="G42">
        <f>Tabel24256789101112131415171618192120222326141518[[#This Row],[Stand Coffee einde maand]]-Tabel24256789101112131415171618192120222326141518[[#This Row],[Coffee vorige maand]]</f>
        <v>266</v>
      </c>
      <c r="H42" s="53">
        <v>4763</v>
      </c>
      <c r="I42">
        <f>juni2025!H42</f>
        <v>4662</v>
      </c>
      <c r="J42">
        <f>Tabel24256789101112131415171618192120222326141518[[#This Row],[Stand Espresso Einde maand]]-Tabel24256789101112131415171618192120222326141518[[#This Row],[Espresso vorige maand]]</f>
        <v>101</v>
      </c>
      <c r="K42" s="53">
        <v>1215</v>
      </c>
      <c r="L42">
        <f>juni2025!K42</f>
        <v>1191</v>
      </c>
      <c r="M42">
        <f>Tabel24256789101112131415171618192120222326141518[[#This Row],[Stand Latte Macchiato einde maand]]-Tabel24256789101112131415171618192120222326141518[[#This Row],[Latte Macchiato vorige maand]]</f>
        <v>24</v>
      </c>
      <c r="N42" s="53">
        <v>2420</v>
      </c>
      <c r="O42">
        <f>juni2025!N42</f>
        <v>2393</v>
      </c>
      <c r="P42">
        <f>Tabel24256789101112131415171618192120222326141518[[#This Row],[Stand Coffee Latte einde maand]]-Tabel24256789101112131415171618192120222326141518[[#This Row],[Coffee Latte vorige maand]]</f>
        <v>27</v>
      </c>
      <c r="Q42" s="53">
        <v>43090</v>
      </c>
      <c r="R42">
        <f>juni2025!Q42</f>
        <v>42170</v>
      </c>
      <c r="S42">
        <f>Tabel24256789101112131415171618192120222326141518[[#This Row],[Stand Hot Water einde maand]]-Tabel24256789101112131415171618192120222326141518[[#This Row],[Hot Water vorige maand]]</f>
        <v>920</v>
      </c>
      <c r="T42" s="53">
        <v>6701</v>
      </c>
      <c r="U42">
        <f>juni2025!T42</f>
        <v>6492</v>
      </c>
      <c r="V42">
        <f>Tabel24256789101112131415171618192120222326141518[[#This Row],[Stand Cappucino einde maand]]-Tabel24256789101112131415171618192120222326141518[[#This Row],[Stand Cappucino vorige maand]]</f>
        <v>209</v>
      </c>
      <c r="W42" s="53">
        <v>495</v>
      </c>
      <c r="X42">
        <f>juni2025!W42</f>
        <v>491</v>
      </c>
      <c r="Y42">
        <f>Tabel24256789101112131415171618192120222326141518[[#This Row],[Stand Cappucino Plantaardig einde maand]]-Tabel24256789101112131415171618192120222326141518[[#This Row],[Stand Cappucino Plantaardig vorige maand]]</f>
        <v>4</v>
      </c>
      <c r="Z42" s="53">
        <v>477</v>
      </c>
      <c r="AA42">
        <f>juni2025!Z42</f>
        <v>463</v>
      </c>
      <c r="AB42">
        <f>Tabel24256789101112131415171618192120222326141518[[#This Row],[Stand Latte Macchiato Plantaardig einde maand]]-Tabel24256789101112131415171618192120222326141518[[#This Row],[Stand Latte Macchiato Plantaardig vorige maand]]</f>
        <v>14</v>
      </c>
      <c r="AC42" s="71">
        <f>Tabel24256789101112131415171618192120222326141518[[#This Row],[Verbruik Stand Latte Macchiato Plantaardig deze maand]]+Tabel24256789101112131415171618192120222326141518[[#This Row],[Verbruik  Cappucino Plantaardig deze maand]]+Tabel24256789101112131415171618192120222326141518[[#This Row],[Verbruik Cappucino deze maand]]+Tabel24256789101112131415171618192120222326141518[[#This Row],[Verbruik Hot Water deze maand]]+Tabel24256789101112131415171618192120222326141518[[#This Row],[Verbruik Coffee Latte deze maand]]+Tabel24256789101112131415171618192120222326141518[[#This Row],[Verbruik Latte Macchiato deze maand]]+Tabel24256789101112131415171618192120222326141518[[#This Row],[Verbruik Espresso deze maand]]+Tabel24256789101112131415171618192120222326141518[[#This Row],[Verbruik Coffee deze maand]]</f>
        <v>1565</v>
      </c>
      <c r="AD42" s="69"/>
      <c r="AE42" s="41"/>
      <c r="AF42" s="5"/>
      <c r="AG42" s="5"/>
      <c r="AH42" s="75"/>
      <c r="AI42" s="41"/>
      <c r="AJ42" s="5"/>
      <c r="AK42" s="5"/>
      <c r="AL42" s="75"/>
      <c r="AM42" s="41"/>
      <c r="AN42" s="5"/>
      <c r="AO42" s="5"/>
      <c r="AP42" s="75"/>
      <c r="AQ42" s="41"/>
      <c r="AR42" s="5"/>
      <c r="AS42" s="5"/>
      <c r="AT42" s="75"/>
      <c r="AU42" s="41"/>
      <c r="AV42" s="5"/>
      <c r="AW42" s="5"/>
      <c r="AX42" s="79"/>
      <c r="AY42" s="95">
        <f>Tabel24256789101112131415171618192120222326141518[[#This Row],[Subtotaal waterbar in consumpties]]+Tabel24256789101112131415171618192120222326141518[[#This Row],[Subtotaal koffieautomaten]]</f>
        <v>1565</v>
      </c>
    </row>
    <row r="43" spans="1:130" ht="14.45" customHeight="1" x14ac:dyDescent="0.25">
      <c r="A43" s="65" t="s">
        <v>43</v>
      </c>
      <c r="B43" t="s">
        <v>91</v>
      </c>
      <c r="C43" t="s">
        <v>47</v>
      </c>
      <c r="E43">
        <v>16471</v>
      </c>
      <c r="F43">
        <f>juni2025!E43</f>
        <v>16064</v>
      </c>
      <c r="G43">
        <f>Tabel24256789101112131415171618192120222326141518[[#This Row],[Stand Coffee einde maand]]-Tabel24256789101112131415171618192120222326141518[[#This Row],[Coffee vorige maand]]</f>
        <v>407</v>
      </c>
      <c r="H43" s="53">
        <v>3256</v>
      </c>
      <c r="I43">
        <f>juni2025!H43</f>
        <v>3170</v>
      </c>
      <c r="J43">
        <f>Tabel24256789101112131415171618192120222326141518[[#This Row],[Stand Espresso Einde maand]]-Tabel24256789101112131415171618192120222326141518[[#This Row],[Espresso vorige maand]]</f>
        <v>86</v>
      </c>
      <c r="K43" s="53">
        <v>796</v>
      </c>
      <c r="L43">
        <f>juni2025!K43</f>
        <v>768</v>
      </c>
      <c r="M43">
        <f>Tabel24256789101112131415171618192120222326141518[[#This Row],[Stand Latte Macchiato einde maand]]-Tabel24256789101112131415171618192120222326141518[[#This Row],[Latte Macchiato vorige maand]]</f>
        <v>28</v>
      </c>
      <c r="N43" s="53">
        <v>1304</v>
      </c>
      <c r="O43">
        <f>juni2025!N43</f>
        <v>1290</v>
      </c>
      <c r="P43">
        <f>Tabel24256789101112131415171618192120222326141518[[#This Row],[Stand Coffee Latte einde maand]]-Tabel24256789101112131415171618192120222326141518[[#This Row],[Coffee Latte vorige maand]]</f>
        <v>14</v>
      </c>
      <c r="Q43" s="53">
        <v>1654</v>
      </c>
      <c r="R43">
        <f>juni2025!Q43</f>
        <v>1632</v>
      </c>
      <c r="S43">
        <f>Tabel24256789101112131415171618192120222326141518[[#This Row],[Stand Hot Water einde maand]]-Tabel24256789101112131415171618192120222326141518[[#This Row],[Hot Water vorige maand]]</f>
        <v>22</v>
      </c>
      <c r="T43" s="53">
        <v>4967</v>
      </c>
      <c r="U43">
        <f>juni2025!T43</f>
        <v>4891</v>
      </c>
      <c r="V43">
        <f>Tabel24256789101112131415171618192120222326141518[[#This Row],[Stand Cappucino einde maand]]-Tabel24256789101112131415171618192120222326141518[[#This Row],[Stand Cappucino vorige maand]]</f>
        <v>76</v>
      </c>
      <c r="W43" s="53">
        <v>3577</v>
      </c>
      <c r="X43">
        <f>juni2025!W43</f>
        <v>3559</v>
      </c>
      <c r="Y43">
        <f>Tabel24256789101112131415171618192120222326141518[[#This Row],[Stand Cappucino Plantaardig einde maand]]-Tabel24256789101112131415171618192120222326141518[[#This Row],[Stand Cappucino Plantaardig vorige maand]]</f>
        <v>18</v>
      </c>
      <c r="Z43" s="53">
        <v>424</v>
      </c>
      <c r="AA43">
        <f>juni2025!Z43</f>
        <v>416</v>
      </c>
      <c r="AB43">
        <f>Tabel24256789101112131415171618192120222326141518[[#This Row],[Stand Latte Macchiato Plantaardig einde maand]]-Tabel24256789101112131415171618192120222326141518[[#This Row],[Stand Latte Macchiato Plantaardig vorige maand]]</f>
        <v>8</v>
      </c>
      <c r="AC43" s="71">
        <f>Tabel24256789101112131415171618192120222326141518[[#This Row],[Verbruik Stand Latte Macchiato Plantaardig deze maand]]+Tabel24256789101112131415171618192120222326141518[[#This Row],[Verbruik  Cappucino Plantaardig deze maand]]+Tabel24256789101112131415171618192120222326141518[[#This Row],[Verbruik Cappucino deze maand]]+Tabel24256789101112131415171618192120222326141518[[#This Row],[Verbruik Hot Water deze maand]]+Tabel24256789101112131415171618192120222326141518[[#This Row],[Verbruik Coffee Latte deze maand]]+Tabel24256789101112131415171618192120222326141518[[#This Row],[Verbruik Latte Macchiato deze maand]]+Tabel24256789101112131415171618192120222326141518[[#This Row],[Verbruik Espresso deze maand]]+Tabel24256789101112131415171618192120222326141518[[#This Row],[Verbruik Coffee deze maand]]</f>
        <v>659</v>
      </c>
      <c r="AD43" s="53">
        <v>309.5</v>
      </c>
      <c r="AE43">
        <f>juni2025!AD43</f>
        <v>282.39999999999998</v>
      </c>
      <c r="AF43">
        <f>Tabel24256789101112131415171618192120222326141518[[#This Row],[Stand Kamertemp liter einde maand]]-Tabel24256789101112131415171618192120222326141518[[#This Row],[Stand Kamertemp liter vorige maand]]</f>
        <v>27.100000000000023</v>
      </c>
      <c r="AG43" s="2">
        <f>Tabel24256789101112131415171618192120222326141518[[#This Row],[Verbruik Kamertemp liter deze maand]]/0.15</f>
        <v>180.66666666666683</v>
      </c>
      <c r="AH43" s="53">
        <v>1967</v>
      </c>
      <c r="AI43">
        <f>juni2025!AH43</f>
        <v>1755.8</v>
      </c>
      <c r="AJ43">
        <f>Tabel24256789101112131415171618192120222326141518[[#This Row],[Stand Gekoeld liter einde maand]]-Tabel24256789101112131415171618192120222326141518[[#This Row],[Stand Gekoeld liter vorige maand]]</f>
        <v>211.20000000000005</v>
      </c>
      <c r="AK43" s="2">
        <f>Tabel24256789101112131415171618192120222326141518[[#This Row],[Verbruik Gekoeld liter deze maand]]/0.15</f>
        <v>1408.0000000000005</v>
      </c>
      <c r="AL43" s="53">
        <v>1342.8</v>
      </c>
      <c r="AM43">
        <f>juni2025!AL43</f>
        <v>1221.5999999999999</v>
      </c>
      <c r="AN43">
        <f>Tabel24256789101112131415171618192120222326141518[[#This Row],[Stand Bruisend liter einde maand]]-Tabel24256789101112131415171618192120222326141518[[#This Row],[Stand Bruisend liter vorige maand]]</f>
        <v>121.20000000000005</v>
      </c>
      <c r="AO43" s="2">
        <f>Tabel24256789101112131415171618192120222326141518[[#This Row],[Verbruik Bruisend liter deze maand]]/0.15</f>
        <v>808.00000000000034</v>
      </c>
      <c r="AP43" s="53">
        <v>482.5</v>
      </c>
      <c r="AQ43">
        <f>juni2025!AP43</f>
        <v>453.6</v>
      </c>
      <c r="AR43">
        <f>Tabel24256789101112131415171618192120222326141518[[#This Row],[Stand licht bruisend liter einde maand]]-Tabel24256789101112131415171618192120222326141518[[#This Row],[Stand licht bruisend liter vorige maand]]</f>
        <v>28.899999999999977</v>
      </c>
      <c r="AS43" s="2">
        <f>Tabel24256789101112131415171618192120222326141518[[#This Row],[Verbruik licht bruisend liter deze maand]]/0.15</f>
        <v>192.66666666666652</v>
      </c>
      <c r="AT43" s="53">
        <v>5147.3</v>
      </c>
      <c r="AU43">
        <f>juni2025!AT43</f>
        <v>4800.2</v>
      </c>
      <c r="AV43">
        <f>Tabel24256789101112131415171618192120222326141518[[#This Row],[Stand heet water liter einde maand]]-Tabel24256789101112131415171618192120222326141518[[#This Row],[Stand heet water liter vorige maand]]</f>
        <v>347.10000000000036</v>
      </c>
      <c r="AW43" s="2">
        <f>Tabel24256789101112131415171618192120222326141518[[#This Row],[Verbruik heet Water liter deze maand ]]/0.15</f>
        <v>2314.0000000000027</v>
      </c>
      <c r="AX43" s="77">
        <f>Tabel24256789101112131415171618192120222326141518[[#This Row],[Aantal consumpties heet water deze maand]]+Tabel24256789101112131415171618192120222326141518[[#This Row],[Aantal consumpties licht bruisend water deze maand]]+Tabel24256789101112131415171618192120222326141518[[#This Row],[aantal consumpties Bruisend water deze maand]]+Tabel24256789101112131415171618192120222326141518[[#This Row],[Aantal consumpties gekoeld water deze maand]]+Tabel24256789101112131415171618192120222326141518[[#This Row],[Aantal consumpties Kamertemp deze maand]]</f>
        <v>4903.3333333333367</v>
      </c>
      <c r="AY43" s="95">
        <f>Tabel24256789101112131415171618192120222326141518[[#This Row],[Subtotaal waterbar in consumpties]]+Tabel24256789101112131415171618192120222326141518[[#This Row],[Subtotaal koffieautomaten]]</f>
        <v>5562.3333333333367</v>
      </c>
    </row>
    <row r="44" spans="1:130" ht="14.45" customHeight="1" x14ac:dyDescent="0.25">
      <c r="A44" s="65" t="s">
        <v>45</v>
      </c>
      <c r="B44" t="s">
        <v>92</v>
      </c>
      <c r="C44" t="s">
        <v>36</v>
      </c>
      <c r="E44" s="46"/>
      <c r="F44" s="46"/>
      <c r="G44" s="47"/>
      <c r="H44" s="54"/>
      <c r="I44" s="46"/>
      <c r="J44" s="47"/>
      <c r="K44" s="54"/>
      <c r="L44" s="46"/>
      <c r="M44" s="47"/>
      <c r="N44" s="54"/>
      <c r="O44" s="46"/>
      <c r="P44" s="47"/>
      <c r="Q44" s="54"/>
      <c r="R44" s="46"/>
      <c r="S44" s="47"/>
      <c r="T44" s="54"/>
      <c r="U44" s="46"/>
      <c r="V44" s="47"/>
      <c r="W44" s="54"/>
      <c r="X44" s="46"/>
      <c r="Y44" s="47"/>
      <c r="Z44" s="54"/>
      <c r="AA44" s="46"/>
      <c r="AB44" s="47"/>
      <c r="AC44" s="72"/>
      <c r="AD44" s="53">
        <v>236.4</v>
      </c>
      <c r="AE44">
        <f>juni2025!AD44</f>
        <v>221</v>
      </c>
      <c r="AF44">
        <f>Tabel24256789101112131415171618192120222326141518[[#This Row],[Stand Kamertemp liter einde maand]]-Tabel24256789101112131415171618192120222326141518[[#This Row],[Stand Kamertemp liter vorige maand]]</f>
        <v>15.400000000000006</v>
      </c>
      <c r="AG44" s="2">
        <f>Tabel24256789101112131415171618192120222326141518[[#This Row],[Verbruik Kamertemp liter deze maand]]/0.15</f>
        <v>102.66666666666671</v>
      </c>
      <c r="AH44" s="53">
        <v>699.1</v>
      </c>
      <c r="AI44">
        <f>juni2025!AH44</f>
        <v>613</v>
      </c>
      <c r="AJ44">
        <f>Tabel24256789101112131415171618192120222326141518[[#This Row],[Stand Gekoeld liter einde maand]]-Tabel24256789101112131415171618192120222326141518[[#This Row],[Stand Gekoeld liter vorige maand]]</f>
        <v>86.100000000000023</v>
      </c>
      <c r="AK44" s="2">
        <f>Tabel24256789101112131415171618192120222326141518[[#This Row],[Verbruik Gekoeld liter deze maand]]/0.15</f>
        <v>574.00000000000023</v>
      </c>
      <c r="AL44" s="53">
        <v>792.3</v>
      </c>
      <c r="AM44">
        <f>juni2025!AL44</f>
        <v>695.5</v>
      </c>
      <c r="AN44">
        <f>Tabel24256789101112131415171618192120222326141518[[#This Row],[Stand Bruisend liter einde maand]]-Tabel24256789101112131415171618192120222326141518[[#This Row],[Stand Bruisend liter vorige maand]]</f>
        <v>96.799999999999955</v>
      </c>
      <c r="AO44" s="2">
        <f>Tabel24256789101112131415171618192120222326141518[[#This Row],[Verbruik Bruisend liter deze maand]]/0.15</f>
        <v>645.33333333333303</v>
      </c>
      <c r="AP44" s="53">
        <v>264.5</v>
      </c>
      <c r="AQ44">
        <f>juni2025!AP44</f>
        <v>220.1</v>
      </c>
      <c r="AR44">
        <f>Tabel24256789101112131415171618192120222326141518[[#This Row],[Stand licht bruisend liter einde maand]]-Tabel24256789101112131415171618192120222326141518[[#This Row],[Stand licht bruisend liter vorige maand]]</f>
        <v>44.400000000000006</v>
      </c>
      <c r="AS44" s="2">
        <f>Tabel24256789101112131415171618192120222326141518[[#This Row],[Verbruik licht bruisend liter deze maand]]/0.15</f>
        <v>296.00000000000006</v>
      </c>
      <c r="AT44" s="53">
        <v>2462.9</v>
      </c>
      <c r="AU44">
        <f>juni2025!AT44</f>
        <v>2248.4</v>
      </c>
      <c r="AV44">
        <f>Tabel24256789101112131415171618192120222326141518[[#This Row],[Stand heet water liter einde maand]]-Tabel24256789101112131415171618192120222326141518[[#This Row],[Stand heet water liter vorige maand]]</f>
        <v>214.5</v>
      </c>
      <c r="AW44" s="2">
        <f>Tabel24256789101112131415171618192120222326141518[[#This Row],[Verbruik heet Water liter deze maand ]]/0.15</f>
        <v>1430</v>
      </c>
      <c r="AX44" s="77">
        <f>Tabel24256789101112131415171618192120222326141518[[#This Row],[Aantal consumpties heet water deze maand]]+Tabel24256789101112131415171618192120222326141518[[#This Row],[Aantal consumpties licht bruisend water deze maand]]+Tabel24256789101112131415171618192120222326141518[[#This Row],[aantal consumpties Bruisend water deze maand]]+Tabel24256789101112131415171618192120222326141518[[#This Row],[Aantal consumpties gekoeld water deze maand]]+Tabel24256789101112131415171618192120222326141518[[#This Row],[Aantal consumpties Kamertemp deze maand]]</f>
        <v>3047.9999999999995</v>
      </c>
      <c r="AY44" s="95">
        <f>Tabel24256789101112131415171618192120222326141518[[#This Row],[Subtotaal waterbar in consumpties]]+Tabel24256789101112131415171618192120222326141518[[#This Row],[Subtotaal koffieautomaten]]</f>
        <v>3047.9999999999995</v>
      </c>
    </row>
    <row r="45" spans="1:130" ht="14.45" customHeight="1" x14ac:dyDescent="0.25">
      <c r="A45" s="65" t="s">
        <v>48</v>
      </c>
      <c r="B45" t="s">
        <v>158</v>
      </c>
      <c r="C45" t="s">
        <v>31</v>
      </c>
      <c r="E45">
        <v>28593</v>
      </c>
      <c r="F45">
        <f>juni2025!E45</f>
        <v>27569</v>
      </c>
      <c r="G45">
        <f>Tabel24256789101112131415171618192120222326141518[[#This Row],[Stand Coffee einde maand]]-Tabel24256789101112131415171618192120222326141518[[#This Row],[Coffee vorige maand]]</f>
        <v>1024</v>
      </c>
      <c r="H45" s="53">
        <v>7354</v>
      </c>
      <c r="I45">
        <f>juni2025!H45</f>
        <v>7106</v>
      </c>
      <c r="J45">
        <f>Tabel24256789101112131415171618192120222326141518[[#This Row],[Stand Espresso Einde maand]]-Tabel24256789101112131415171618192120222326141518[[#This Row],[Espresso vorige maand]]</f>
        <v>248</v>
      </c>
      <c r="K45" s="53">
        <v>2857</v>
      </c>
      <c r="L45">
        <f>juni2025!K45</f>
        <v>2769</v>
      </c>
      <c r="M45">
        <f>Tabel24256789101112131415171618192120222326141518[[#This Row],[Stand Latte Macchiato einde maand]]-Tabel24256789101112131415171618192120222326141518[[#This Row],[Latte Macchiato vorige maand]]</f>
        <v>88</v>
      </c>
      <c r="N45" s="53">
        <v>623</v>
      </c>
      <c r="O45">
        <f>juni2025!N45</f>
        <v>611</v>
      </c>
      <c r="P45">
        <f>Tabel24256789101112131415171618192120222326141518[[#This Row],[Stand Coffee Latte einde maand]]-Tabel24256789101112131415171618192120222326141518[[#This Row],[Coffee Latte vorige maand]]</f>
        <v>12</v>
      </c>
      <c r="Q45" s="53">
        <v>27230</v>
      </c>
      <c r="R45">
        <f>juni2025!Q45</f>
        <v>26473</v>
      </c>
      <c r="S45">
        <f>Tabel24256789101112131415171618192120222326141518[[#This Row],[Stand Hot Water einde maand]]-Tabel24256789101112131415171618192120222326141518[[#This Row],[Hot Water vorige maand]]</f>
        <v>757</v>
      </c>
      <c r="T45" s="53">
        <v>10321</v>
      </c>
      <c r="U45">
        <f>juni2025!T45</f>
        <v>10053</v>
      </c>
      <c r="V45">
        <f>Tabel24256789101112131415171618192120222326141518[[#This Row],[Stand Cappucino einde maand]]-Tabel24256789101112131415171618192120222326141518[[#This Row],[Stand Cappucino vorige maand]]</f>
        <v>268</v>
      </c>
      <c r="W45" s="53">
        <v>1636</v>
      </c>
      <c r="X45">
        <f>juni2025!W45</f>
        <v>1624</v>
      </c>
      <c r="Y45">
        <f>Tabel24256789101112131415171618192120222326141518[[#This Row],[Stand Cappucino Plantaardig einde maand]]-Tabel24256789101112131415171618192120222326141518[[#This Row],[Stand Cappucino Plantaardig vorige maand]]</f>
        <v>12</v>
      </c>
      <c r="Z45" s="53">
        <v>1282</v>
      </c>
      <c r="AA45">
        <f>juni2025!Z45</f>
        <v>1256</v>
      </c>
      <c r="AB45">
        <f>Tabel24256789101112131415171618192120222326141518[[#This Row],[Stand Latte Macchiato Plantaardig einde maand]]-Tabel24256789101112131415171618192120222326141518[[#This Row],[Stand Latte Macchiato Plantaardig vorige maand]]</f>
        <v>26</v>
      </c>
      <c r="AC45" s="71">
        <f>Tabel24256789101112131415171618192120222326141518[[#This Row],[Verbruik Stand Latte Macchiato Plantaardig deze maand]]+Tabel24256789101112131415171618192120222326141518[[#This Row],[Verbruik  Cappucino Plantaardig deze maand]]+Tabel24256789101112131415171618192120222326141518[[#This Row],[Verbruik Cappucino deze maand]]+Tabel24256789101112131415171618192120222326141518[[#This Row],[Verbruik Hot Water deze maand]]+Tabel24256789101112131415171618192120222326141518[[#This Row],[Verbruik Coffee Latte deze maand]]+Tabel24256789101112131415171618192120222326141518[[#This Row],[Verbruik Latte Macchiato deze maand]]+Tabel24256789101112131415171618192120222326141518[[#This Row],[Verbruik Espresso deze maand]]+Tabel24256789101112131415171618192120222326141518[[#This Row],[Verbruik Coffee deze maand]]</f>
        <v>2435</v>
      </c>
      <c r="AD45" s="69"/>
      <c r="AE45" s="41"/>
      <c r="AF45" s="5"/>
      <c r="AG45" s="5"/>
      <c r="AH45" s="75"/>
      <c r="AI45" s="41"/>
      <c r="AJ45" s="5"/>
      <c r="AK45" s="5"/>
      <c r="AL45" s="75"/>
      <c r="AM45" s="41"/>
      <c r="AN45" s="5"/>
      <c r="AO45" s="5"/>
      <c r="AP45" s="75"/>
      <c r="AQ45" s="41"/>
      <c r="AR45" s="5"/>
      <c r="AS45" s="5"/>
      <c r="AT45" s="75"/>
      <c r="AU45" s="41"/>
      <c r="AV45" s="5"/>
      <c r="AW45" s="5"/>
      <c r="AX45" s="79"/>
      <c r="AY45" s="95">
        <f>Tabel24256789101112131415171618192120222326141518[[#This Row],[Subtotaal waterbar in consumpties]]+Tabel24256789101112131415171618192120222326141518[[#This Row],[Subtotaal koffieautomaten]]</f>
        <v>2435</v>
      </c>
    </row>
    <row r="46" spans="1:130" ht="14.45" customHeight="1" x14ac:dyDescent="0.25">
      <c r="A46" s="65" t="s">
        <v>50</v>
      </c>
      <c r="B46" t="s">
        <v>93</v>
      </c>
      <c r="C46" t="s">
        <v>36</v>
      </c>
      <c r="E46" s="46"/>
      <c r="F46" s="46"/>
      <c r="G46" s="47"/>
      <c r="H46" s="54"/>
      <c r="I46" s="46"/>
      <c r="J46" s="47"/>
      <c r="K46" s="54"/>
      <c r="L46" s="46"/>
      <c r="M46" s="47"/>
      <c r="N46" s="54"/>
      <c r="O46" s="46"/>
      <c r="P46" s="47"/>
      <c r="Q46" s="54"/>
      <c r="R46" s="46"/>
      <c r="S46" s="47"/>
      <c r="T46" s="54"/>
      <c r="U46" s="46"/>
      <c r="V46" s="47"/>
      <c r="W46" s="54"/>
      <c r="X46" s="46"/>
      <c r="Y46" s="47"/>
      <c r="Z46" s="54"/>
      <c r="AA46" s="46"/>
      <c r="AB46" s="47"/>
      <c r="AC46" s="72"/>
      <c r="AD46" s="53">
        <v>95.4</v>
      </c>
      <c r="AE46">
        <f>juni2025!AD46</f>
        <v>86.9</v>
      </c>
      <c r="AF46">
        <f>Tabel24256789101112131415171618192120222326141518[[#This Row],[Stand Kamertemp liter einde maand]]-Tabel24256789101112131415171618192120222326141518[[#This Row],[Stand Kamertemp liter vorige maand]]</f>
        <v>8.5</v>
      </c>
      <c r="AG46" s="2">
        <f>Tabel24256789101112131415171618192120222326141518[[#This Row],[Verbruik Kamertemp liter deze maand]]/0.15</f>
        <v>56.666666666666671</v>
      </c>
      <c r="AH46" s="53">
        <v>756.7</v>
      </c>
      <c r="AI46">
        <f>juni2025!AH46</f>
        <v>653.5</v>
      </c>
      <c r="AJ46">
        <f>Tabel24256789101112131415171618192120222326141518[[#This Row],[Stand Gekoeld liter einde maand]]-Tabel24256789101112131415171618192120222326141518[[#This Row],[Stand Gekoeld liter vorige maand]]</f>
        <v>103.20000000000005</v>
      </c>
      <c r="AK46" s="2">
        <f>Tabel24256789101112131415171618192120222326141518[[#This Row],[Verbruik Gekoeld liter deze maand]]/0.15</f>
        <v>688.00000000000034</v>
      </c>
      <c r="AL46" s="53">
        <v>396</v>
      </c>
      <c r="AM46">
        <f>juni2025!AL46</f>
        <v>338.4</v>
      </c>
      <c r="AN46">
        <f>Tabel24256789101112131415171618192120222326141518[[#This Row],[Stand Bruisend liter einde maand]]-Tabel24256789101112131415171618192120222326141518[[#This Row],[Stand Bruisend liter vorige maand]]</f>
        <v>57.600000000000023</v>
      </c>
      <c r="AO46" s="2">
        <f>Tabel24256789101112131415171618192120222326141518[[#This Row],[Verbruik Bruisend liter deze maand]]/0.15</f>
        <v>384.00000000000017</v>
      </c>
      <c r="AP46" s="53">
        <v>154.6</v>
      </c>
      <c r="AQ46">
        <f>juni2025!AP46</f>
        <v>132.69999999999999</v>
      </c>
      <c r="AR46">
        <f>Tabel24256789101112131415171618192120222326141518[[#This Row],[Stand licht bruisend liter einde maand]]-Tabel24256789101112131415171618192120222326141518[[#This Row],[Stand licht bruisend liter vorige maand]]</f>
        <v>21.900000000000006</v>
      </c>
      <c r="AS46" s="2">
        <f>Tabel24256789101112131415171618192120222326141518[[#This Row],[Verbruik licht bruisend liter deze maand]]/0.15</f>
        <v>146.00000000000006</v>
      </c>
      <c r="AT46" s="53">
        <v>1455.4</v>
      </c>
      <c r="AU46">
        <f>juni2025!AT46</f>
        <v>1370.5</v>
      </c>
      <c r="AV46">
        <f>Tabel24256789101112131415171618192120222326141518[[#This Row],[Stand heet water liter einde maand]]-Tabel24256789101112131415171618192120222326141518[[#This Row],[Stand heet water liter vorige maand]]</f>
        <v>84.900000000000091</v>
      </c>
      <c r="AW46" s="2">
        <f>Tabel24256789101112131415171618192120222326141518[[#This Row],[Verbruik heet Water liter deze maand ]]/0.15</f>
        <v>566.00000000000068</v>
      </c>
      <c r="AX46" s="77">
        <f>Tabel24256789101112131415171618192120222326141518[[#This Row],[Aantal consumpties heet water deze maand]]+Tabel24256789101112131415171618192120222326141518[[#This Row],[Aantal consumpties licht bruisend water deze maand]]+Tabel24256789101112131415171618192120222326141518[[#This Row],[aantal consumpties Bruisend water deze maand]]+Tabel24256789101112131415171618192120222326141518[[#This Row],[Aantal consumpties gekoeld water deze maand]]+Tabel24256789101112131415171618192120222326141518[[#This Row],[Aantal consumpties Kamertemp deze maand]]</f>
        <v>1840.6666666666681</v>
      </c>
      <c r="AY46" s="95">
        <f>Tabel24256789101112131415171618192120222326141518[[#This Row],[Subtotaal waterbar in consumpties]]+Tabel24256789101112131415171618192120222326141518[[#This Row],[Subtotaal koffieautomaten]]</f>
        <v>1840.6666666666681</v>
      </c>
    </row>
    <row r="47" spans="1:130" ht="14.45" customHeight="1" x14ac:dyDescent="0.25">
      <c r="A47" s="67">
        <v>10</v>
      </c>
      <c r="B47" t="s">
        <v>94</v>
      </c>
      <c r="C47" t="s">
        <v>31</v>
      </c>
      <c r="E47">
        <v>10442</v>
      </c>
      <c r="F47">
        <f>juni2025!E47</f>
        <v>10030</v>
      </c>
      <c r="G47">
        <f>Tabel24256789101112131415171618192120222326141518[[#This Row],[Stand Coffee einde maand]]-Tabel24256789101112131415171618192120222326141518[[#This Row],[Coffee vorige maand]]</f>
        <v>412</v>
      </c>
      <c r="H47" s="53">
        <v>8228</v>
      </c>
      <c r="I47">
        <f>juni2025!H47</f>
        <v>7945</v>
      </c>
      <c r="J47">
        <f>Tabel24256789101112131415171618192120222326141518[[#This Row],[Stand Espresso Einde maand]]-Tabel24256789101112131415171618192120222326141518[[#This Row],[Espresso vorige maand]]</f>
        <v>283</v>
      </c>
      <c r="K47" s="53">
        <v>1366</v>
      </c>
      <c r="L47">
        <f>juni2025!K47</f>
        <v>1316</v>
      </c>
      <c r="M47">
        <f>Tabel24256789101112131415171618192120222326141518[[#This Row],[Stand Latte Macchiato einde maand]]-Tabel24256789101112131415171618192120222326141518[[#This Row],[Latte Macchiato vorige maand]]</f>
        <v>50</v>
      </c>
      <c r="N47" s="53">
        <v>925</v>
      </c>
      <c r="O47">
        <f>juni2025!N47</f>
        <v>923</v>
      </c>
      <c r="P47">
        <f>Tabel24256789101112131415171618192120222326141518[[#This Row],[Stand Coffee Latte einde maand]]-Tabel24256789101112131415171618192120222326141518[[#This Row],[Coffee Latte vorige maand]]</f>
        <v>2</v>
      </c>
      <c r="Q47" s="53">
        <v>21067</v>
      </c>
      <c r="R47">
        <f>juni2025!Q47</f>
        <v>20322</v>
      </c>
      <c r="S47">
        <f>Tabel24256789101112131415171618192120222326141518[[#This Row],[Stand Hot Water einde maand]]-Tabel24256789101112131415171618192120222326141518[[#This Row],[Hot Water vorige maand]]</f>
        <v>745</v>
      </c>
      <c r="T47" s="53">
        <v>8062</v>
      </c>
      <c r="U47">
        <f>juni2025!T47</f>
        <v>7802</v>
      </c>
      <c r="V47">
        <f>Tabel24256789101112131415171618192120222326141518[[#This Row],[Stand Cappucino einde maand]]-Tabel24256789101112131415171618192120222326141518[[#This Row],[Stand Cappucino vorige maand]]</f>
        <v>260</v>
      </c>
      <c r="W47" s="53">
        <v>1094</v>
      </c>
      <c r="X47">
        <f>juni2025!W47</f>
        <v>1071</v>
      </c>
      <c r="Y47">
        <f>Tabel24256789101112131415171618192120222326141518[[#This Row],[Stand Cappucino Plantaardig einde maand]]-Tabel24256789101112131415171618192120222326141518[[#This Row],[Stand Cappucino Plantaardig vorige maand]]</f>
        <v>23</v>
      </c>
      <c r="Z47" s="53">
        <v>218</v>
      </c>
      <c r="AA47">
        <f>juni2025!Z47</f>
        <v>208</v>
      </c>
      <c r="AB47">
        <f>Tabel24256789101112131415171618192120222326141518[[#This Row],[Stand Latte Macchiato Plantaardig einde maand]]-Tabel24256789101112131415171618192120222326141518[[#This Row],[Stand Latte Macchiato Plantaardig vorige maand]]</f>
        <v>10</v>
      </c>
      <c r="AC47" s="71">
        <f>Tabel24256789101112131415171618192120222326141518[[#This Row],[Verbruik Stand Latte Macchiato Plantaardig deze maand]]+Tabel24256789101112131415171618192120222326141518[[#This Row],[Verbruik  Cappucino Plantaardig deze maand]]+Tabel24256789101112131415171618192120222326141518[[#This Row],[Verbruik Cappucino deze maand]]+Tabel24256789101112131415171618192120222326141518[[#This Row],[Verbruik Hot Water deze maand]]+Tabel24256789101112131415171618192120222326141518[[#This Row],[Verbruik Coffee Latte deze maand]]+Tabel24256789101112131415171618192120222326141518[[#This Row],[Verbruik Latte Macchiato deze maand]]+Tabel24256789101112131415171618192120222326141518[[#This Row],[Verbruik Espresso deze maand]]+Tabel24256789101112131415171618192120222326141518[[#This Row],[Verbruik Coffee deze maand]]</f>
        <v>1785</v>
      </c>
      <c r="AD47" s="69"/>
      <c r="AE47" s="41"/>
      <c r="AF47" s="5"/>
      <c r="AG47" s="5"/>
      <c r="AH47" s="75"/>
      <c r="AI47" s="41"/>
      <c r="AJ47" s="5"/>
      <c r="AK47" s="5"/>
      <c r="AL47" s="75"/>
      <c r="AM47" s="41"/>
      <c r="AN47" s="5"/>
      <c r="AO47" s="5"/>
      <c r="AP47" s="75"/>
      <c r="AQ47" s="41"/>
      <c r="AR47" s="5"/>
      <c r="AS47" s="5"/>
      <c r="AT47" s="75"/>
      <c r="AU47" s="41"/>
      <c r="AV47" s="5"/>
      <c r="AW47" s="5"/>
      <c r="AX47" s="79"/>
      <c r="AY47" s="95">
        <f>Tabel24256789101112131415171618192120222326141518[[#This Row],[Subtotaal waterbar in consumpties]]+Tabel24256789101112131415171618192120222326141518[[#This Row],[Subtotaal koffieautomaten]]</f>
        <v>1785</v>
      </c>
    </row>
    <row r="48" spans="1:130" ht="14.45" customHeight="1" x14ac:dyDescent="0.25">
      <c r="A48" s="65" t="s">
        <v>54</v>
      </c>
      <c r="B48" t="s">
        <v>95</v>
      </c>
      <c r="C48" t="s">
        <v>47</v>
      </c>
      <c r="E48">
        <v>12630</v>
      </c>
      <c r="F48">
        <f>juni2025!E48</f>
        <v>12207</v>
      </c>
      <c r="G48">
        <f>Tabel24256789101112131415171618192120222326141518[[#This Row],[Stand Coffee einde maand]]-Tabel24256789101112131415171618192120222326141518[[#This Row],[Coffee vorige maand]]</f>
        <v>423</v>
      </c>
      <c r="H48" s="53">
        <v>3949</v>
      </c>
      <c r="I48">
        <f>juni2025!H48</f>
        <v>3799</v>
      </c>
      <c r="J48">
        <f>Tabel24256789101112131415171618192120222326141518[[#This Row],[Stand Espresso Einde maand]]-Tabel24256789101112131415171618192120222326141518[[#This Row],[Espresso vorige maand]]</f>
        <v>150</v>
      </c>
      <c r="K48" s="53">
        <v>1234</v>
      </c>
      <c r="L48">
        <f>juni2025!K48</f>
        <v>1185</v>
      </c>
      <c r="M48">
        <f>Tabel24256789101112131415171618192120222326141518[[#This Row],[Stand Latte Macchiato einde maand]]-Tabel24256789101112131415171618192120222326141518[[#This Row],[Latte Macchiato vorige maand]]</f>
        <v>49</v>
      </c>
      <c r="N48" s="53">
        <v>628</v>
      </c>
      <c r="O48">
        <f>juni2025!N48</f>
        <v>621</v>
      </c>
      <c r="P48">
        <f>Tabel24256789101112131415171618192120222326141518[[#This Row],[Stand Coffee Latte einde maand]]-Tabel24256789101112131415171618192120222326141518[[#This Row],[Coffee Latte vorige maand]]</f>
        <v>7</v>
      </c>
      <c r="Q48" s="53">
        <v>0</v>
      </c>
      <c r="R48">
        <f>juni2025!Q48</f>
        <v>0</v>
      </c>
      <c r="S48">
        <v>0</v>
      </c>
      <c r="T48" s="53">
        <v>5884</v>
      </c>
      <c r="U48">
        <f>juni2025!T48</f>
        <v>5677</v>
      </c>
      <c r="V48">
        <f>Tabel24256789101112131415171618192120222326141518[[#This Row],[Stand Cappucino einde maand]]-Tabel24256789101112131415171618192120222326141518[[#This Row],[Stand Cappucino vorige maand]]</f>
        <v>207</v>
      </c>
      <c r="W48" s="53">
        <v>1364</v>
      </c>
      <c r="X48">
        <f>juni2025!W48</f>
        <v>1331</v>
      </c>
      <c r="Y48">
        <f>Tabel24256789101112131415171618192120222326141518[[#This Row],[Stand Cappucino Plantaardig einde maand]]-Tabel24256789101112131415171618192120222326141518[[#This Row],[Stand Cappucino Plantaardig vorige maand]]</f>
        <v>33</v>
      </c>
      <c r="Z48" s="53">
        <v>833</v>
      </c>
      <c r="AA48">
        <f>juni2025!Z48</f>
        <v>787</v>
      </c>
      <c r="AB48">
        <f>Tabel24256789101112131415171618192120222326141518[[#This Row],[Stand Latte Macchiato Plantaardig einde maand]]-Tabel24256789101112131415171618192120222326141518[[#This Row],[Stand Latte Macchiato Plantaardig vorige maand]]</f>
        <v>46</v>
      </c>
      <c r="AC48" s="71">
        <f>Tabel24256789101112131415171618192120222326141518[[#This Row],[Verbruik Stand Latte Macchiato Plantaardig deze maand]]+Tabel24256789101112131415171618192120222326141518[[#This Row],[Verbruik  Cappucino Plantaardig deze maand]]+Tabel24256789101112131415171618192120222326141518[[#This Row],[Verbruik Cappucino deze maand]]+Tabel24256789101112131415171618192120222326141518[[#This Row],[Verbruik Hot Water deze maand]]+Tabel24256789101112131415171618192120222326141518[[#This Row],[Verbruik Coffee Latte deze maand]]+Tabel24256789101112131415171618192120222326141518[[#This Row],[Verbruik Latte Macchiato deze maand]]+Tabel24256789101112131415171618192120222326141518[[#This Row],[Verbruik Espresso deze maand]]+Tabel24256789101112131415171618192120222326141518[[#This Row],[Verbruik Coffee deze maand]]</f>
        <v>915</v>
      </c>
      <c r="AD48" s="53">
        <v>198.2</v>
      </c>
      <c r="AE48">
        <f>juni2025!AD48</f>
        <v>175.3</v>
      </c>
      <c r="AF48">
        <f>Tabel24256789101112131415171618192120222326141518[[#This Row],[Stand Kamertemp liter einde maand]]-Tabel24256789101112131415171618192120222326141518[[#This Row],[Stand Kamertemp liter vorige maand]]</f>
        <v>22.899999999999977</v>
      </c>
      <c r="AG48" s="2">
        <f>Tabel24256789101112131415171618192120222326141518[[#This Row],[Verbruik Kamertemp liter deze maand]]/0.15</f>
        <v>152.66666666666652</v>
      </c>
      <c r="AH48" s="53">
        <v>1565</v>
      </c>
      <c r="AI48">
        <f>juni2025!AH48</f>
        <v>1442.2</v>
      </c>
      <c r="AJ48">
        <f>Tabel24256789101112131415171618192120222326141518[[#This Row],[Stand Gekoeld liter einde maand]]-Tabel24256789101112131415171618192120222326141518[[#This Row],[Stand Gekoeld liter vorige maand]]</f>
        <v>122.79999999999995</v>
      </c>
      <c r="AK48" s="2">
        <f>Tabel24256789101112131415171618192120222326141518[[#This Row],[Verbruik Gekoeld liter deze maand]]/0.15</f>
        <v>818.6666666666664</v>
      </c>
      <c r="AL48" s="53">
        <v>830.1</v>
      </c>
      <c r="AM48">
        <f>juni2025!AL48</f>
        <v>720.6</v>
      </c>
      <c r="AN48">
        <f>Tabel24256789101112131415171618192120222326141518[[#This Row],[Stand Bruisend liter einde maand]]-Tabel24256789101112131415171618192120222326141518[[#This Row],[Stand Bruisend liter vorige maand]]</f>
        <v>109.5</v>
      </c>
      <c r="AO48" s="2">
        <f>Tabel24256789101112131415171618192120222326141518[[#This Row],[Verbruik Bruisend liter deze maand]]/0.15</f>
        <v>730</v>
      </c>
      <c r="AP48" s="53">
        <v>308.2</v>
      </c>
      <c r="AQ48">
        <f>juni2025!AP48</f>
        <v>278</v>
      </c>
      <c r="AR48">
        <f>Tabel24256789101112131415171618192120222326141518[[#This Row],[Stand licht bruisend liter einde maand]]-Tabel24256789101112131415171618192120222326141518[[#This Row],[Stand licht bruisend liter vorige maand]]</f>
        <v>30.199999999999989</v>
      </c>
      <c r="AS48" s="2">
        <f>Tabel24256789101112131415171618192120222326141518[[#This Row],[Verbruik licht bruisend liter deze maand]]/0.15</f>
        <v>201.33333333333326</v>
      </c>
      <c r="AT48" s="53">
        <v>2953.7</v>
      </c>
      <c r="AU48">
        <f>juni2025!AT48</f>
        <v>2711.4</v>
      </c>
      <c r="AV48">
        <f>Tabel24256789101112131415171618192120222326141518[[#This Row],[Stand heet water liter einde maand]]-Tabel24256789101112131415171618192120222326141518[[#This Row],[Stand heet water liter vorige maand]]</f>
        <v>242.29999999999973</v>
      </c>
      <c r="AW48" s="2">
        <f>Tabel24256789101112131415171618192120222326141518[[#This Row],[Verbruik heet Water liter deze maand ]]/0.15</f>
        <v>1615.3333333333317</v>
      </c>
      <c r="AX48" s="77">
        <f>Tabel24256789101112131415171618192120222326141518[[#This Row],[Aantal consumpties heet water deze maand]]+Tabel24256789101112131415171618192120222326141518[[#This Row],[Aantal consumpties licht bruisend water deze maand]]+Tabel24256789101112131415171618192120222326141518[[#This Row],[aantal consumpties Bruisend water deze maand]]+Tabel24256789101112131415171618192120222326141518[[#This Row],[Aantal consumpties gekoeld water deze maand]]+Tabel24256789101112131415171618192120222326141518[[#This Row],[Aantal consumpties Kamertemp deze maand]]</f>
        <v>3517.9999999999982</v>
      </c>
      <c r="AY48" s="95">
        <f>Tabel24256789101112131415171618192120222326141518[[#This Row],[Subtotaal waterbar in consumpties]]+Tabel24256789101112131415171618192120222326141518[[#This Row],[Subtotaal koffieautomaten]]</f>
        <v>4432.9999999999982</v>
      </c>
    </row>
    <row r="49" spans="1:130" ht="14.45" customHeight="1" x14ac:dyDescent="0.25">
      <c r="A49" s="65" t="s">
        <v>56</v>
      </c>
      <c r="B49" t="s">
        <v>96</v>
      </c>
      <c r="C49" t="s">
        <v>36</v>
      </c>
      <c r="E49" s="46"/>
      <c r="F49" s="46"/>
      <c r="G49" s="47"/>
      <c r="H49" s="54"/>
      <c r="I49" s="46"/>
      <c r="J49" s="47"/>
      <c r="K49" s="54"/>
      <c r="L49" s="46"/>
      <c r="M49" s="47"/>
      <c r="N49" s="54"/>
      <c r="O49" s="46"/>
      <c r="P49" s="47"/>
      <c r="Q49" s="54"/>
      <c r="R49" s="46"/>
      <c r="S49" s="47"/>
      <c r="T49" s="54"/>
      <c r="U49" s="46"/>
      <c r="V49" s="47"/>
      <c r="W49" s="54"/>
      <c r="X49" s="46"/>
      <c r="Y49" s="47"/>
      <c r="Z49" s="54"/>
      <c r="AA49" s="46"/>
      <c r="AB49" s="47"/>
      <c r="AC49" s="72"/>
      <c r="AD49" s="53">
        <v>187.3</v>
      </c>
      <c r="AE49">
        <f>juni2025!AD49</f>
        <v>153.30000000000001</v>
      </c>
      <c r="AF49">
        <f>Tabel24256789101112131415171618192120222326141518[[#This Row],[Stand Kamertemp liter einde maand]]-Tabel24256789101112131415171618192120222326141518[[#This Row],[Stand Kamertemp liter vorige maand]]</f>
        <v>34</v>
      </c>
      <c r="AG49" s="2">
        <f>Tabel24256789101112131415171618192120222326141518[[#This Row],[Verbruik Kamertemp liter deze maand]]/0.15</f>
        <v>226.66666666666669</v>
      </c>
      <c r="AH49" s="53">
        <v>1163.5999999999999</v>
      </c>
      <c r="AI49">
        <f>juni2025!AH49</f>
        <v>1038.5999999999999</v>
      </c>
      <c r="AJ49">
        <f>Tabel24256789101112131415171618192120222326141518[[#This Row],[Stand Gekoeld liter einde maand]]-Tabel24256789101112131415171618192120222326141518[[#This Row],[Stand Gekoeld liter vorige maand]]</f>
        <v>125</v>
      </c>
      <c r="AK49" s="2">
        <f>Tabel24256789101112131415171618192120222326141518[[#This Row],[Verbruik Gekoeld liter deze maand]]/0.15</f>
        <v>833.33333333333337</v>
      </c>
      <c r="AL49" s="53">
        <v>495.6</v>
      </c>
      <c r="AM49">
        <f>juni2025!AL49</f>
        <v>436.3</v>
      </c>
      <c r="AN49">
        <f>Tabel24256789101112131415171618192120222326141518[[#This Row],[Stand Bruisend liter einde maand]]-Tabel24256789101112131415171618192120222326141518[[#This Row],[Stand Bruisend liter vorige maand]]</f>
        <v>59.300000000000011</v>
      </c>
      <c r="AO49" s="2">
        <f>Tabel24256789101112131415171618192120222326141518[[#This Row],[Verbruik Bruisend liter deze maand]]/0.15</f>
        <v>395.33333333333343</v>
      </c>
      <c r="AP49" s="53">
        <v>272.60000000000002</v>
      </c>
      <c r="AQ49">
        <f>juni2025!AP49</f>
        <v>235.1</v>
      </c>
      <c r="AR49">
        <f>Tabel24256789101112131415171618192120222326141518[[#This Row],[Stand licht bruisend liter einde maand]]-Tabel24256789101112131415171618192120222326141518[[#This Row],[Stand licht bruisend liter vorige maand]]</f>
        <v>37.500000000000028</v>
      </c>
      <c r="AS49" s="2">
        <f>Tabel24256789101112131415171618192120222326141518[[#This Row],[Verbruik licht bruisend liter deze maand]]/0.15</f>
        <v>250.0000000000002</v>
      </c>
      <c r="AT49" s="53">
        <v>2662.6</v>
      </c>
      <c r="AU49">
        <f>juni2025!AT49</f>
        <v>2425.1</v>
      </c>
      <c r="AV49">
        <f>Tabel24256789101112131415171618192120222326141518[[#This Row],[Stand heet water liter einde maand]]-Tabel24256789101112131415171618192120222326141518[[#This Row],[Stand heet water liter vorige maand]]</f>
        <v>237.5</v>
      </c>
      <c r="AW49" s="2">
        <f>Tabel24256789101112131415171618192120222326141518[[#This Row],[Verbruik heet Water liter deze maand ]]/0.15</f>
        <v>1583.3333333333335</v>
      </c>
      <c r="AX49" s="77">
        <f>Tabel24256789101112131415171618192120222326141518[[#This Row],[Aantal consumpties heet water deze maand]]+Tabel24256789101112131415171618192120222326141518[[#This Row],[Aantal consumpties licht bruisend water deze maand]]+Tabel24256789101112131415171618192120222326141518[[#This Row],[aantal consumpties Bruisend water deze maand]]+Tabel24256789101112131415171618192120222326141518[[#This Row],[Aantal consumpties gekoeld water deze maand]]+Tabel24256789101112131415171618192120222326141518[[#This Row],[Aantal consumpties Kamertemp deze maand]]</f>
        <v>3288.666666666667</v>
      </c>
      <c r="AY49" s="95">
        <f>Tabel24256789101112131415171618192120222326141518[[#This Row],[Subtotaal waterbar in consumpties]]+Tabel24256789101112131415171618192120222326141518[[#This Row],[Subtotaal koffieautomaten]]</f>
        <v>3288.666666666667</v>
      </c>
    </row>
    <row r="50" spans="1:130" ht="14.45" customHeight="1" x14ac:dyDescent="0.25">
      <c r="A50" s="65" t="s">
        <v>58</v>
      </c>
      <c r="B50" t="s">
        <v>97</v>
      </c>
      <c r="C50" t="s">
        <v>31</v>
      </c>
      <c r="E50">
        <v>15629</v>
      </c>
      <c r="F50">
        <f>juni2025!E50</f>
        <v>15104</v>
      </c>
      <c r="G50">
        <f>Tabel24256789101112131415171618192120222326141518[[#This Row],[Stand Coffee einde maand]]-Tabel24256789101112131415171618192120222326141518[[#This Row],[Coffee vorige maand]]</f>
        <v>525</v>
      </c>
      <c r="H50" s="53">
        <v>4282</v>
      </c>
      <c r="I50">
        <f>juni2025!H50</f>
        <v>4081</v>
      </c>
      <c r="J50">
        <f>Tabel24256789101112131415171618192120222326141518[[#This Row],[Stand Espresso Einde maand]]-Tabel24256789101112131415171618192120222326141518[[#This Row],[Espresso vorige maand]]</f>
        <v>201</v>
      </c>
      <c r="K50" s="53">
        <v>1657</v>
      </c>
      <c r="L50">
        <f>juni2025!K50</f>
        <v>1604</v>
      </c>
      <c r="M50">
        <f>Tabel24256789101112131415171618192120222326141518[[#This Row],[Stand Latte Macchiato einde maand]]-Tabel24256789101112131415171618192120222326141518[[#This Row],[Latte Macchiato vorige maand]]</f>
        <v>53</v>
      </c>
      <c r="N50" s="53">
        <v>1444</v>
      </c>
      <c r="O50">
        <f>juni2025!N50</f>
        <v>1429</v>
      </c>
      <c r="P50">
        <f>Tabel24256789101112131415171618192120222326141518[[#This Row],[Stand Coffee Latte einde maand]]-Tabel24256789101112131415171618192120222326141518[[#This Row],[Coffee Latte vorige maand]]</f>
        <v>15</v>
      </c>
      <c r="Q50" s="53">
        <v>14630</v>
      </c>
      <c r="R50">
        <f>juni2025!Q50</f>
        <v>14238</v>
      </c>
      <c r="S50">
        <f>Tabel24256789101112131415171618192120222326141518[[#This Row],[Stand Hot Water einde maand]]-Tabel24256789101112131415171618192120222326141518[[#This Row],[Hot Water vorige maand]]</f>
        <v>392</v>
      </c>
      <c r="T50" s="53">
        <v>9104</v>
      </c>
      <c r="U50">
        <f>juni2025!T50</f>
        <v>8802</v>
      </c>
      <c r="V50">
        <f>Tabel24256789101112131415171618192120222326141518[[#This Row],[Stand Cappucino einde maand]]-Tabel24256789101112131415171618192120222326141518[[#This Row],[Stand Cappucino vorige maand]]</f>
        <v>302</v>
      </c>
      <c r="W50" s="53">
        <v>1716</v>
      </c>
      <c r="X50">
        <f>juni2025!W50</f>
        <v>1662</v>
      </c>
      <c r="Y50">
        <f>Tabel24256789101112131415171618192120222326141518[[#This Row],[Stand Cappucino Plantaardig einde maand]]-Tabel24256789101112131415171618192120222326141518[[#This Row],[Stand Cappucino Plantaardig vorige maand]]</f>
        <v>54</v>
      </c>
      <c r="Z50" s="53">
        <v>607</v>
      </c>
      <c r="AA50">
        <f>juni2025!Z50</f>
        <v>531</v>
      </c>
      <c r="AB50">
        <f>Tabel24256789101112131415171618192120222326141518[[#This Row],[Stand Latte Macchiato Plantaardig einde maand]]-Tabel24256789101112131415171618192120222326141518[[#This Row],[Stand Latte Macchiato Plantaardig vorige maand]]</f>
        <v>76</v>
      </c>
      <c r="AC50" s="71">
        <f>Tabel24256789101112131415171618192120222326141518[[#This Row],[Verbruik Stand Latte Macchiato Plantaardig deze maand]]+Tabel24256789101112131415171618192120222326141518[[#This Row],[Verbruik  Cappucino Plantaardig deze maand]]+Tabel24256789101112131415171618192120222326141518[[#This Row],[Verbruik Cappucino deze maand]]+Tabel24256789101112131415171618192120222326141518[[#This Row],[Verbruik Hot Water deze maand]]+Tabel24256789101112131415171618192120222326141518[[#This Row],[Verbruik Coffee Latte deze maand]]+Tabel24256789101112131415171618192120222326141518[[#This Row],[Verbruik Latte Macchiato deze maand]]+Tabel24256789101112131415171618192120222326141518[[#This Row],[Verbruik Espresso deze maand]]+Tabel24256789101112131415171618192120222326141518[[#This Row],[Verbruik Coffee deze maand]]</f>
        <v>1618</v>
      </c>
      <c r="AD50" s="69"/>
      <c r="AE50" s="41"/>
      <c r="AF50" s="5"/>
      <c r="AG50" s="5"/>
      <c r="AH50" s="75"/>
      <c r="AI50" s="41"/>
      <c r="AJ50" s="5"/>
      <c r="AK50" s="5"/>
      <c r="AL50" s="75"/>
      <c r="AM50" s="41"/>
      <c r="AN50" s="5"/>
      <c r="AO50" s="5"/>
      <c r="AP50" s="75"/>
      <c r="AQ50" s="41"/>
      <c r="AR50" s="5"/>
      <c r="AS50" s="5"/>
      <c r="AT50" s="75"/>
      <c r="AU50" s="41"/>
      <c r="AV50" s="5"/>
      <c r="AW50" s="5"/>
      <c r="AX50" s="79"/>
      <c r="AY50" s="95">
        <f>Tabel24256789101112131415171618192120222326141518[[#This Row],[Subtotaal waterbar in consumpties]]+Tabel24256789101112131415171618192120222326141518[[#This Row],[Subtotaal koffieautomaten]]</f>
        <v>1618</v>
      </c>
    </row>
    <row r="51" spans="1:130" ht="14.45" customHeight="1" x14ac:dyDescent="0.25">
      <c r="A51" s="65" t="s">
        <v>60</v>
      </c>
      <c r="B51" t="s">
        <v>98</v>
      </c>
      <c r="C51" t="s">
        <v>47</v>
      </c>
      <c r="E51">
        <v>9594</v>
      </c>
      <c r="F51">
        <f>juni2025!E51</f>
        <v>9161</v>
      </c>
      <c r="G51">
        <f>Tabel24256789101112131415171618192120222326141518[[#This Row],[Stand Coffee einde maand]]-Tabel24256789101112131415171618192120222326141518[[#This Row],[Coffee vorige maand]]</f>
        <v>433</v>
      </c>
      <c r="H51" s="53">
        <v>3133</v>
      </c>
      <c r="I51">
        <f>juni2025!H51</f>
        <v>3009</v>
      </c>
      <c r="J51">
        <f>Tabel24256789101112131415171618192120222326141518[[#This Row],[Stand Espresso Einde maand]]-Tabel24256789101112131415171618192120222326141518[[#This Row],[Espresso vorige maand]]</f>
        <v>124</v>
      </c>
      <c r="K51" s="53">
        <v>889</v>
      </c>
      <c r="L51">
        <f>juni2025!K51</f>
        <v>884</v>
      </c>
      <c r="M51">
        <f>Tabel24256789101112131415171618192120222326141518[[#This Row],[Stand Latte Macchiato einde maand]]-Tabel24256789101112131415171618192120222326141518[[#This Row],[Latte Macchiato vorige maand]]</f>
        <v>5</v>
      </c>
      <c r="N51" s="53">
        <v>1233</v>
      </c>
      <c r="O51">
        <f>juni2025!N51</f>
        <v>1186</v>
      </c>
      <c r="P51">
        <f>Tabel24256789101112131415171618192120222326141518[[#This Row],[Stand Coffee Latte einde maand]]-Tabel24256789101112131415171618192120222326141518[[#This Row],[Coffee Latte vorige maand]]</f>
        <v>47</v>
      </c>
      <c r="Q51" s="53">
        <v>1</v>
      </c>
      <c r="R51">
        <f>juni2025!Q51</f>
        <v>1</v>
      </c>
      <c r="S51">
        <f>Tabel24256789101112131415171618192120222326141518[[#This Row],[Stand Hot Water einde maand]]-Tabel24256789101112131415171618192120222326141518[[#This Row],[Hot Water vorige maand]]</f>
        <v>0</v>
      </c>
      <c r="T51" s="53">
        <v>6365</v>
      </c>
      <c r="U51">
        <f>juni2025!T51</f>
        <v>6118</v>
      </c>
      <c r="V51">
        <f>Tabel24256789101112131415171618192120222326141518[[#This Row],[Stand Cappucino einde maand]]-Tabel24256789101112131415171618192120222326141518[[#This Row],[Stand Cappucino vorige maand]]</f>
        <v>247</v>
      </c>
      <c r="W51" s="53">
        <v>872</v>
      </c>
      <c r="X51">
        <f>juni2025!W51</f>
        <v>840</v>
      </c>
      <c r="Y51">
        <f>Tabel24256789101112131415171618192120222326141518[[#This Row],[Stand Cappucino Plantaardig einde maand]]-Tabel24256789101112131415171618192120222326141518[[#This Row],[Stand Cappucino Plantaardig vorige maand]]</f>
        <v>32</v>
      </c>
      <c r="Z51" s="53">
        <v>191</v>
      </c>
      <c r="AA51">
        <f>juni2025!Z51</f>
        <v>189</v>
      </c>
      <c r="AB51">
        <f>Tabel24256789101112131415171618192120222326141518[[#This Row],[Stand Latte Macchiato Plantaardig einde maand]]-Tabel24256789101112131415171618192120222326141518[[#This Row],[Stand Latte Macchiato Plantaardig vorige maand]]</f>
        <v>2</v>
      </c>
      <c r="AC51" s="71">
        <f>Tabel24256789101112131415171618192120222326141518[[#This Row],[Verbruik Stand Latte Macchiato Plantaardig deze maand]]+Tabel24256789101112131415171618192120222326141518[[#This Row],[Verbruik  Cappucino Plantaardig deze maand]]+Tabel24256789101112131415171618192120222326141518[[#This Row],[Verbruik Cappucino deze maand]]+Tabel24256789101112131415171618192120222326141518[[#This Row],[Verbruik Hot Water deze maand]]+Tabel24256789101112131415171618192120222326141518[[#This Row],[Verbruik Coffee Latte deze maand]]+Tabel24256789101112131415171618192120222326141518[[#This Row],[Verbruik Latte Macchiato deze maand]]+Tabel24256789101112131415171618192120222326141518[[#This Row],[Verbruik Espresso deze maand]]+Tabel24256789101112131415171618192120222326141518[[#This Row],[Verbruik Coffee deze maand]]</f>
        <v>890</v>
      </c>
      <c r="AD51" s="53">
        <v>59</v>
      </c>
      <c r="AE51">
        <f>juni2025!AD51</f>
        <v>42.9</v>
      </c>
      <c r="AF51">
        <f>Tabel24256789101112131415171618192120222326141518[[#This Row],[Stand Kamertemp liter einde maand]]-Tabel24256789101112131415171618192120222326141518[[#This Row],[Stand Kamertemp liter vorige maand]]</f>
        <v>16.100000000000001</v>
      </c>
      <c r="AG51" s="2">
        <f>Tabel24256789101112131415171618192120222326141518[[#This Row],[Verbruik Kamertemp liter deze maand]]/0.15</f>
        <v>107.33333333333334</v>
      </c>
      <c r="AH51" s="53">
        <v>824.5</v>
      </c>
      <c r="AI51">
        <f>juni2025!AH51</f>
        <v>650.5</v>
      </c>
      <c r="AJ51">
        <f>Tabel24256789101112131415171618192120222326141518[[#This Row],[Stand Gekoeld liter einde maand]]-Tabel24256789101112131415171618192120222326141518[[#This Row],[Stand Gekoeld liter vorige maand]]</f>
        <v>174</v>
      </c>
      <c r="AK51" s="2">
        <f>Tabel24256789101112131415171618192120222326141518[[#This Row],[Verbruik Gekoeld liter deze maand]]/0.15</f>
        <v>1160</v>
      </c>
      <c r="AL51" s="53">
        <v>577.20000000000005</v>
      </c>
      <c r="AM51">
        <f>juni2025!AL51</f>
        <v>481.4</v>
      </c>
      <c r="AN51">
        <f>Tabel24256789101112131415171618192120222326141518[[#This Row],[Stand Bruisend liter einde maand]]-Tabel24256789101112131415171618192120222326141518[[#This Row],[Stand Bruisend liter vorige maand]]</f>
        <v>95.800000000000068</v>
      </c>
      <c r="AO51" s="2">
        <f>Tabel24256789101112131415171618192120222326141518[[#This Row],[Verbruik Bruisend liter deze maand]]/0.15</f>
        <v>638.6666666666672</v>
      </c>
      <c r="AP51" s="53">
        <v>89.5</v>
      </c>
      <c r="AQ51">
        <f>juni2025!AP51</f>
        <v>77.400000000000006</v>
      </c>
      <c r="AR51">
        <f>Tabel24256789101112131415171618192120222326141518[[#This Row],[Stand licht bruisend liter einde maand]]-Tabel24256789101112131415171618192120222326141518[[#This Row],[Stand licht bruisend liter vorige maand]]</f>
        <v>12.099999999999994</v>
      </c>
      <c r="AS51" s="2">
        <f>Tabel24256789101112131415171618192120222326141518[[#This Row],[Verbruik licht bruisend liter deze maand]]/0.15</f>
        <v>80.666666666666629</v>
      </c>
      <c r="AT51" s="53">
        <v>1304.9000000000001</v>
      </c>
      <c r="AU51">
        <f>juni2025!AT51</f>
        <v>1194.0999999999999</v>
      </c>
      <c r="AV51">
        <f>Tabel24256789101112131415171618192120222326141518[[#This Row],[Stand heet water liter einde maand]]-Tabel24256789101112131415171618192120222326141518[[#This Row],[Stand heet water liter vorige maand]]</f>
        <v>110.80000000000018</v>
      </c>
      <c r="AW51" s="2">
        <f>Tabel24256789101112131415171618192120222326141518[[#This Row],[Verbruik heet Water liter deze maand ]]/0.15</f>
        <v>738.66666666666788</v>
      </c>
      <c r="AX51" s="77">
        <f>Tabel24256789101112131415171618192120222326141518[[#This Row],[Aantal consumpties heet water deze maand]]+Tabel24256789101112131415171618192120222326141518[[#This Row],[Aantal consumpties licht bruisend water deze maand]]+Tabel24256789101112131415171618192120222326141518[[#This Row],[aantal consumpties Bruisend water deze maand]]+Tabel24256789101112131415171618192120222326141518[[#This Row],[Aantal consumpties gekoeld water deze maand]]+Tabel24256789101112131415171618192120222326141518[[#This Row],[Aantal consumpties Kamertemp deze maand]]</f>
        <v>2725.3333333333353</v>
      </c>
      <c r="AY51" s="95">
        <f>Tabel24256789101112131415171618192120222326141518[[#This Row],[Subtotaal waterbar in consumpties]]+Tabel24256789101112131415171618192120222326141518[[#This Row],[Subtotaal koffieautomaten]]</f>
        <v>3615.3333333333353</v>
      </c>
    </row>
    <row r="52" spans="1:130" s="81" customFormat="1" ht="14.45" customHeight="1" x14ac:dyDescent="0.25">
      <c r="A52" s="80" t="s">
        <v>99</v>
      </c>
      <c r="D52" s="82"/>
      <c r="H52" s="86"/>
      <c r="K52" s="86"/>
      <c r="N52" s="86"/>
      <c r="Q52" s="86"/>
      <c r="T52" s="86"/>
      <c r="W52" s="86"/>
      <c r="Z52" s="86"/>
      <c r="AC52" s="85"/>
      <c r="AD52" s="86"/>
      <c r="AG52" s="87"/>
      <c r="AH52" s="86"/>
      <c r="AK52" s="87"/>
      <c r="AL52" s="86"/>
      <c r="AO52" s="87"/>
      <c r="AP52" s="86"/>
      <c r="AS52" s="87"/>
      <c r="AT52" s="86"/>
      <c r="AW52" s="87"/>
      <c r="AX52" s="88"/>
      <c r="AY52" s="94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</row>
    <row r="53" spans="1:130" ht="14.45" customHeight="1" x14ac:dyDescent="0.25">
      <c r="A53" s="65" t="s">
        <v>43</v>
      </c>
      <c r="B53" t="s">
        <v>100</v>
      </c>
      <c r="C53" t="s">
        <v>31</v>
      </c>
      <c r="E53">
        <v>13965</v>
      </c>
      <c r="F53">
        <f>juni2025!E53</f>
        <v>13533</v>
      </c>
      <c r="G53">
        <f>Tabel24256789101112131415171618192120222326141518[[#This Row],[Stand Coffee einde maand]]-Tabel24256789101112131415171618192120222326141518[[#This Row],[Coffee vorige maand]]</f>
        <v>432</v>
      </c>
      <c r="H53" s="97">
        <f>824+4171</f>
        <v>4995</v>
      </c>
      <c r="I53">
        <f>juni2025!H53</f>
        <v>4835</v>
      </c>
      <c r="J53">
        <f>Tabel24256789101112131415171618192120222326141518[[#This Row],[Stand Espresso Einde maand]]-Tabel24256789101112131415171618192120222326141518[[#This Row],[Espresso vorige maand]]</f>
        <v>160</v>
      </c>
      <c r="K53" s="53">
        <v>1435</v>
      </c>
      <c r="L53">
        <f>juni2025!K53</f>
        <v>1384</v>
      </c>
      <c r="M53">
        <f>Tabel24256789101112131415171618192120222326141518[[#This Row],[Stand Latte Macchiato einde maand]]-Tabel24256789101112131415171618192120222326141518[[#This Row],[Latte Macchiato vorige maand]]</f>
        <v>51</v>
      </c>
      <c r="N53" s="53">
        <v>634</v>
      </c>
      <c r="O53">
        <f>juni2025!N53</f>
        <v>620</v>
      </c>
      <c r="P53">
        <f>Tabel24256789101112131415171618192120222326141518[[#This Row],[Stand Coffee Latte einde maand]]-Tabel24256789101112131415171618192120222326141518[[#This Row],[Coffee Latte vorige maand]]</f>
        <v>14</v>
      </c>
      <c r="Q53" s="53">
        <v>34296</v>
      </c>
      <c r="R53">
        <f>juni2025!Q53</f>
        <v>33420</v>
      </c>
      <c r="S53">
        <f>Tabel24256789101112131415171618192120222326141518[[#This Row],[Stand Hot Water einde maand]]-Tabel24256789101112131415171618192120222326141518[[#This Row],[Hot Water vorige maand]]</f>
        <v>876</v>
      </c>
      <c r="T53" s="53">
        <v>4022</v>
      </c>
      <c r="U53">
        <f>juni2025!T53</f>
        <v>3906</v>
      </c>
      <c r="V53">
        <f>Tabel24256789101112131415171618192120222326141518[[#This Row],[Stand Cappucino einde maand]]-Tabel24256789101112131415171618192120222326141518[[#This Row],[Stand Cappucino vorige maand]]</f>
        <v>116</v>
      </c>
      <c r="W53" s="53">
        <v>1211</v>
      </c>
      <c r="X53">
        <f>juni2025!W53</f>
        <v>1168</v>
      </c>
      <c r="Y53">
        <f>Tabel24256789101112131415171618192120222326141518[[#This Row],[Stand Cappucino Plantaardig einde maand]]-Tabel24256789101112131415171618192120222326141518[[#This Row],[Stand Cappucino Plantaardig vorige maand]]</f>
        <v>43</v>
      </c>
      <c r="Z53" s="53">
        <v>248</v>
      </c>
      <c r="AA53">
        <f>juni2025!Z53</f>
        <v>245</v>
      </c>
      <c r="AB53">
        <f>Tabel24256789101112131415171618192120222326141518[[#This Row],[Stand Latte Macchiato Plantaardig einde maand]]-Tabel24256789101112131415171618192120222326141518[[#This Row],[Stand Latte Macchiato Plantaardig vorige maand]]</f>
        <v>3</v>
      </c>
      <c r="AC53" s="71">
        <f>Tabel24256789101112131415171618192120222326141518[[#This Row],[Verbruik Stand Latte Macchiato Plantaardig deze maand]]+Tabel24256789101112131415171618192120222326141518[[#This Row],[Verbruik  Cappucino Plantaardig deze maand]]+Tabel24256789101112131415171618192120222326141518[[#This Row],[Verbruik Cappucino deze maand]]+Tabel24256789101112131415171618192120222326141518[[#This Row],[Verbruik Hot Water deze maand]]+Tabel24256789101112131415171618192120222326141518[[#This Row],[Verbruik Coffee Latte deze maand]]+Tabel24256789101112131415171618192120222326141518[[#This Row],[Verbruik Latte Macchiato deze maand]]+Tabel24256789101112131415171618192120222326141518[[#This Row],[Verbruik Espresso deze maand]]+Tabel24256789101112131415171618192120222326141518[[#This Row],[Verbruik Coffee deze maand]]</f>
        <v>1695</v>
      </c>
      <c r="AD53" s="69"/>
      <c r="AE53" s="41"/>
      <c r="AF53" s="5"/>
      <c r="AG53" s="5"/>
      <c r="AH53" s="75"/>
      <c r="AI53" s="41"/>
      <c r="AJ53" s="5"/>
      <c r="AK53" s="5"/>
      <c r="AL53" s="75"/>
      <c r="AM53" s="41"/>
      <c r="AN53" s="5"/>
      <c r="AO53" s="5"/>
      <c r="AP53" s="75"/>
      <c r="AQ53" s="41"/>
      <c r="AR53" s="5"/>
      <c r="AS53" s="5"/>
      <c r="AT53" s="75"/>
      <c r="AU53" s="41"/>
      <c r="AV53" s="5"/>
      <c r="AW53" s="5"/>
      <c r="AX53" s="79"/>
      <c r="AY53" s="95">
        <f>Tabel24256789101112131415171618192120222326141518[[#This Row],[Subtotaal waterbar in consumpties]]+Tabel24256789101112131415171618192120222326141518[[#This Row],[Subtotaal koffieautomaten]]</f>
        <v>1695</v>
      </c>
    </row>
    <row r="54" spans="1:130" ht="14.45" customHeight="1" x14ac:dyDescent="0.25">
      <c r="A54" s="65" t="s">
        <v>45</v>
      </c>
      <c r="B54" t="s">
        <v>101</v>
      </c>
      <c r="C54" t="s">
        <v>47</v>
      </c>
      <c r="E54">
        <v>10509</v>
      </c>
      <c r="F54">
        <f>juni2025!E54</f>
        <v>10154</v>
      </c>
      <c r="G54">
        <f>Tabel24256789101112131415171618192120222326141518[[#This Row],[Stand Coffee einde maand]]-Tabel24256789101112131415171618192120222326141518[[#This Row],[Coffee vorige maand]]</f>
        <v>355</v>
      </c>
      <c r="H54" s="53">
        <v>5119</v>
      </c>
      <c r="I54">
        <f>juni2025!H54</f>
        <v>4966</v>
      </c>
      <c r="J54">
        <f>Tabel24256789101112131415171618192120222326141518[[#This Row],[Stand Espresso Einde maand]]-Tabel24256789101112131415171618192120222326141518[[#This Row],[Espresso vorige maand]]</f>
        <v>153</v>
      </c>
      <c r="K54" s="53">
        <v>709</v>
      </c>
      <c r="L54">
        <f>juni2025!K54</f>
        <v>699</v>
      </c>
      <c r="M54">
        <f>Tabel24256789101112131415171618192120222326141518[[#This Row],[Stand Latte Macchiato einde maand]]-Tabel24256789101112131415171618192120222326141518[[#This Row],[Latte Macchiato vorige maand]]</f>
        <v>10</v>
      </c>
      <c r="N54" s="53">
        <v>574</v>
      </c>
      <c r="O54">
        <f>juni2025!N54</f>
        <v>562</v>
      </c>
      <c r="P54">
        <f>Tabel24256789101112131415171618192120222326141518[[#This Row],[Stand Coffee Latte einde maand]]-Tabel24256789101112131415171618192120222326141518[[#This Row],[Coffee Latte vorige maand]]</f>
        <v>12</v>
      </c>
      <c r="Q54" s="53">
        <v>1</v>
      </c>
      <c r="R54">
        <f>juni2025!Q54</f>
        <v>1</v>
      </c>
      <c r="S54">
        <f>Tabel24256789101112131415171618192120222326141518[[#This Row],[Stand Hot Water einde maand]]-Tabel24256789101112131415171618192120222326141518[[#This Row],[Hot Water vorige maand]]</f>
        <v>0</v>
      </c>
      <c r="T54" s="53">
        <v>4734</v>
      </c>
      <c r="U54">
        <f>juni2025!T54</f>
        <v>4644</v>
      </c>
      <c r="V54">
        <f>Tabel24256789101112131415171618192120222326141518[[#This Row],[Stand Cappucino einde maand]]-Tabel24256789101112131415171618192120222326141518[[#This Row],[Stand Cappucino vorige maand]]</f>
        <v>90</v>
      </c>
      <c r="W54" s="53">
        <v>972</v>
      </c>
      <c r="X54">
        <f>juni2025!W54</f>
        <v>938</v>
      </c>
      <c r="Y54">
        <f>Tabel24256789101112131415171618192120222326141518[[#This Row],[Stand Cappucino Plantaardig einde maand]]-Tabel24256789101112131415171618192120222326141518[[#This Row],[Stand Cappucino Plantaardig vorige maand]]</f>
        <v>34</v>
      </c>
      <c r="Z54" s="53">
        <v>255</v>
      </c>
      <c r="AA54">
        <f>juni2025!Z54</f>
        <v>254</v>
      </c>
      <c r="AB54">
        <f>Tabel24256789101112131415171618192120222326141518[[#This Row],[Stand Latte Macchiato Plantaardig einde maand]]-Tabel24256789101112131415171618192120222326141518[[#This Row],[Stand Latte Macchiato Plantaardig vorige maand]]</f>
        <v>1</v>
      </c>
      <c r="AC54" s="71">
        <f>Tabel24256789101112131415171618192120222326141518[[#This Row],[Verbruik Stand Latte Macchiato Plantaardig deze maand]]+Tabel24256789101112131415171618192120222326141518[[#This Row],[Verbruik  Cappucino Plantaardig deze maand]]+Tabel24256789101112131415171618192120222326141518[[#This Row],[Verbruik Cappucino deze maand]]+Tabel24256789101112131415171618192120222326141518[[#This Row],[Verbruik Hot Water deze maand]]+Tabel24256789101112131415171618192120222326141518[[#This Row],[Verbruik Coffee Latte deze maand]]+Tabel24256789101112131415171618192120222326141518[[#This Row],[Verbruik Latte Macchiato deze maand]]+Tabel24256789101112131415171618192120222326141518[[#This Row],[Verbruik Espresso deze maand]]+Tabel24256789101112131415171618192120222326141518[[#This Row],[Verbruik Coffee deze maand]]</f>
        <v>655</v>
      </c>
      <c r="AD54" s="53">
        <v>84.2</v>
      </c>
      <c r="AE54">
        <f>juni2025!AD54</f>
        <v>52.2</v>
      </c>
      <c r="AF54">
        <f>Tabel24256789101112131415171618192120222326141518[[#This Row],[Stand Kamertemp liter einde maand]]-Tabel24256789101112131415171618192120222326141518[[#This Row],[Stand Kamertemp liter vorige maand]]</f>
        <v>32</v>
      </c>
      <c r="AG54" s="2">
        <f>Tabel24256789101112131415171618192120222326141518[[#This Row],[Verbruik Kamertemp liter deze maand]]/0.15</f>
        <v>213.33333333333334</v>
      </c>
      <c r="AH54" s="53">
        <v>490</v>
      </c>
      <c r="AI54">
        <f>juni2025!AH54</f>
        <v>310.7</v>
      </c>
      <c r="AJ54">
        <f>Tabel24256789101112131415171618192120222326141518[[#This Row],[Stand Gekoeld liter einde maand]]-Tabel24256789101112131415171618192120222326141518[[#This Row],[Stand Gekoeld liter vorige maand]]</f>
        <v>179.3</v>
      </c>
      <c r="AK54" s="2">
        <f>Tabel24256789101112131415171618192120222326141518[[#This Row],[Verbruik Gekoeld liter deze maand]]/0.15</f>
        <v>1195.3333333333335</v>
      </c>
      <c r="AL54" s="53">
        <v>420.8</v>
      </c>
      <c r="AM54">
        <f>juni2025!AL54</f>
        <v>283.2</v>
      </c>
      <c r="AN54">
        <f>Tabel24256789101112131415171618192120222326141518[[#This Row],[Stand Bruisend liter einde maand]]-Tabel24256789101112131415171618192120222326141518[[#This Row],[Stand Bruisend liter vorige maand]]</f>
        <v>137.60000000000002</v>
      </c>
      <c r="AO54" s="2">
        <f>Tabel24256789101112131415171618192120222326141518[[#This Row],[Verbruik Bruisend liter deze maand]]/0.15</f>
        <v>917.33333333333348</v>
      </c>
      <c r="AP54" s="53">
        <v>44.1</v>
      </c>
      <c r="AQ54">
        <f>juni2025!AP54</f>
        <v>28</v>
      </c>
      <c r="AR54">
        <f>Tabel24256789101112131415171618192120222326141518[[#This Row],[Stand licht bruisend liter einde maand]]-Tabel24256789101112131415171618192120222326141518[[#This Row],[Stand licht bruisend liter vorige maand]]</f>
        <v>16.100000000000001</v>
      </c>
      <c r="AS54" s="2">
        <f>Tabel24256789101112131415171618192120222326141518[[#This Row],[Verbruik licht bruisend liter deze maand]]/0.15</f>
        <v>107.33333333333334</v>
      </c>
      <c r="AT54" s="53">
        <v>909</v>
      </c>
      <c r="AU54">
        <f>juni2025!AT54</f>
        <v>646.20000000000005</v>
      </c>
      <c r="AV54">
        <f>Tabel24256789101112131415171618192120222326141518[[#This Row],[Stand heet water liter einde maand]]-Tabel24256789101112131415171618192120222326141518[[#This Row],[Stand heet water liter vorige maand]]</f>
        <v>262.79999999999995</v>
      </c>
      <c r="AW54" s="2">
        <f>Tabel24256789101112131415171618192120222326141518[[#This Row],[Verbruik heet Water liter deze maand ]]/0.15</f>
        <v>1751.9999999999998</v>
      </c>
      <c r="AX54" s="77">
        <f>Tabel24256789101112131415171618192120222326141518[[#This Row],[Aantal consumpties heet water deze maand]]+Tabel24256789101112131415171618192120222326141518[[#This Row],[Aantal consumpties licht bruisend water deze maand]]+Tabel24256789101112131415171618192120222326141518[[#This Row],[aantal consumpties Bruisend water deze maand]]+Tabel24256789101112131415171618192120222326141518[[#This Row],[Aantal consumpties gekoeld water deze maand]]+Tabel24256789101112131415171618192120222326141518[[#This Row],[Aantal consumpties Kamertemp deze maand]]</f>
        <v>4185.333333333333</v>
      </c>
      <c r="AY54" s="95">
        <f>Tabel24256789101112131415171618192120222326141518[[#This Row],[Subtotaal waterbar in consumpties]]+Tabel24256789101112131415171618192120222326141518[[#This Row],[Subtotaal koffieautomaten]]</f>
        <v>4840.333333333333</v>
      </c>
    </row>
    <row r="55" spans="1:130" ht="14.45" customHeight="1" x14ac:dyDescent="0.25">
      <c r="A55" s="65" t="s">
        <v>48</v>
      </c>
      <c r="B55" t="s">
        <v>102</v>
      </c>
      <c r="C55" t="s">
        <v>31</v>
      </c>
      <c r="E55">
        <v>8911</v>
      </c>
      <c r="F55">
        <f>juni2025!E55</f>
        <v>8653</v>
      </c>
      <c r="G55">
        <f>Tabel24256789101112131415171618192120222326141518[[#This Row],[Stand Coffee einde maand]]-Tabel24256789101112131415171618192120222326141518[[#This Row],[Coffee vorige maand]]</f>
        <v>258</v>
      </c>
      <c r="H55" s="53">
        <v>2305</v>
      </c>
      <c r="I55">
        <f>juni2025!H55</f>
        <v>2266</v>
      </c>
      <c r="J55">
        <f>Tabel24256789101112131415171618192120222326141518[[#This Row],[Stand Espresso Einde maand]]-Tabel24256789101112131415171618192120222326141518[[#This Row],[Espresso vorige maand]]</f>
        <v>39</v>
      </c>
      <c r="K55" s="53">
        <v>868</v>
      </c>
      <c r="L55">
        <f>juni2025!K55</f>
        <v>803</v>
      </c>
      <c r="M55">
        <f>Tabel24256789101112131415171618192120222326141518[[#This Row],[Stand Latte Macchiato einde maand]]-Tabel24256789101112131415171618192120222326141518[[#This Row],[Latte Macchiato vorige maand]]</f>
        <v>65</v>
      </c>
      <c r="N55" s="53">
        <v>455</v>
      </c>
      <c r="O55">
        <f>juni2025!N55</f>
        <v>452</v>
      </c>
      <c r="P55">
        <f>Tabel24256789101112131415171618192120222326141518[[#This Row],[Stand Coffee Latte einde maand]]-Tabel24256789101112131415171618192120222326141518[[#This Row],[Coffee Latte vorige maand]]</f>
        <v>3</v>
      </c>
      <c r="Q55" s="53">
        <v>22861</v>
      </c>
      <c r="R55">
        <f>juni2025!Q55</f>
        <v>22172</v>
      </c>
      <c r="S55">
        <f>Tabel24256789101112131415171618192120222326141518[[#This Row],[Stand Hot Water einde maand]]-Tabel24256789101112131415171618192120222326141518[[#This Row],[Hot Water vorige maand]]</f>
        <v>689</v>
      </c>
      <c r="T55" s="53">
        <v>4050</v>
      </c>
      <c r="U55">
        <f>juni2025!T55</f>
        <v>3923</v>
      </c>
      <c r="V55">
        <f>Tabel24256789101112131415171618192120222326141518[[#This Row],[Stand Cappucino einde maand]]-Tabel24256789101112131415171618192120222326141518[[#This Row],[Stand Cappucino vorige maand]]</f>
        <v>127</v>
      </c>
      <c r="W55" s="53">
        <v>1911</v>
      </c>
      <c r="X55">
        <f>juni2025!W55</f>
        <v>1875</v>
      </c>
      <c r="Y55">
        <f>Tabel24256789101112131415171618192120222326141518[[#This Row],[Stand Cappucino Plantaardig einde maand]]-Tabel24256789101112131415171618192120222326141518[[#This Row],[Stand Cappucino Plantaardig vorige maand]]</f>
        <v>36</v>
      </c>
      <c r="Z55" s="53">
        <v>236</v>
      </c>
      <c r="AA55">
        <f>juni2025!Z55</f>
        <v>214</v>
      </c>
      <c r="AB55">
        <f>Tabel24256789101112131415171618192120222326141518[[#This Row],[Stand Latte Macchiato Plantaardig einde maand]]-Tabel24256789101112131415171618192120222326141518[[#This Row],[Stand Latte Macchiato Plantaardig vorige maand]]</f>
        <v>22</v>
      </c>
      <c r="AC55" s="71">
        <f>Tabel24256789101112131415171618192120222326141518[[#This Row],[Verbruik Stand Latte Macchiato Plantaardig deze maand]]+Tabel24256789101112131415171618192120222326141518[[#This Row],[Verbruik  Cappucino Plantaardig deze maand]]+Tabel24256789101112131415171618192120222326141518[[#This Row],[Verbruik Cappucino deze maand]]+Tabel24256789101112131415171618192120222326141518[[#This Row],[Verbruik Hot Water deze maand]]+Tabel24256789101112131415171618192120222326141518[[#This Row],[Verbruik Coffee Latte deze maand]]+Tabel24256789101112131415171618192120222326141518[[#This Row],[Verbruik Latte Macchiato deze maand]]+Tabel24256789101112131415171618192120222326141518[[#This Row],[Verbruik Espresso deze maand]]+Tabel24256789101112131415171618192120222326141518[[#This Row],[Verbruik Coffee deze maand]]</f>
        <v>1239</v>
      </c>
      <c r="AD55" s="69"/>
      <c r="AE55" s="41"/>
      <c r="AF55" s="5"/>
      <c r="AG55" s="5"/>
      <c r="AH55" s="75"/>
      <c r="AI55" s="41"/>
      <c r="AJ55" s="5"/>
      <c r="AK55" s="5"/>
      <c r="AL55" s="75"/>
      <c r="AM55" s="41"/>
      <c r="AN55" s="5"/>
      <c r="AO55" s="5"/>
      <c r="AP55" s="75"/>
      <c r="AQ55" s="41"/>
      <c r="AR55" s="5"/>
      <c r="AS55" s="5"/>
      <c r="AT55" s="75"/>
      <c r="AU55" s="41"/>
      <c r="AV55" s="5"/>
      <c r="AW55" s="5"/>
      <c r="AX55" s="79"/>
      <c r="AY55" s="95">
        <f>Tabel24256789101112131415171618192120222326141518[[#This Row],[Subtotaal waterbar in consumpties]]+Tabel24256789101112131415171618192120222326141518[[#This Row],[Subtotaal koffieautomaten]]</f>
        <v>1239</v>
      </c>
    </row>
    <row r="56" spans="1:130" ht="14.45" customHeight="1" x14ac:dyDescent="0.25">
      <c r="A56" s="65" t="s">
        <v>50</v>
      </c>
      <c r="B56" t="s">
        <v>103</v>
      </c>
      <c r="C56" t="s">
        <v>47</v>
      </c>
      <c r="E56">
        <v>9305</v>
      </c>
      <c r="F56">
        <f>juni2025!E56</f>
        <v>9164</v>
      </c>
      <c r="G56">
        <f>Tabel24256789101112131415171618192120222326141518[[#This Row],[Stand Coffee einde maand]]-Tabel24256789101112131415171618192120222326141518[[#This Row],[Coffee vorige maand]]</f>
        <v>141</v>
      </c>
      <c r="H56" s="53">
        <v>4023</v>
      </c>
      <c r="I56">
        <f>juni2025!H56</f>
        <v>3934</v>
      </c>
      <c r="J56">
        <f>Tabel24256789101112131415171618192120222326141518[[#This Row],[Stand Espresso Einde maand]]-Tabel24256789101112131415171618192120222326141518[[#This Row],[Espresso vorige maand]]</f>
        <v>89</v>
      </c>
      <c r="K56" s="53">
        <v>332</v>
      </c>
      <c r="L56">
        <f>juni2025!K56</f>
        <v>320</v>
      </c>
      <c r="M56">
        <f>Tabel24256789101112131415171618192120222326141518[[#This Row],[Stand Latte Macchiato einde maand]]-Tabel24256789101112131415171618192120222326141518[[#This Row],[Latte Macchiato vorige maand]]</f>
        <v>12</v>
      </c>
      <c r="N56" s="53">
        <v>132</v>
      </c>
      <c r="O56">
        <f>juni2025!N56</f>
        <v>132</v>
      </c>
      <c r="P56">
        <f>Tabel24256789101112131415171618192120222326141518[[#This Row],[Stand Coffee Latte einde maand]]-Tabel24256789101112131415171618192120222326141518[[#This Row],[Coffee Latte vorige maand]]</f>
        <v>0</v>
      </c>
      <c r="Q56" s="53">
        <v>1</v>
      </c>
      <c r="R56">
        <f>juni2025!Q56</f>
        <v>1</v>
      </c>
      <c r="S56">
        <f>Tabel24256789101112131415171618192120222326141518[[#This Row],[Stand Hot Water einde maand]]-Tabel24256789101112131415171618192120222326141518[[#This Row],[Hot Water vorige maand]]</f>
        <v>0</v>
      </c>
      <c r="T56" s="53">
        <v>7137</v>
      </c>
      <c r="U56">
        <f>juni2025!T56</f>
        <v>7045</v>
      </c>
      <c r="V56">
        <f>Tabel24256789101112131415171618192120222326141518[[#This Row],[Stand Cappucino einde maand]]-Tabel24256789101112131415171618192120222326141518[[#This Row],[Stand Cappucino vorige maand]]</f>
        <v>92</v>
      </c>
      <c r="W56" s="53">
        <v>636</v>
      </c>
      <c r="X56">
        <f>juni2025!W56</f>
        <v>618</v>
      </c>
      <c r="Y56">
        <f>Tabel24256789101112131415171618192120222326141518[[#This Row],[Stand Cappucino Plantaardig einde maand]]-Tabel24256789101112131415171618192120222326141518[[#This Row],[Stand Cappucino Plantaardig vorige maand]]</f>
        <v>18</v>
      </c>
      <c r="Z56" s="53">
        <v>126</v>
      </c>
      <c r="AA56">
        <f>juni2025!Z56</f>
        <v>125</v>
      </c>
      <c r="AB56">
        <f>Tabel24256789101112131415171618192120222326141518[[#This Row],[Stand Latte Macchiato Plantaardig einde maand]]-Tabel24256789101112131415171618192120222326141518[[#This Row],[Stand Latte Macchiato Plantaardig vorige maand]]</f>
        <v>1</v>
      </c>
      <c r="AC56" s="71">
        <f>Tabel24256789101112131415171618192120222326141518[[#This Row],[Verbruik Stand Latte Macchiato Plantaardig deze maand]]+Tabel24256789101112131415171618192120222326141518[[#This Row],[Verbruik  Cappucino Plantaardig deze maand]]+Tabel24256789101112131415171618192120222326141518[[#This Row],[Verbruik Cappucino deze maand]]+Tabel24256789101112131415171618192120222326141518[[#This Row],[Verbruik Hot Water deze maand]]+Tabel24256789101112131415171618192120222326141518[[#This Row],[Verbruik Coffee Latte deze maand]]+Tabel24256789101112131415171618192120222326141518[[#This Row],[Verbruik Latte Macchiato deze maand]]+Tabel24256789101112131415171618192120222326141518[[#This Row],[Verbruik Espresso deze maand]]+Tabel24256789101112131415171618192120222326141518[[#This Row],[Verbruik Coffee deze maand]]</f>
        <v>353</v>
      </c>
      <c r="AD56" s="53">
        <v>104.5</v>
      </c>
      <c r="AE56">
        <f>juni2025!AD56</f>
        <v>84.9</v>
      </c>
      <c r="AF56">
        <f>Tabel24256789101112131415171618192120222326141518[[#This Row],[Stand Kamertemp liter einde maand]]-Tabel24256789101112131415171618192120222326141518[[#This Row],[Stand Kamertemp liter vorige maand]]</f>
        <v>19.599999999999994</v>
      </c>
      <c r="AG56" s="2">
        <f>Tabel24256789101112131415171618192120222326141518[[#This Row],[Verbruik Kamertemp liter deze maand]]/0.15</f>
        <v>130.66666666666663</v>
      </c>
      <c r="AH56" s="53">
        <v>615.70000000000005</v>
      </c>
      <c r="AI56">
        <f>juni2025!AH56</f>
        <v>518.79999999999995</v>
      </c>
      <c r="AJ56">
        <f>Tabel24256789101112131415171618192120222326141518[[#This Row],[Stand Gekoeld liter einde maand]]-Tabel24256789101112131415171618192120222326141518[[#This Row],[Stand Gekoeld liter vorige maand]]</f>
        <v>96.900000000000091</v>
      </c>
      <c r="AK56" s="2">
        <f>Tabel24256789101112131415171618192120222326141518[[#This Row],[Verbruik Gekoeld liter deze maand]]/0.15</f>
        <v>646.00000000000068</v>
      </c>
      <c r="AL56" s="53">
        <v>661.6</v>
      </c>
      <c r="AM56">
        <f>juni2025!AL56</f>
        <v>568.5</v>
      </c>
      <c r="AN56">
        <f>Tabel24256789101112131415171618192120222326141518[[#This Row],[Stand Bruisend liter einde maand]]-Tabel24256789101112131415171618192120222326141518[[#This Row],[Stand Bruisend liter vorige maand]]</f>
        <v>93.100000000000023</v>
      </c>
      <c r="AO56" s="2">
        <f>Tabel24256789101112131415171618192120222326141518[[#This Row],[Verbruik Bruisend liter deze maand]]/0.15</f>
        <v>620.66666666666686</v>
      </c>
      <c r="AP56" s="53">
        <v>235.2</v>
      </c>
      <c r="AQ56">
        <f>juni2025!AP56</f>
        <v>204.4</v>
      </c>
      <c r="AR56">
        <f>Tabel24256789101112131415171618192120222326141518[[#This Row],[Stand licht bruisend liter einde maand]]-Tabel24256789101112131415171618192120222326141518[[#This Row],[Stand licht bruisend liter vorige maand]]</f>
        <v>30.799999999999983</v>
      </c>
      <c r="AS56" s="2">
        <f>Tabel24256789101112131415171618192120222326141518[[#This Row],[Verbruik licht bruisend liter deze maand]]/0.15</f>
        <v>205.33333333333323</v>
      </c>
      <c r="AT56" s="53">
        <v>2104</v>
      </c>
      <c r="AU56">
        <f>juni2025!AT56</f>
        <v>1926.6</v>
      </c>
      <c r="AV56">
        <f>Tabel24256789101112131415171618192120222326141518[[#This Row],[Stand heet water liter einde maand]]-Tabel24256789101112131415171618192120222326141518[[#This Row],[Stand heet water liter vorige maand]]</f>
        <v>177.40000000000009</v>
      </c>
      <c r="AW56" s="2">
        <f>Tabel24256789101112131415171618192120222326141518[[#This Row],[Verbruik heet Water liter deze maand ]]/0.15</f>
        <v>1182.6666666666674</v>
      </c>
      <c r="AX56" s="77">
        <f>Tabel24256789101112131415171618192120222326141518[[#This Row],[Aantal consumpties heet water deze maand]]+Tabel24256789101112131415171618192120222326141518[[#This Row],[Aantal consumpties licht bruisend water deze maand]]+Tabel24256789101112131415171618192120222326141518[[#This Row],[aantal consumpties Bruisend water deze maand]]+Tabel24256789101112131415171618192120222326141518[[#This Row],[Aantal consumpties gekoeld water deze maand]]+Tabel24256789101112131415171618192120222326141518[[#This Row],[Aantal consumpties Kamertemp deze maand]]</f>
        <v>2785.3333333333344</v>
      </c>
      <c r="AY56" s="95">
        <f>Tabel24256789101112131415171618192120222326141518[[#This Row],[Subtotaal waterbar in consumpties]]+Tabel24256789101112131415171618192120222326141518[[#This Row],[Subtotaal koffieautomaten]]</f>
        <v>3138.3333333333344</v>
      </c>
    </row>
    <row r="57" spans="1:130" ht="14.45" customHeight="1" x14ac:dyDescent="0.25">
      <c r="A57" s="65" t="s">
        <v>52</v>
      </c>
      <c r="B57" t="s">
        <v>104</v>
      </c>
      <c r="C57" t="s">
        <v>47</v>
      </c>
      <c r="E57">
        <v>4721</v>
      </c>
      <c r="F57">
        <f>juni2025!E57</f>
        <v>4512</v>
      </c>
      <c r="G57">
        <f>Tabel24256789101112131415171618192120222326141518[[#This Row],[Stand Coffee einde maand]]-Tabel24256789101112131415171618192120222326141518[[#This Row],[Coffee vorige maand]]</f>
        <v>209</v>
      </c>
      <c r="H57" s="53">
        <v>797</v>
      </c>
      <c r="I57">
        <f>juni2025!H57</f>
        <v>777</v>
      </c>
      <c r="J57">
        <f>Tabel24256789101112131415171618192120222326141518[[#This Row],[Stand Espresso Einde maand]]-Tabel24256789101112131415171618192120222326141518[[#This Row],[Espresso vorige maand]]</f>
        <v>20</v>
      </c>
      <c r="K57" s="53">
        <v>432</v>
      </c>
      <c r="L57">
        <f>juni2025!K57</f>
        <v>425</v>
      </c>
      <c r="M57">
        <f>Tabel24256789101112131415171618192120222326141518[[#This Row],[Stand Latte Macchiato einde maand]]-Tabel24256789101112131415171618192120222326141518[[#This Row],[Latte Macchiato vorige maand]]</f>
        <v>7</v>
      </c>
      <c r="N57" s="53">
        <v>1040</v>
      </c>
      <c r="O57">
        <f>juni2025!N57</f>
        <v>967</v>
      </c>
      <c r="P57">
        <f>Tabel24256789101112131415171618192120222326141518[[#This Row],[Stand Coffee Latte einde maand]]-Tabel24256789101112131415171618192120222326141518[[#This Row],[Coffee Latte vorige maand]]</f>
        <v>73</v>
      </c>
      <c r="Q57" s="53">
        <v>849</v>
      </c>
      <c r="R57">
        <f>juni2025!Q57</f>
        <v>840</v>
      </c>
      <c r="S57">
        <f>Tabel24256789101112131415171618192120222326141518[[#This Row],[Stand Hot Water einde maand]]-Tabel24256789101112131415171618192120222326141518[[#This Row],[Hot Water vorige maand]]</f>
        <v>9</v>
      </c>
      <c r="T57" s="53">
        <v>4732</v>
      </c>
      <c r="U57">
        <f>juni2025!T57</f>
        <v>4455</v>
      </c>
      <c r="V57">
        <f>Tabel24256789101112131415171618192120222326141518[[#This Row],[Stand Cappucino einde maand]]-Tabel24256789101112131415171618192120222326141518[[#This Row],[Stand Cappucino vorige maand]]</f>
        <v>277</v>
      </c>
      <c r="W57" s="53">
        <v>845</v>
      </c>
      <c r="X57">
        <f>juni2025!W57</f>
        <v>832</v>
      </c>
      <c r="Y57">
        <f>Tabel24256789101112131415171618192120222326141518[[#This Row],[Stand Cappucino Plantaardig einde maand]]-Tabel24256789101112131415171618192120222326141518[[#This Row],[Stand Cappucino Plantaardig vorige maand]]</f>
        <v>13</v>
      </c>
      <c r="Z57" s="53">
        <v>113</v>
      </c>
      <c r="AA57">
        <f>juni2025!Z57</f>
        <v>92</v>
      </c>
      <c r="AB57">
        <f>Tabel24256789101112131415171618192120222326141518[[#This Row],[Stand Latte Macchiato Plantaardig einde maand]]-Tabel24256789101112131415171618192120222326141518[[#This Row],[Stand Latte Macchiato Plantaardig vorige maand]]</f>
        <v>21</v>
      </c>
      <c r="AC57" s="71">
        <f>Tabel24256789101112131415171618192120222326141518[[#This Row],[Verbruik Stand Latte Macchiato Plantaardig deze maand]]+Tabel24256789101112131415171618192120222326141518[[#This Row],[Verbruik  Cappucino Plantaardig deze maand]]+Tabel24256789101112131415171618192120222326141518[[#This Row],[Verbruik Cappucino deze maand]]+Tabel24256789101112131415171618192120222326141518[[#This Row],[Verbruik Hot Water deze maand]]+Tabel24256789101112131415171618192120222326141518[[#This Row],[Verbruik Coffee Latte deze maand]]+Tabel24256789101112131415171618192120222326141518[[#This Row],[Verbruik Latte Macchiato deze maand]]+Tabel24256789101112131415171618192120222326141518[[#This Row],[Verbruik Espresso deze maand]]+Tabel24256789101112131415171618192120222326141518[[#This Row],[Verbruik Coffee deze maand]]</f>
        <v>629</v>
      </c>
      <c r="AD57" s="120">
        <v>1.4</v>
      </c>
      <c r="AE57" s="49">
        <v>0</v>
      </c>
      <c r="AF57" s="49">
        <f>Tabel24256789101112131415171618192120222326141518[[#This Row],[Stand Kamertemp liter einde maand]]-Tabel24256789101112131415171618192120222326141518[[#This Row],[Stand Kamertemp liter vorige maand]]</f>
        <v>1.4</v>
      </c>
      <c r="AG57" s="121">
        <f>Tabel24256789101112131415171618192120222326141518[[#This Row],[Verbruik Kamertemp liter deze maand]]/0.15</f>
        <v>9.3333333333333339</v>
      </c>
      <c r="AH57" s="120">
        <v>66.900000000000006</v>
      </c>
      <c r="AI57" s="49">
        <v>0</v>
      </c>
      <c r="AJ57" s="49">
        <f>Tabel24256789101112131415171618192120222326141518[[#This Row],[Stand Gekoeld liter einde maand]]-Tabel24256789101112131415171618192120222326141518[[#This Row],[Stand Gekoeld liter vorige maand]]</f>
        <v>66.900000000000006</v>
      </c>
      <c r="AK57" s="121">
        <f>Tabel24256789101112131415171618192120222326141518[[#This Row],[Verbruik Gekoeld liter deze maand]]/0.15</f>
        <v>446.00000000000006</v>
      </c>
      <c r="AL57" s="120">
        <v>34.700000000000003</v>
      </c>
      <c r="AM57" s="49">
        <v>0</v>
      </c>
      <c r="AN57" s="49">
        <f>Tabel24256789101112131415171618192120222326141518[[#This Row],[Stand Bruisend liter einde maand]]-Tabel24256789101112131415171618192120222326141518[[#This Row],[Stand Bruisend liter vorige maand]]</f>
        <v>34.700000000000003</v>
      </c>
      <c r="AO57" s="121">
        <f>Tabel24256789101112131415171618192120222326141518[[#This Row],[Verbruik Bruisend liter deze maand]]/0.15</f>
        <v>231.33333333333337</v>
      </c>
      <c r="AP57" s="120">
        <v>13.2</v>
      </c>
      <c r="AQ57" s="49">
        <v>0</v>
      </c>
      <c r="AR57" s="49">
        <f>Tabel24256789101112131415171618192120222326141518[[#This Row],[Stand licht bruisend liter einde maand]]-Tabel24256789101112131415171618192120222326141518[[#This Row],[Stand licht bruisend liter vorige maand]]</f>
        <v>13.2</v>
      </c>
      <c r="AS57" s="121">
        <f>Tabel24256789101112131415171618192120222326141518[[#This Row],[Verbruik licht bruisend liter deze maand]]/0.15</f>
        <v>88</v>
      </c>
      <c r="AT57" s="120">
        <v>118.3</v>
      </c>
      <c r="AU57" s="49">
        <v>0</v>
      </c>
      <c r="AV57" s="49">
        <f>Tabel24256789101112131415171618192120222326141518[[#This Row],[Stand heet water liter einde maand]]-Tabel24256789101112131415171618192120222326141518[[#This Row],[Stand heet water liter vorige maand]]</f>
        <v>118.3</v>
      </c>
      <c r="AW57" s="121">
        <f>Tabel24256789101112131415171618192120222326141518[[#This Row],[Verbruik heet Water liter deze maand ]]/0.15</f>
        <v>788.66666666666663</v>
      </c>
      <c r="AX57" s="122">
        <f>Tabel24256789101112131415171618192120222326141518[[#This Row],[Aantal consumpties heet water deze maand]]+Tabel24256789101112131415171618192120222326141518[[#This Row],[Aantal consumpties licht bruisend water deze maand]]+Tabel24256789101112131415171618192120222326141518[[#This Row],[aantal consumpties Bruisend water deze maand]]+Tabel24256789101112131415171618192120222326141518[[#This Row],[Aantal consumpties gekoeld water deze maand]]+Tabel24256789101112131415171618192120222326141518[[#This Row],[Aantal consumpties Kamertemp deze maand]]</f>
        <v>1563.3333333333333</v>
      </c>
      <c r="AY57" s="95">
        <f>Tabel24256789101112131415171618192120222326141518[[#This Row],[Subtotaal waterbar in consumpties]]+Tabel24256789101112131415171618192120222326141518[[#This Row],[Subtotaal koffieautomaten]]</f>
        <v>2192.333333333333</v>
      </c>
    </row>
    <row r="58" spans="1:130" ht="14.45" customHeight="1" x14ac:dyDescent="0.25">
      <c r="A58" s="65" t="s">
        <v>54</v>
      </c>
      <c r="B58" t="s">
        <v>105</v>
      </c>
      <c r="C58" t="s">
        <v>31</v>
      </c>
      <c r="E58">
        <v>8221</v>
      </c>
      <c r="F58">
        <f>juni2025!E58</f>
        <v>8032</v>
      </c>
      <c r="G58">
        <f>Tabel24256789101112131415171618192120222326141518[[#This Row],[Stand Coffee einde maand]]-Tabel24256789101112131415171618192120222326141518[[#This Row],[Coffee vorige maand]]</f>
        <v>189</v>
      </c>
      <c r="H58" s="53">
        <v>3775</v>
      </c>
      <c r="I58">
        <f>juni2025!H58</f>
        <v>3633</v>
      </c>
      <c r="J58">
        <f>Tabel24256789101112131415171618192120222326141518[[#This Row],[Stand Espresso Einde maand]]-Tabel24256789101112131415171618192120222326141518[[#This Row],[Espresso vorige maand]]</f>
        <v>142</v>
      </c>
      <c r="K58" s="53">
        <v>3387</v>
      </c>
      <c r="L58">
        <f>juni2025!K58</f>
        <v>3344</v>
      </c>
      <c r="M58">
        <f>Tabel24256789101112131415171618192120222326141518[[#This Row],[Stand Latte Macchiato einde maand]]-Tabel24256789101112131415171618192120222326141518[[#This Row],[Latte Macchiato vorige maand]]</f>
        <v>43</v>
      </c>
      <c r="N58" s="53">
        <v>1046</v>
      </c>
      <c r="O58">
        <f>juni2025!N58</f>
        <v>1002</v>
      </c>
      <c r="P58">
        <f>Tabel24256789101112131415171618192120222326141518[[#This Row],[Stand Coffee Latte einde maand]]-Tabel24256789101112131415171618192120222326141518[[#This Row],[Coffee Latte vorige maand]]</f>
        <v>44</v>
      </c>
      <c r="Q58" s="53">
        <v>35797</v>
      </c>
      <c r="R58">
        <f>juni2025!Q58</f>
        <v>35209</v>
      </c>
      <c r="S58">
        <f>Tabel24256789101112131415171618192120222326141518[[#This Row],[Stand Hot Water einde maand]]-Tabel24256789101112131415171618192120222326141518[[#This Row],[Hot Water vorige maand]]</f>
        <v>588</v>
      </c>
      <c r="T58" s="53">
        <v>6692</v>
      </c>
      <c r="U58">
        <f>juni2025!T58</f>
        <v>6451</v>
      </c>
      <c r="V58">
        <f>Tabel24256789101112131415171618192120222326141518[[#This Row],[Stand Cappucino einde maand]]-Tabel24256789101112131415171618192120222326141518[[#This Row],[Stand Cappucino vorige maand]]</f>
        <v>241</v>
      </c>
      <c r="W58" s="53">
        <v>1108</v>
      </c>
      <c r="X58">
        <f>juni2025!W58</f>
        <v>1087</v>
      </c>
      <c r="Y58">
        <f>Tabel24256789101112131415171618192120222326141518[[#This Row],[Stand Cappucino Plantaardig einde maand]]-Tabel24256789101112131415171618192120222326141518[[#This Row],[Stand Cappucino Plantaardig vorige maand]]</f>
        <v>21</v>
      </c>
      <c r="Z58" s="53">
        <v>266</v>
      </c>
      <c r="AA58">
        <f>juni2025!Z58</f>
        <v>257</v>
      </c>
      <c r="AB58">
        <f>Tabel24256789101112131415171618192120222326141518[[#This Row],[Stand Latte Macchiato Plantaardig einde maand]]-Tabel24256789101112131415171618192120222326141518[[#This Row],[Stand Latte Macchiato Plantaardig vorige maand]]</f>
        <v>9</v>
      </c>
      <c r="AC58" s="71">
        <f>Tabel24256789101112131415171618192120222326141518[[#This Row],[Verbruik Stand Latte Macchiato Plantaardig deze maand]]+Tabel24256789101112131415171618192120222326141518[[#This Row],[Verbruik  Cappucino Plantaardig deze maand]]+Tabel24256789101112131415171618192120222326141518[[#This Row],[Verbruik Cappucino deze maand]]+Tabel24256789101112131415171618192120222326141518[[#This Row],[Verbruik Hot Water deze maand]]+Tabel24256789101112131415171618192120222326141518[[#This Row],[Verbruik Coffee Latte deze maand]]+Tabel24256789101112131415171618192120222326141518[[#This Row],[Verbruik Latte Macchiato deze maand]]+Tabel24256789101112131415171618192120222326141518[[#This Row],[Verbruik Espresso deze maand]]+Tabel24256789101112131415171618192120222326141518[[#This Row],[Verbruik Coffee deze maand]]</f>
        <v>1277</v>
      </c>
      <c r="AD58" s="69"/>
      <c r="AE58" s="41"/>
      <c r="AF58" s="5"/>
      <c r="AG58" s="5"/>
      <c r="AH58" s="75"/>
      <c r="AI58" s="41"/>
      <c r="AJ58" s="5"/>
      <c r="AK58" s="5"/>
      <c r="AL58" s="75"/>
      <c r="AM58" s="41"/>
      <c r="AN58" s="5"/>
      <c r="AO58" s="5"/>
      <c r="AP58" s="75"/>
      <c r="AQ58" s="41"/>
      <c r="AR58" s="5"/>
      <c r="AS58" s="5"/>
      <c r="AT58" s="75"/>
      <c r="AU58" s="41"/>
      <c r="AV58" s="5"/>
      <c r="AW58" s="5"/>
      <c r="AX58" s="79"/>
      <c r="AY58" s="95">
        <f>Tabel24256789101112131415171618192120222326141518[[#This Row],[Subtotaal waterbar in consumpties]]+Tabel24256789101112131415171618192120222326141518[[#This Row],[Subtotaal koffieautomaten]]</f>
        <v>1277</v>
      </c>
    </row>
    <row r="59" spans="1:130" ht="14.45" customHeight="1" x14ac:dyDescent="0.25">
      <c r="A59" s="65" t="s">
        <v>56</v>
      </c>
      <c r="B59" t="s">
        <v>106</v>
      </c>
      <c r="C59" t="s">
        <v>47</v>
      </c>
      <c r="E59">
        <v>12781</v>
      </c>
      <c r="F59">
        <f>juni2025!E59</f>
        <v>12368</v>
      </c>
      <c r="G59">
        <f>Tabel24256789101112131415171618192120222326141518[[#This Row],[Stand Coffee einde maand]]-Tabel24256789101112131415171618192120222326141518[[#This Row],[Coffee vorige maand]]</f>
        <v>413</v>
      </c>
      <c r="H59" s="53">
        <v>3742</v>
      </c>
      <c r="I59">
        <f>juni2025!H59</f>
        <v>3572</v>
      </c>
      <c r="J59">
        <f>Tabel24256789101112131415171618192120222326141518[[#This Row],[Stand Espresso Einde maand]]-Tabel24256789101112131415171618192120222326141518[[#This Row],[Espresso vorige maand]]</f>
        <v>170</v>
      </c>
      <c r="K59" s="53">
        <v>3518</v>
      </c>
      <c r="L59">
        <f>juni2025!K59</f>
        <v>3397</v>
      </c>
      <c r="M59">
        <f>Tabel24256789101112131415171618192120222326141518[[#This Row],[Stand Latte Macchiato einde maand]]-Tabel24256789101112131415171618192120222326141518[[#This Row],[Latte Macchiato vorige maand]]</f>
        <v>121</v>
      </c>
      <c r="N59" s="53">
        <v>398</v>
      </c>
      <c r="O59">
        <f>juni2025!N59</f>
        <v>379</v>
      </c>
      <c r="P59">
        <f>Tabel24256789101112131415171618192120222326141518[[#This Row],[Stand Coffee Latte einde maand]]-Tabel24256789101112131415171618192120222326141518[[#This Row],[Coffee Latte vorige maand]]</f>
        <v>19</v>
      </c>
      <c r="Q59" s="53">
        <v>1</v>
      </c>
      <c r="R59">
        <f>juni2025!Q59</f>
        <v>1</v>
      </c>
      <c r="S59">
        <f>Tabel24256789101112131415171618192120222326141518[[#This Row],[Stand Hot Water einde maand]]-Tabel24256789101112131415171618192120222326141518[[#This Row],[Hot Water vorige maand]]</f>
        <v>0</v>
      </c>
      <c r="T59" s="53">
        <v>6899</v>
      </c>
      <c r="U59">
        <f>juni2025!T59</f>
        <v>6702</v>
      </c>
      <c r="V59">
        <f>Tabel24256789101112131415171618192120222326141518[[#This Row],[Stand Cappucino einde maand]]-Tabel24256789101112131415171618192120222326141518[[#This Row],[Stand Cappucino vorige maand]]</f>
        <v>197</v>
      </c>
      <c r="W59" s="53">
        <v>1316</v>
      </c>
      <c r="X59">
        <f>juni2025!W59</f>
        <v>1293</v>
      </c>
      <c r="Y59">
        <f>Tabel24256789101112131415171618192120222326141518[[#This Row],[Stand Cappucino Plantaardig einde maand]]-Tabel24256789101112131415171618192120222326141518[[#This Row],[Stand Cappucino Plantaardig vorige maand]]</f>
        <v>23</v>
      </c>
      <c r="Z59" s="53">
        <v>179</v>
      </c>
      <c r="AA59">
        <f>juni2025!Z59</f>
        <v>179</v>
      </c>
      <c r="AB59">
        <f>Tabel24256789101112131415171618192120222326141518[[#This Row],[Stand Latte Macchiato Plantaardig einde maand]]-Tabel24256789101112131415171618192120222326141518[[#This Row],[Stand Latte Macchiato Plantaardig vorige maand]]</f>
        <v>0</v>
      </c>
      <c r="AC59" s="71">
        <f>Tabel24256789101112131415171618192120222326141518[[#This Row],[Verbruik Stand Latte Macchiato Plantaardig deze maand]]+Tabel24256789101112131415171618192120222326141518[[#This Row],[Verbruik  Cappucino Plantaardig deze maand]]+Tabel24256789101112131415171618192120222326141518[[#This Row],[Verbruik Cappucino deze maand]]+Tabel24256789101112131415171618192120222326141518[[#This Row],[Verbruik Hot Water deze maand]]+Tabel24256789101112131415171618192120222326141518[[#This Row],[Verbruik Coffee Latte deze maand]]+Tabel24256789101112131415171618192120222326141518[[#This Row],[Verbruik Latte Macchiato deze maand]]+Tabel24256789101112131415171618192120222326141518[[#This Row],[Verbruik Espresso deze maand]]+Tabel24256789101112131415171618192120222326141518[[#This Row],[Verbruik Coffee deze maand]]</f>
        <v>943</v>
      </c>
      <c r="AD59" s="53">
        <v>382.6</v>
      </c>
      <c r="AE59">
        <f>juni2025!AD59</f>
        <v>372.3</v>
      </c>
      <c r="AF59">
        <f>Tabel24256789101112131415171618192120222326141518[[#This Row],[Stand Kamertemp liter einde maand]]-Tabel24256789101112131415171618192120222326141518[[#This Row],[Stand Kamertemp liter vorige maand]]</f>
        <v>10.300000000000011</v>
      </c>
      <c r="AG59" s="2">
        <f>Tabel24256789101112131415171618192120222326141518[[#This Row],[Verbruik Kamertemp liter deze maand]]/0.15</f>
        <v>68.666666666666742</v>
      </c>
      <c r="AH59" s="53">
        <v>3573.7</v>
      </c>
      <c r="AI59">
        <f>juni2025!AH59</f>
        <v>3344.1</v>
      </c>
      <c r="AJ59">
        <f>Tabel24256789101112131415171618192120222326141518[[#This Row],[Stand Gekoeld liter einde maand]]-Tabel24256789101112131415171618192120222326141518[[#This Row],[Stand Gekoeld liter vorige maand]]</f>
        <v>229.59999999999991</v>
      </c>
      <c r="AK59" s="2">
        <f>Tabel24256789101112131415171618192120222326141518[[#This Row],[Verbruik Gekoeld liter deze maand]]/0.15</f>
        <v>1530.6666666666661</v>
      </c>
      <c r="AL59" s="53">
        <v>2518.6</v>
      </c>
      <c r="AM59">
        <f>juni2025!AL59</f>
        <v>2382.5</v>
      </c>
      <c r="AN59">
        <f>Tabel24256789101112131415171618192120222326141518[[#This Row],[Stand Bruisend liter einde maand]]-Tabel24256789101112131415171618192120222326141518[[#This Row],[Stand Bruisend liter vorige maand]]</f>
        <v>136.09999999999991</v>
      </c>
      <c r="AO59" s="2">
        <f>Tabel24256789101112131415171618192120222326141518[[#This Row],[Verbruik Bruisend liter deze maand]]/0.15</f>
        <v>907.3333333333328</v>
      </c>
      <c r="AP59" s="53">
        <v>1350.4</v>
      </c>
      <c r="AQ59">
        <f>juni2025!AP59</f>
        <v>1310</v>
      </c>
      <c r="AR59">
        <f>Tabel24256789101112131415171618192120222326141518[[#This Row],[Stand licht bruisend liter einde maand]]-Tabel24256789101112131415171618192120222326141518[[#This Row],[Stand licht bruisend liter vorige maand]]</f>
        <v>40.400000000000091</v>
      </c>
      <c r="AS59" s="2">
        <f>Tabel24256789101112131415171618192120222326141518[[#This Row],[Verbruik licht bruisend liter deze maand]]/0.15</f>
        <v>269.33333333333394</v>
      </c>
      <c r="AT59" s="53">
        <v>8685.6</v>
      </c>
      <c r="AU59">
        <f>juni2025!AT59</f>
        <v>8547.7999999999993</v>
      </c>
      <c r="AV59">
        <f>Tabel24256789101112131415171618192120222326141518[[#This Row],[Stand heet water liter einde maand]]-Tabel24256789101112131415171618192120222326141518[[#This Row],[Stand heet water liter vorige maand]]</f>
        <v>137.80000000000109</v>
      </c>
      <c r="AW59" s="2">
        <f>Tabel24256789101112131415171618192120222326141518[[#This Row],[Verbruik heet Water liter deze maand ]]/0.15</f>
        <v>918.66666666667402</v>
      </c>
      <c r="AX59" s="77">
        <f>Tabel24256789101112131415171618192120222326141518[[#This Row],[Aantal consumpties heet water deze maand]]+Tabel24256789101112131415171618192120222326141518[[#This Row],[Aantal consumpties licht bruisend water deze maand]]+Tabel24256789101112131415171618192120222326141518[[#This Row],[aantal consumpties Bruisend water deze maand]]+Tabel24256789101112131415171618192120222326141518[[#This Row],[Aantal consumpties gekoeld water deze maand]]+Tabel24256789101112131415171618192120222326141518[[#This Row],[Aantal consumpties Kamertemp deze maand]]</f>
        <v>3694.6666666666733</v>
      </c>
      <c r="AY59" s="95">
        <f>Tabel24256789101112131415171618192120222326141518[[#This Row],[Subtotaal waterbar in consumpties]]+Tabel24256789101112131415171618192120222326141518[[#This Row],[Subtotaal koffieautomaten]]</f>
        <v>4637.6666666666733</v>
      </c>
    </row>
    <row r="60" spans="1:130" ht="14.45" customHeight="1" x14ac:dyDescent="0.25">
      <c r="A60" s="65" t="s">
        <v>58</v>
      </c>
      <c r="B60" t="s">
        <v>107</v>
      </c>
      <c r="C60" t="s">
        <v>31</v>
      </c>
      <c r="E60">
        <v>13728</v>
      </c>
      <c r="F60">
        <f>juni2025!E60</f>
        <v>13224</v>
      </c>
      <c r="G60">
        <f>Tabel24256789101112131415171618192120222326141518[[#This Row],[Stand Coffee einde maand]]-Tabel24256789101112131415171618192120222326141518[[#This Row],[Coffee vorige maand]]</f>
        <v>504</v>
      </c>
      <c r="H60" s="53">
        <v>2608</v>
      </c>
      <c r="I60">
        <f>juni2025!H60</f>
        <v>2513</v>
      </c>
      <c r="J60">
        <f>Tabel24256789101112131415171618192120222326141518[[#This Row],[Stand Espresso Einde maand]]-Tabel24256789101112131415171618192120222326141518[[#This Row],[Espresso vorige maand]]</f>
        <v>95</v>
      </c>
      <c r="K60" s="53">
        <v>2144</v>
      </c>
      <c r="L60">
        <f>juni2025!K60</f>
        <v>2052</v>
      </c>
      <c r="M60">
        <f>Tabel24256789101112131415171618192120222326141518[[#This Row],[Stand Latte Macchiato einde maand]]-Tabel24256789101112131415171618192120222326141518[[#This Row],[Latte Macchiato vorige maand]]</f>
        <v>92</v>
      </c>
      <c r="N60" s="53">
        <v>360</v>
      </c>
      <c r="O60">
        <f>juni2025!N60</f>
        <v>354</v>
      </c>
      <c r="P60">
        <f>Tabel24256789101112131415171618192120222326141518[[#This Row],[Stand Coffee Latte einde maand]]-Tabel24256789101112131415171618192120222326141518[[#This Row],[Coffee Latte vorige maand]]</f>
        <v>6</v>
      </c>
      <c r="Q60" s="53">
        <v>26277</v>
      </c>
      <c r="R60">
        <f>juni2025!Q60</f>
        <v>25599</v>
      </c>
      <c r="S60">
        <f>Tabel24256789101112131415171618192120222326141518[[#This Row],[Stand Hot Water einde maand]]-Tabel24256789101112131415171618192120222326141518[[#This Row],[Hot Water vorige maand]]</f>
        <v>678</v>
      </c>
      <c r="T60" s="53">
        <v>3735</v>
      </c>
      <c r="U60">
        <f>juni2025!T60</f>
        <v>3640</v>
      </c>
      <c r="V60">
        <f>Tabel24256789101112131415171618192120222326141518[[#This Row],[Stand Cappucino einde maand]]-Tabel24256789101112131415171618192120222326141518[[#This Row],[Stand Cappucino vorige maand]]</f>
        <v>95</v>
      </c>
      <c r="W60" s="53">
        <v>2448</v>
      </c>
      <c r="X60">
        <f>juni2025!W60</f>
        <v>2384</v>
      </c>
      <c r="Y60">
        <f>Tabel24256789101112131415171618192120222326141518[[#This Row],[Stand Cappucino Plantaardig einde maand]]-Tabel24256789101112131415171618192120222326141518[[#This Row],[Stand Cappucino Plantaardig vorige maand]]</f>
        <v>64</v>
      </c>
      <c r="Z60" s="53">
        <v>488</v>
      </c>
      <c r="AA60">
        <f>juni2025!Z60</f>
        <v>487</v>
      </c>
      <c r="AB60">
        <f>Tabel24256789101112131415171618192120222326141518[[#This Row],[Stand Latte Macchiato Plantaardig einde maand]]-Tabel24256789101112131415171618192120222326141518[[#This Row],[Stand Latte Macchiato Plantaardig vorige maand]]</f>
        <v>1</v>
      </c>
      <c r="AC60" s="71">
        <f>Tabel24256789101112131415171618192120222326141518[[#This Row],[Verbruik Stand Latte Macchiato Plantaardig deze maand]]+Tabel24256789101112131415171618192120222326141518[[#This Row],[Verbruik  Cappucino Plantaardig deze maand]]+Tabel24256789101112131415171618192120222326141518[[#This Row],[Verbruik Cappucino deze maand]]+Tabel24256789101112131415171618192120222326141518[[#This Row],[Verbruik Hot Water deze maand]]+Tabel24256789101112131415171618192120222326141518[[#This Row],[Verbruik Coffee Latte deze maand]]+Tabel24256789101112131415171618192120222326141518[[#This Row],[Verbruik Latte Macchiato deze maand]]+Tabel24256789101112131415171618192120222326141518[[#This Row],[Verbruik Espresso deze maand]]+Tabel24256789101112131415171618192120222326141518[[#This Row],[Verbruik Coffee deze maand]]</f>
        <v>1535</v>
      </c>
      <c r="AD60" s="69"/>
      <c r="AE60" s="41"/>
      <c r="AF60" s="5"/>
      <c r="AG60" s="5"/>
      <c r="AH60" s="75"/>
      <c r="AI60" s="41"/>
      <c r="AJ60" s="5"/>
      <c r="AK60" s="5"/>
      <c r="AL60" s="75"/>
      <c r="AM60" s="41"/>
      <c r="AN60" s="5"/>
      <c r="AO60" s="5"/>
      <c r="AP60" s="75"/>
      <c r="AQ60" s="41"/>
      <c r="AR60" s="5"/>
      <c r="AS60" s="5"/>
      <c r="AT60" s="75"/>
      <c r="AU60" s="41"/>
      <c r="AV60" s="5"/>
      <c r="AW60" s="5"/>
      <c r="AX60" s="79"/>
      <c r="AY60" s="95">
        <f>Tabel24256789101112131415171618192120222326141518[[#This Row],[Subtotaal waterbar in consumpties]]+Tabel24256789101112131415171618192120222326141518[[#This Row],[Subtotaal koffieautomaten]]</f>
        <v>1535</v>
      </c>
    </row>
    <row r="61" spans="1:130" ht="14.45" customHeight="1" x14ac:dyDescent="0.25">
      <c r="A61" s="65" t="s">
        <v>60</v>
      </c>
      <c r="B61" t="s">
        <v>108</v>
      </c>
      <c r="C61" t="s">
        <v>36</v>
      </c>
      <c r="E61" s="46"/>
      <c r="F61" s="46"/>
      <c r="G61" s="47"/>
      <c r="H61" s="54"/>
      <c r="I61" s="46"/>
      <c r="J61" s="47"/>
      <c r="K61" s="54"/>
      <c r="L61" s="46"/>
      <c r="M61" s="47"/>
      <c r="N61" s="54"/>
      <c r="O61" s="46"/>
      <c r="P61" s="47"/>
      <c r="Q61" s="54"/>
      <c r="R61" s="46"/>
      <c r="S61" s="47"/>
      <c r="T61" s="54"/>
      <c r="U61" s="46"/>
      <c r="V61" s="47"/>
      <c r="W61" s="54"/>
      <c r="X61" s="46"/>
      <c r="Y61" s="47"/>
      <c r="Z61" s="54"/>
      <c r="AA61" s="46"/>
      <c r="AB61" s="47"/>
      <c r="AC61" s="72"/>
      <c r="AD61" s="53">
        <v>348.2</v>
      </c>
      <c r="AE61">
        <f>juni2025!AD61</f>
        <v>336.4</v>
      </c>
      <c r="AF61">
        <f>Tabel24256789101112131415171618192120222326141518[[#This Row],[Stand Kamertemp liter einde maand]]-Tabel24256789101112131415171618192120222326141518[[#This Row],[Stand Kamertemp liter vorige maand]]</f>
        <v>11.800000000000011</v>
      </c>
      <c r="AG61" s="2">
        <f>Tabel24256789101112131415171618192120222326141518[[#This Row],[Verbruik Kamertemp liter deze maand]]/0.15</f>
        <v>78.666666666666742</v>
      </c>
      <c r="AH61" s="53">
        <v>1848.1</v>
      </c>
      <c r="AI61">
        <f>juni2025!AH61</f>
        <v>1733.7</v>
      </c>
      <c r="AJ61">
        <f>Tabel24256789101112131415171618192120222326141518[[#This Row],[Stand Gekoeld liter einde maand]]-Tabel24256789101112131415171618192120222326141518[[#This Row],[Stand Gekoeld liter vorige maand]]</f>
        <v>114.39999999999986</v>
      </c>
      <c r="AK61" s="2">
        <f>Tabel24256789101112131415171618192120222326141518[[#This Row],[Verbruik Gekoeld liter deze maand]]/0.15</f>
        <v>762.66666666666583</v>
      </c>
      <c r="AL61" s="53">
        <v>945.2</v>
      </c>
      <c r="AM61">
        <f>juni2025!AL61</f>
        <v>899.4</v>
      </c>
      <c r="AN61">
        <f>Tabel24256789101112131415171618192120222326141518[[#This Row],[Stand Bruisend liter einde maand]]-Tabel24256789101112131415171618192120222326141518[[#This Row],[Stand Bruisend liter vorige maand]]</f>
        <v>45.800000000000068</v>
      </c>
      <c r="AO61" s="2">
        <f>Tabel24256789101112131415171618192120222326141518[[#This Row],[Verbruik Bruisend liter deze maand]]/0.15</f>
        <v>305.33333333333383</v>
      </c>
      <c r="AP61" s="53">
        <v>1303</v>
      </c>
      <c r="AQ61">
        <f>juni2025!AP61</f>
        <v>1256.5</v>
      </c>
      <c r="AR61">
        <f>Tabel24256789101112131415171618192120222326141518[[#This Row],[Stand licht bruisend liter einde maand]]-Tabel24256789101112131415171618192120222326141518[[#This Row],[Stand licht bruisend liter vorige maand]]</f>
        <v>46.5</v>
      </c>
      <c r="AS61" s="2">
        <f>Tabel24256789101112131415171618192120222326141518[[#This Row],[Verbruik licht bruisend liter deze maand]]/0.15</f>
        <v>310</v>
      </c>
      <c r="AT61" s="53">
        <v>4633.1000000000004</v>
      </c>
      <c r="AU61">
        <f>juni2025!AT61</f>
        <v>4482.8999999999996</v>
      </c>
      <c r="AV61">
        <f>Tabel24256789101112131415171618192120222326141518[[#This Row],[Stand heet water liter einde maand]]-Tabel24256789101112131415171618192120222326141518[[#This Row],[Stand heet water liter vorige maand]]</f>
        <v>150.20000000000073</v>
      </c>
      <c r="AW61" s="2">
        <f>Tabel24256789101112131415171618192120222326141518[[#This Row],[Verbruik heet Water liter deze maand ]]/0.15</f>
        <v>1001.3333333333383</v>
      </c>
      <c r="AX61" s="77">
        <f>Tabel24256789101112131415171618192120222326141518[[#This Row],[Aantal consumpties heet water deze maand]]+Tabel24256789101112131415171618192120222326141518[[#This Row],[Aantal consumpties licht bruisend water deze maand]]+Tabel24256789101112131415171618192120222326141518[[#This Row],[aantal consumpties Bruisend water deze maand]]+Tabel24256789101112131415171618192120222326141518[[#This Row],[Aantal consumpties gekoeld water deze maand]]+Tabel24256789101112131415171618192120222326141518[[#This Row],[Aantal consumpties Kamertemp deze maand]]</f>
        <v>2458.0000000000045</v>
      </c>
      <c r="AY61" s="95">
        <f>Tabel24256789101112131415171618192120222326141518[[#This Row],[Subtotaal waterbar in consumpties]]+Tabel24256789101112131415171618192120222326141518[[#This Row],[Subtotaal koffieautomaten]]</f>
        <v>2458.0000000000045</v>
      </c>
    </row>
    <row r="62" spans="1:130" s="81" customFormat="1" x14ac:dyDescent="0.25">
      <c r="A62" s="165" t="s">
        <v>109</v>
      </c>
      <c r="B62" s="151"/>
      <c r="C62" s="151"/>
      <c r="D62" s="166"/>
      <c r="E62" s="151"/>
      <c r="F62" s="151"/>
      <c r="G62" s="151"/>
      <c r="H62" s="167"/>
      <c r="I62" s="151"/>
      <c r="J62" s="151"/>
      <c r="K62" s="167"/>
      <c r="L62" s="151"/>
      <c r="M62" s="151"/>
      <c r="N62" s="167"/>
      <c r="O62" s="151"/>
      <c r="P62" s="151"/>
      <c r="Q62" s="167"/>
      <c r="R62" s="151"/>
      <c r="S62" s="151"/>
      <c r="T62" s="167"/>
      <c r="U62" s="151"/>
      <c r="V62" s="151"/>
      <c r="W62" s="167"/>
      <c r="X62" s="151"/>
      <c r="Y62" s="151"/>
      <c r="Z62" s="167"/>
      <c r="AA62" s="151"/>
      <c r="AB62" s="151"/>
      <c r="AC62" s="168"/>
      <c r="AD62" s="169"/>
      <c r="AE62" s="154"/>
      <c r="AF62" s="151"/>
      <c r="AG62" s="155"/>
      <c r="AH62" s="169"/>
      <c r="AI62" s="154"/>
      <c r="AJ62" s="151"/>
      <c r="AK62" s="155"/>
      <c r="AL62" s="169"/>
      <c r="AM62" s="154"/>
      <c r="AN62" s="151"/>
      <c r="AO62" s="155"/>
      <c r="AP62" s="169"/>
      <c r="AQ62" s="154"/>
      <c r="AR62" s="151"/>
      <c r="AS62" s="155"/>
      <c r="AT62" s="169"/>
      <c r="AU62" s="154"/>
      <c r="AV62" s="151"/>
      <c r="AW62" s="155"/>
      <c r="AX62" s="170"/>
      <c r="AY62" s="171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</row>
    <row r="63" spans="1:130" x14ac:dyDescent="0.25">
      <c r="A63" s="67">
        <v>1</v>
      </c>
      <c r="B63" t="s">
        <v>110</v>
      </c>
      <c r="C63" t="s">
        <v>31</v>
      </c>
      <c r="E63">
        <v>12199</v>
      </c>
      <c r="F63">
        <f>juni2025!E63</f>
        <v>11841</v>
      </c>
      <c r="G63">
        <f>Tabel24256789101112131415171618192120222326141518[[#This Row],[Stand Coffee einde maand]]-Tabel24256789101112131415171618192120222326141518[[#This Row],[Coffee vorige maand]]</f>
        <v>358</v>
      </c>
      <c r="H63" s="53">
        <v>1662</v>
      </c>
      <c r="I63">
        <f>juni2025!H63</f>
        <v>1629</v>
      </c>
      <c r="J63">
        <f>Tabel24256789101112131415171618192120222326141518[[#This Row],[Stand Espresso Einde maand]]-Tabel24256789101112131415171618192120222326141518[[#This Row],[Espresso vorige maand]]</f>
        <v>33</v>
      </c>
      <c r="K63" s="53">
        <v>1134</v>
      </c>
      <c r="L63">
        <f>juni2025!K63</f>
        <v>1108</v>
      </c>
      <c r="M63">
        <f>Tabel24256789101112131415171618192120222326141518[[#This Row],[Stand Latte Macchiato einde maand]]-Tabel24256789101112131415171618192120222326141518[[#This Row],[Latte Macchiato vorige maand]]</f>
        <v>26</v>
      </c>
      <c r="N63" s="53">
        <v>527</v>
      </c>
      <c r="O63">
        <f>juni2025!N63</f>
        <v>525</v>
      </c>
      <c r="P63">
        <f>Tabel24256789101112131415171618192120222326141518[[#This Row],[Stand Coffee Latte einde maand]]-Tabel24256789101112131415171618192120222326141518[[#This Row],[Coffee Latte vorige maand]]</f>
        <v>2</v>
      </c>
      <c r="Q63" s="53">
        <v>10477</v>
      </c>
      <c r="R63">
        <f>juni2025!Q63</f>
        <v>10113</v>
      </c>
      <c r="S63">
        <f>Tabel24256789101112131415171618192120222326141518[[#This Row],[Stand Hot Water einde maand]]-Tabel24256789101112131415171618192120222326141518[[#This Row],[Hot Water vorige maand]]</f>
        <v>364</v>
      </c>
      <c r="T63" s="53">
        <v>4250</v>
      </c>
      <c r="U63">
        <f>juni2025!T63</f>
        <v>4085</v>
      </c>
      <c r="V63">
        <f>Tabel24256789101112131415171618192120222326141518[[#This Row],[Stand Cappucino einde maand]]-Tabel24256789101112131415171618192120222326141518[[#This Row],[Stand Cappucino vorige maand]]</f>
        <v>165</v>
      </c>
      <c r="W63" s="53">
        <v>57</v>
      </c>
      <c r="X63">
        <f>juni2025!W63</f>
        <v>57</v>
      </c>
      <c r="Y63">
        <f>Tabel24256789101112131415171618192120222326141518[[#This Row],[Stand Cappucino Plantaardig einde maand]]-Tabel24256789101112131415171618192120222326141518[[#This Row],[Stand Cappucino Plantaardig vorige maand]]</f>
        <v>0</v>
      </c>
      <c r="Z63" s="53">
        <v>247</v>
      </c>
      <c r="AA63">
        <f>juni2025!Z63</f>
        <v>246</v>
      </c>
      <c r="AB63">
        <f>Tabel24256789101112131415171618192120222326141518[[#This Row],[Stand Latte Macchiato Plantaardig einde maand]]-Tabel24256789101112131415171618192120222326141518[[#This Row],[Stand Latte Macchiato Plantaardig vorige maand]]</f>
        <v>1</v>
      </c>
      <c r="AC63" s="71">
        <f>Tabel24256789101112131415171618192120222326141518[[#This Row],[Verbruik Stand Latte Macchiato Plantaardig deze maand]]+Tabel24256789101112131415171618192120222326141518[[#This Row],[Verbruik  Cappucino Plantaardig deze maand]]+Tabel24256789101112131415171618192120222326141518[[#This Row],[Verbruik Cappucino deze maand]]+Tabel24256789101112131415171618192120222326141518[[#This Row],[Verbruik Hot Water deze maand]]+Tabel24256789101112131415171618192120222326141518[[#This Row],[Verbruik Coffee Latte deze maand]]+Tabel24256789101112131415171618192120222326141518[[#This Row],[Verbruik Latte Macchiato deze maand]]+Tabel24256789101112131415171618192120222326141518[[#This Row],[Verbruik Espresso deze maand]]+Tabel24256789101112131415171618192120222326141518[[#This Row],[Verbruik Coffee deze maand]]</f>
        <v>949</v>
      </c>
      <c r="AD63" s="69"/>
      <c r="AE63" s="41"/>
      <c r="AF63" s="5"/>
      <c r="AG63" s="5"/>
      <c r="AH63" s="69"/>
      <c r="AI63" s="41"/>
      <c r="AJ63" s="5"/>
      <c r="AK63" s="5"/>
      <c r="AL63" s="69"/>
      <c r="AM63" s="41"/>
      <c r="AN63" s="5"/>
      <c r="AO63" s="5"/>
      <c r="AP63" s="69"/>
      <c r="AQ63" s="41"/>
      <c r="AR63" s="5"/>
      <c r="AS63" s="5"/>
      <c r="AT63" s="69"/>
      <c r="AU63" s="41"/>
      <c r="AV63" s="5"/>
      <c r="AW63" s="7"/>
      <c r="AX63" s="78"/>
      <c r="AY63" s="95">
        <f>Tabel24256789101112131415171618192120222326141518[[#This Row],[Subtotaal waterbar in consumpties]]+Tabel24256789101112131415171618192120222326141518[[#This Row],[Subtotaal koffieautomaten]]</f>
        <v>949</v>
      </c>
    </row>
    <row r="64" spans="1:130" x14ac:dyDescent="0.25">
      <c r="A64" s="67">
        <v>1</v>
      </c>
      <c r="B64" t="s">
        <v>111</v>
      </c>
      <c r="C64" t="s">
        <v>31</v>
      </c>
      <c r="E64">
        <v>12817</v>
      </c>
      <c r="F64">
        <f>juni2025!E64</f>
        <v>12543</v>
      </c>
      <c r="G64">
        <f>Tabel24256789101112131415171618192120222326141518[[#This Row],[Stand Coffee einde maand]]-Tabel24256789101112131415171618192120222326141518[[#This Row],[Coffee vorige maand]]</f>
        <v>274</v>
      </c>
      <c r="H64" s="53">
        <v>664</v>
      </c>
      <c r="I64">
        <f>juni2025!H64</f>
        <v>637</v>
      </c>
      <c r="J64">
        <f>Tabel24256789101112131415171618192120222326141518[[#This Row],[Stand Espresso Einde maand]]-Tabel24256789101112131415171618192120222326141518[[#This Row],[Espresso vorige maand]]</f>
        <v>27</v>
      </c>
      <c r="K64" s="53">
        <v>2248</v>
      </c>
      <c r="L64">
        <f>juni2025!K64</f>
        <v>2230</v>
      </c>
      <c r="M64">
        <f>Tabel24256789101112131415171618192120222326141518[[#This Row],[Stand Latte Macchiato einde maand]]-Tabel24256789101112131415171618192120222326141518[[#This Row],[Latte Macchiato vorige maand]]</f>
        <v>18</v>
      </c>
      <c r="N64" s="53">
        <v>1335</v>
      </c>
      <c r="O64">
        <f>juni2025!N64</f>
        <v>1327</v>
      </c>
      <c r="P64">
        <f>Tabel24256789101112131415171618192120222326141518[[#This Row],[Stand Coffee Latte einde maand]]-Tabel24256789101112131415171618192120222326141518[[#This Row],[Coffee Latte vorige maand]]</f>
        <v>8</v>
      </c>
      <c r="Q64" s="53">
        <v>10532</v>
      </c>
      <c r="R64">
        <f>juni2025!Q64</f>
        <v>10324</v>
      </c>
      <c r="S64">
        <f>Tabel24256789101112131415171618192120222326141518[[#This Row],[Stand Hot Water einde maand]]-Tabel24256789101112131415171618192120222326141518[[#This Row],[Hot Water vorige maand]]</f>
        <v>208</v>
      </c>
      <c r="T64" s="53">
        <v>3787</v>
      </c>
      <c r="U64">
        <f>juni2025!T64</f>
        <v>3543</v>
      </c>
      <c r="V64">
        <f>Tabel24256789101112131415171618192120222326141518[[#This Row],[Stand Cappucino einde maand]]-Tabel24256789101112131415171618192120222326141518[[#This Row],[Stand Cappucino vorige maand]]</f>
        <v>244</v>
      </c>
      <c r="W64" s="53">
        <v>290</v>
      </c>
      <c r="X64">
        <f>juni2025!W64</f>
        <v>290</v>
      </c>
      <c r="Y64">
        <f>Tabel24256789101112131415171618192120222326141518[[#This Row],[Stand Cappucino Plantaardig einde maand]]-Tabel24256789101112131415171618192120222326141518[[#This Row],[Stand Cappucino Plantaardig vorige maand]]</f>
        <v>0</v>
      </c>
      <c r="Z64" s="53">
        <v>339</v>
      </c>
      <c r="AA64">
        <f>juni2025!Z64</f>
        <v>337</v>
      </c>
      <c r="AB64">
        <f>Tabel24256789101112131415171618192120222326141518[[#This Row],[Stand Latte Macchiato Plantaardig einde maand]]-Tabel24256789101112131415171618192120222326141518[[#This Row],[Stand Latte Macchiato Plantaardig vorige maand]]</f>
        <v>2</v>
      </c>
      <c r="AC64" s="71">
        <f>Tabel24256789101112131415171618192120222326141518[[#This Row],[Verbruik Stand Latte Macchiato Plantaardig deze maand]]+Tabel24256789101112131415171618192120222326141518[[#This Row],[Verbruik  Cappucino Plantaardig deze maand]]+Tabel24256789101112131415171618192120222326141518[[#This Row],[Verbruik Cappucino deze maand]]+Tabel24256789101112131415171618192120222326141518[[#This Row],[Verbruik Hot Water deze maand]]+Tabel24256789101112131415171618192120222326141518[[#This Row],[Verbruik Coffee Latte deze maand]]+Tabel24256789101112131415171618192120222326141518[[#This Row],[Verbruik Latte Macchiato deze maand]]+Tabel24256789101112131415171618192120222326141518[[#This Row],[Verbruik Espresso deze maand]]+Tabel24256789101112131415171618192120222326141518[[#This Row],[Verbruik Coffee deze maand]]</f>
        <v>781</v>
      </c>
      <c r="AD64" s="69"/>
      <c r="AE64" s="41"/>
      <c r="AF64" s="5"/>
      <c r="AG64" s="5"/>
      <c r="AH64" s="69"/>
      <c r="AI64" s="41"/>
      <c r="AJ64" s="5"/>
      <c r="AK64" s="5"/>
      <c r="AL64" s="69"/>
      <c r="AM64" s="41"/>
      <c r="AN64" s="5"/>
      <c r="AO64" s="5"/>
      <c r="AP64" s="69"/>
      <c r="AQ64" s="41"/>
      <c r="AR64" s="5"/>
      <c r="AS64" s="5"/>
      <c r="AT64" s="69"/>
      <c r="AU64" s="41"/>
      <c r="AV64" s="5"/>
      <c r="AW64" s="7"/>
      <c r="AX64" s="78"/>
      <c r="AY64" s="95">
        <f>Tabel24256789101112131415171618192120222326141518[[#This Row],[Subtotaal waterbar in consumpties]]+Tabel24256789101112131415171618192120222326141518[[#This Row],[Subtotaal koffieautomaten]]</f>
        <v>781</v>
      </c>
    </row>
    <row r="65" spans="1:53" x14ac:dyDescent="0.25">
      <c r="A65" s="66" t="s">
        <v>112</v>
      </c>
      <c r="E65" s="3">
        <f>SUM(E5:E64)</f>
        <v>765550</v>
      </c>
      <c r="F65" s="3">
        <f>SUM(F5:F64)</f>
        <v>739889</v>
      </c>
      <c r="G65" s="3">
        <f>SUM(G4:G64)</f>
        <v>25661</v>
      </c>
      <c r="H65" s="55">
        <f>SUM(H5:H64)</f>
        <v>199050</v>
      </c>
      <c r="I65" s="3">
        <f>SUM(I5:I64)</f>
        <v>191967</v>
      </c>
      <c r="J65" s="3">
        <f>SUM(J4:J64)</f>
        <v>7083</v>
      </c>
      <c r="K65" s="55">
        <f>SUM(K5:K64)</f>
        <v>89260</v>
      </c>
      <c r="L65" s="3">
        <f>SUM(L5:L64)</f>
        <v>86824</v>
      </c>
      <c r="M65" s="3">
        <f>SUM(M4:M64)</f>
        <v>2436</v>
      </c>
      <c r="N65" s="55">
        <f>SUM(N5:N64)</f>
        <v>52762</v>
      </c>
      <c r="O65" s="3">
        <f>SUM(O5:O64)</f>
        <v>51271</v>
      </c>
      <c r="P65" s="3">
        <f>SUM(P4:P64)</f>
        <v>1491</v>
      </c>
      <c r="Q65" s="55">
        <f>SUM(Q5:Q64)</f>
        <v>920197</v>
      </c>
      <c r="R65" s="3">
        <f>SUM(R5:R64)</f>
        <v>893877</v>
      </c>
      <c r="S65" s="3">
        <f>SUM(S4:S64)</f>
        <v>26320</v>
      </c>
      <c r="T65" s="55">
        <f>SUM(T5:T64)</f>
        <v>413824</v>
      </c>
      <c r="U65" s="3">
        <f>SUM(U5:U64)</f>
        <v>401688</v>
      </c>
      <c r="V65" s="3">
        <f>SUM(V4:V64)</f>
        <v>12136</v>
      </c>
      <c r="W65" s="55">
        <f>SUM(W5:W64)</f>
        <v>74657</v>
      </c>
      <c r="X65" s="3">
        <f>SUM(X5:X64)</f>
        <v>72717</v>
      </c>
      <c r="Y65" s="3">
        <f>SUM(Y4:Y64)</f>
        <v>1940</v>
      </c>
      <c r="Z65" s="55">
        <f>SUM(Z5:Z64)</f>
        <v>27649</v>
      </c>
      <c r="AA65" s="3">
        <f>SUM(AA5:AA64)</f>
        <v>26779</v>
      </c>
      <c r="AB65" s="3">
        <f t="shared" ref="AB65:AQ65" si="0">SUM(AB4:AB64)</f>
        <v>870</v>
      </c>
      <c r="AC65" s="71">
        <f t="shared" si="0"/>
        <v>77937</v>
      </c>
      <c r="AD65" s="55">
        <f t="shared" si="0"/>
        <v>5820.5999999999995</v>
      </c>
      <c r="AE65" s="3">
        <f t="shared" si="0"/>
        <v>5248.8999999999987</v>
      </c>
      <c r="AF65" s="4">
        <f t="shared" si="0"/>
        <v>571.70000000000005</v>
      </c>
      <c r="AG65" s="4">
        <f t="shared" si="0"/>
        <v>3811.3333333333339</v>
      </c>
      <c r="AH65" s="76"/>
      <c r="AI65" s="4">
        <f t="shared" si="0"/>
        <v>30975.8</v>
      </c>
      <c r="AJ65" s="4">
        <f t="shared" si="0"/>
        <v>4118.7000000000016</v>
      </c>
      <c r="AK65" s="4">
        <f t="shared" si="0"/>
        <v>27458</v>
      </c>
      <c r="AL65" s="76">
        <f t="shared" si="0"/>
        <v>24618.099999999991</v>
      </c>
      <c r="AM65" s="4">
        <f t="shared" si="0"/>
        <v>22015.7</v>
      </c>
      <c r="AN65" s="4">
        <f t="shared" si="0"/>
        <v>2602.4</v>
      </c>
      <c r="AO65" s="4">
        <f t="shared" si="0"/>
        <v>17349.333333333332</v>
      </c>
      <c r="AP65" s="76">
        <f t="shared" si="0"/>
        <v>10420.9</v>
      </c>
      <c r="AQ65" s="4">
        <f t="shared" si="0"/>
        <v>9409.2999999999993</v>
      </c>
      <c r="AR65" s="3">
        <f>SUM(AR5:AR64)</f>
        <v>1011.6000000000001</v>
      </c>
      <c r="AS65" s="4">
        <f>SUM(AS4:AS64)</f>
        <v>6744</v>
      </c>
      <c r="AT65" s="76">
        <f>SUM(AT4:AT64)</f>
        <v>77342.100000000006</v>
      </c>
      <c r="AU65" s="4">
        <f>SUM(AU4:AU64)</f>
        <v>72465.699999999983</v>
      </c>
      <c r="AV65" s="3">
        <f>SUM(AV5:AV64)</f>
        <v>4876.4000000000005</v>
      </c>
      <c r="AW65" s="4">
        <f>SUM(AW4:AW64)</f>
        <v>32509.333333333343</v>
      </c>
      <c r="AX65" s="77">
        <f>SUM(AX4:AX64)</f>
        <v>87871.999999999985</v>
      </c>
      <c r="AY65" s="95">
        <f>Tabel24256789101112131415171618192120222326141518[[#This Row],[Subtotaal waterbar in consumpties]]+Tabel24256789101112131415171618192120222326141518[[#This Row],[Subtotaal koffieautomaten]]</f>
        <v>165809</v>
      </c>
    </row>
    <row r="66" spans="1:53" x14ac:dyDescent="0.25">
      <c r="A66" s="91"/>
      <c r="B66" s="57"/>
      <c r="C66" s="57"/>
      <c r="D66" s="58"/>
      <c r="E66" s="57"/>
      <c r="F66" s="57"/>
      <c r="G66" s="57"/>
      <c r="H66" s="56"/>
      <c r="I66" s="57"/>
      <c r="J66" s="57"/>
      <c r="K66" s="56"/>
      <c r="L66" s="57"/>
      <c r="M66" s="57"/>
      <c r="N66" s="56"/>
      <c r="O66" s="57"/>
      <c r="P66" s="57"/>
      <c r="Q66" s="56"/>
      <c r="R66" s="57"/>
      <c r="S66" s="57"/>
      <c r="T66" s="56"/>
      <c r="U66" s="57"/>
      <c r="V66" s="57"/>
      <c r="W66" s="56"/>
      <c r="X66" s="57"/>
      <c r="Y66" s="57"/>
      <c r="Z66" s="56"/>
      <c r="AA66" s="57"/>
      <c r="AB66" s="57"/>
      <c r="AC66" s="90"/>
      <c r="AD66" s="56"/>
      <c r="AE66" s="57"/>
      <c r="AF66" s="57"/>
      <c r="AG66" s="57"/>
      <c r="AH66" s="56"/>
      <c r="AI66" s="57"/>
      <c r="AJ66" s="57"/>
      <c r="AK66" s="57"/>
      <c r="AL66" s="56"/>
      <c r="AM66" s="57"/>
      <c r="AN66" s="57"/>
      <c r="AO66" s="57"/>
      <c r="AP66" s="56"/>
      <c r="AQ66" s="57"/>
      <c r="AR66" s="57"/>
      <c r="AS66" s="57"/>
      <c r="AT66" s="56"/>
      <c r="AU66" s="57"/>
      <c r="AV66" s="57"/>
      <c r="AW66" s="57"/>
      <c r="AX66" s="92"/>
      <c r="AY66" s="96"/>
    </row>
    <row r="67" spans="1:53" x14ac:dyDescent="0.25">
      <c r="A67"/>
      <c r="D67"/>
      <c r="K67"/>
      <c r="N67"/>
      <c r="Q67"/>
      <c r="T67"/>
      <c r="W67"/>
      <c r="Z67"/>
      <c r="AC67"/>
      <c r="AD67"/>
      <c r="AH67"/>
      <c r="AL67"/>
      <c r="AP67"/>
      <c r="AT67"/>
      <c r="AX67"/>
      <c r="AY67"/>
    </row>
    <row r="68" spans="1:53" x14ac:dyDescent="0.25">
      <c r="A68"/>
      <c r="D68"/>
      <c r="K68"/>
      <c r="N68"/>
      <c r="Q68"/>
      <c r="T68"/>
      <c r="W68"/>
      <c r="Z68"/>
      <c r="AC68"/>
      <c r="AD68"/>
      <c r="AH68"/>
      <c r="AL68"/>
      <c r="AP68"/>
      <c r="AT68"/>
      <c r="AX68"/>
      <c r="AY68" s="2"/>
      <c r="AZ68" s="2"/>
    </row>
    <row r="69" spans="1:53" x14ac:dyDescent="0.25">
      <c r="A69" s="49"/>
      <c r="B69" t="s">
        <v>166</v>
      </c>
      <c r="D69"/>
      <c r="K69"/>
      <c r="N69"/>
      <c r="Q69"/>
      <c r="T69"/>
      <c r="W69"/>
      <c r="Z69"/>
      <c r="AC69"/>
      <c r="AD69"/>
      <c r="AH69"/>
      <c r="AL69"/>
      <c r="AP69"/>
      <c r="AT69"/>
      <c r="AX69"/>
      <c r="AY69" s="4"/>
      <c r="AZ69" s="4"/>
      <c r="BA69" s="48"/>
    </row>
    <row r="70" spans="1:53" x14ac:dyDescent="0.25">
      <c r="A70" s="50"/>
      <c r="B70" t="s">
        <v>167</v>
      </c>
      <c r="D70"/>
      <c r="K70"/>
      <c r="N70"/>
      <c r="Q70"/>
      <c r="T70"/>
      <c r="W70"/>
      <c r="Z70"/>
      <c r="AC70"/>
      <c r="AD70"/>
      <c r="AH70"/>
      <c r="AL70"/>
      <c r="AP70"/>
      <c r="AT70"/>
      <c r="AX70"/>
      <c r="AY70" s="3"/>
      <c r="AZ70" s="4"/>
      <c r="BA70" s="48"/>
    </row>
    <row r="71" spans="1:53" x14ac:dyDescent="0.25">
      <c r="A71"/>
      <c r="D71"/>
      <c r="K71"/>
      <c r="N71"/>
      <c r="Q71"/>
      <c r="T71"/>
      <c r="W71"/>
      <c r="Z71"/>
      <c r="AC71"/>
      <c r="AD71"/>
      <c r="AH71"/>
      <c r="AL71"/>
      <c r="AP71"/>
      <c r="AT71"/>
      <c r="AX71"/>
      <c r="AY71"/>
      <c r="AZ71" s="2"/>
    </row>
    <row r="72" spans="1:53" x14ac:dyDescent="0.25">
      <c r="A72"/>
      <c r="D72"/>
      <c r="K72"/>
      <c r="N72"/>
      <c r="Q72"/>
      <c r="T72"/>
      <c r="W72"/>
      <c r="Z72"/>
      <c r="AC72"/>
      <c r="AD72"/>
      <c r="AH72"/>
      <c r="AL72"/>
      <c r="AP72"/>
      <c r="AT72"/>
      <c r="AX72"/>
      <c r="AY72"/>
    </row>
    <row r="73" spans="1:53" x14ac:dyDescent="0.25">
      <c r="A73"/>
      <c r="D73"/>
      <c r="K73"/>
      <c r="N73"/>
      <c r="Q73"/>
      <c r="T73"/>
      <c r="W73"/>
      <c r="Z73"/>
      <c r="AC73"/>
      <c r="AD73"/>
      <c r="AH73"/>
      <c r="AL73"/>
      <c r="AP73"/>
      <c r="AT73"/>
      <c r="AX73"/>
      <c r="AY73"/>
    </row>
    <row r="74" spans="1:53" x14ac:dyDescent="0.25">
      <c r="A74"/>
      <c r="D74"/>
      <c r="K74"/>
      <c r="N74"/>
      <c r="Q74"/>
      <c r="T74"/>
      <c r="W74"/>
      <c r="Z74"/>
      <c r="AC74"/>
      <c r="AD74"/>
      <c r="AH74"/>
      <c r="AL74"/>
      <c r="AP74"/>
      <c r="AT74"/>
      <c r="AX74"/>
      <c r="AY74"/>
    </row>
    <row r="75" spans="1:53" x14ac:dyDescent="0.25">
      <c r="A75"/>
      <c r="D75"/>
      <c r="K75"/>
      <c r="N75"/>
      <c r="Q75"/>
      <c r="T75"/>
      <c r="W75"/>
      <c r="Z75"/>
      <c r="AC75"/>
      <c r="AD75"/>
      <c r="AH75"/>
      <c r="AL75"/>
      <c r="AP75"/>
      <c r="AT75"/>
      <c r="AX75"/>
      <c r="AY75"/>
    </row>
    <row r="76" spans="1:53" x14ac:dyDescent="0.25">
      <c r="A76"/>
      <c r="D76"/>
      <c r="K76"/>
      <c r="N76"/>
      <c r="Q76"/>
      <c r="T76"/>
      <c r="W76"/>
      <c r="Z76"/>
      <c r="AC76"/>
      <c r="AD76"/>
      <c r="AH76"/>
      <c r="AL76"/>
      <c r="AP76"/>
      <c r="AT76"/>
      <c r="AX76"/>
      <c r="AY76"/>
    </row>
    <row r="77" spans="1:53" x14ac:dyDescent="0.25">
      <c r="A77"/>
      <c r="D77"/>
      <c r="K77"/>
      <c r="N77"/>
      <c r="Q77"/>
      <c r="T77"/>
      <c r="W77"/>
      <c r="Z77"/>
      <c r="AC77"/>
      <c r="AD77"/>
      <c r="AH77"/>
      <c r="AL77"/>
      <c r="AP77"/>
      <c r="AT77"/>
      <c r="AX77"/>
      <c r="AY77"/>
    </row>
    <row r="78" spans="1:53" x14ac:dyDescent="0.25">
      <c r="A78"/>
      <c r="D78"/>
      <c r="K78"/>
      <c r="N78"/>
      <c r="Q78"/>
      <c r="T78"/>
      <c r="W78"/>
      <c r="Z78"/>
      <c r="AC78"/>
      <c r="AD78"/>
      <c r="AH78"/>
      <c r="AL78"/>
      <c r="AP78"/>
      <c r="AT78"/>
      <c r="AX78"/>
      <c r="AY78"/>
    </row>
    <row r="79" spans="1:53" x14ac:dyDescent="0.25">
      <c r="A79"/>
      <c r="D79"/>
      <c r="K79"/>
      <c r="N79"/>
      <c r="Q79"/>
      <c r="T79"/>
      <c r="W79"/>
      <c r="Z79"/>
      <c r="AC79"/>
      <c r="AD79"/>
      <c r="AH79"/>
      <c r="AL79"/>
      <c r="AP79"/>
      <c r="AT79"/>
      <c r="AX79"/>
      <c r="AY79"/>
    </row>
    <row r="80" spans="1:53" x14ac:dyDescent="0.25">
      <c r="A80"/>
      <c r="D80"/>
      <c r="K80"/>
      <c r="N80"/>
      <c r="Q80"/>
      <c r="T80"/>
      <c r="W80"/>
      <c r="Z80"/>
      <c r="AC80"/>
      <c r="AD80"/>
      <c r="AH80"/>
      <c r="AL80"/>
      <c r="AP80"/>
      <c r="AT80"/>
      <c r="AX80"/>
      <c r="AY80"/>
    </row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</sheetData>
  <mergeCells count="2">
    <mergeCell ref="E1:AC1"/>
    <mergeCell ref="AD1:AY1"/>
  </mergeCell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8B34C-51BC-4DBF-B485-84F5F6C6B607}">
  <dimension ref="A1:AY65"/>
  <sheetViews>
    <sheetView topLeftCell="A22" zoomScale="70" zoomScaleNormal="70" workbookViewId="0">
      <pane xSplit="1" topLeftCell="AY1" activePane="topRight" state="frozen"/>
      <selection activeCell="G19" sqref="G19"/>
      <selection pane="topRight" activeCell="G19" sqref="G19"/>
    </sheetView>
  </sheetViews>
  <sheetFormatPr defaultRowHeight="15" x14ac:dyDescent="0.25"/>
  <cols>
    <col min="1" max="1" width="32.140625" bestFit="1" customWidth="1"/>
    <col min="2" max="2" width="21.42578125" bestFit="1" customWidth="1"/>
    <col min="3" max="3" width="25.42578125" bestFit="1" customWidth="1"/>
    <col min="4" max="4" width="18.5703125" customWidth="1"/>
    <col min="5" max="5" width="10.140625" style="11" customWidth="1"/>
    <col min="6" max="6" width="10.42578125" customWidth="1"/>
    <col min="7" max="7" width="10.5703125" style="12" customWidth="1"/>
    <col min="8" max="8" width="11.85546875" customWidth="1"/>
    <col min="9" max="9" width="11.7109375" customWidth="1"/>
    <col min="10" max="10" width="12.42578125" customWidth="1"/>
    <col min="11" max="11" width="17.140625" customWidth="1"/>
    <col min="12" max="12" width="13.5703125" customWidth="1"/>
    <col min="13" max="13" width="13.42578125" bestFit="1" customWidth="1"/>
    <col min="14" max="14" width="14" style="11" customWidth="1"/>
    <col min="15" max="16" width="14" customWidth="1"/>
    <col min="17" max="17" width="14.140625" style="11" customWidth="1"/>
    <col min="18" max="19" width="12.28515625" customWidth="1"/>
    <col min="20" max="20" width="12.42578125" style="11" customWidth="1"/>
    <col min="21" max="22" width="12.42578125" customWidth="1"/>
    <col min="23" max="23" width="17" style="11" customWidth="1"/>
    <col min="24" max="25" width="17" customWidth="1"/>
    <col min="26" max="26" width="20.7109375" style="11" customWidth="1"/>
    <col min="27" max="27" width="20.7109375" customWidth="1"/>
    <col min="28" max="28" width="20.7109375" style="12" customWidth="1"/>
    <col min="29" max="29" width="13.85546875" customWidth="1"/>
    <col min="30" max="30" width="17.5703125" style="11" customWidth="1"/>
    <col min="31" max="32" width="17.5703125" customWidth="1"/>
    <col min="33" max="33" width="20.28515625" customWidth="1"/>
    <col min="34" max="34" width="14.42578125" style="11" customWidth="1"/>
    <col min="35" max="36" width="14.42578125" customWidth="1"/>
    <col min="37" max="37" width="21.28515625" customWidth="1"/>
    <col min="38" max="38" width="15.140625" style="11" customWidth="1"/>
    <col min="39" max="40" width="15.140625" customWidth="1"/>
    <col min="41" max="41" width="21.28515625" customWidth="1"/>
    <col min="42" max="42" width="19.42578125" style="11" customWidth="1"/>
    <col min="43" max="44" width="19.42578125" customWidth="1"/>
    <col min="45" max="45" width="21.28515625" customWidth="1"/>
    <col min="46" max="46" width="17" style="11" customWidth="1"/>
    <col min="47" max="48" width="17" customWidth="1"/>
    <col min="49" max="49" width="21.28515625" style="12" customWidth="1"/>
    <col min="50" max="50" width="20" customWidth="1"/>
    <col min="51" max="51" width="14.140625" customWidth="1"/>
  </cols>
  <sheetData>
    <row r="1" spans="1:51" x14ac:dyDescent="0.25">
      <c r="A1" s="172" t="s">
        <v>0</v>
      </c>
      <c r="B1" s="172"/>
      <c r="C1" s="172"/>
      <c r="D1" s="172"/>
      <c r="E1" s="172" t="s">
        <v>1</v>
      </c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 t="s">
        <v>2</v>
      </c>
      <c r="AE1" s="172"/>
      <c r="AF1" s="172"/>
      <c r="AG1" s="172"/>
      <c r="AH1" s="172"/>
      <c r="AI1" s="172"/>
      <c r="AJ1" s="172"/>
      <c r="AK1" s="172"/>
      <c r="AL1" s="172"/>
      <c r="AM1" s="172"/>
      <c r="AN1" s="172"/>
      <c r="AO1" s="172"/>
      <c r="AP1" s="172"/>
      <c r="AQ1" s="172"/>
      <c r="AR1" s="172"/>
      <c r="AS1" s="172"/>
      <c r="AT1" s="172"/>
      <c r="AU1" s="172"/>
      <c r="AV1" s="172"/>
      <c r="AW1" s="172"/>
      <c r="AX1" s="172"/>
      <c r="AY1" s="172"/>
    </row>
    <row r="2" spans="1:51" ht="60" x14ac:dyDescent="0.25">
      <c r="A2" t="s">
        <v>3</v>
      </c>
      <c r="B2" t="s">
        <v>4</v>
      </c>
      <c r="C2" t="s">
        <v>5</v>
      </c>
      <c r="D2" t="s">
        <v>6</v>
      </c>
      <c r="E2" s="9" t="s">
        <v>113</v>
      </c>
      <c r="F2" s="1" t="s">
        <v>114</v>
      </c>
      <c r="G2" s="10" t="s">
        <v>115</v>
      </c>
      <c r="H2" s="1" t="s">
        <v>116</v>
      </c>
      <c r="I2" s="1" t="s">
        <v>117</v>
      </c>
      <c r="J2" s="1" t="s">
        <v>118</v>
      </c>
      <c r="K2" s="1" t="s">
        <v>119</v>
      </c>
      <c r="L2" s="1" t="s">
        <v>120</v>
      </c>
      <c r="M2" s="1" t="s">
        <v>121</v>
      </c>
      <c r="N2" s="9" t="s">
        <v>122</v>
      </c>
      <c r="O2" s="1" t="s">
        <v>123</v>
      </c>
      <c r="P2" s="1" t="s">
        <v>124</v>
      </c>
      <c r="Q2" s="9" t="s">
        <v>125</v>
      </c>
      <c r="R2" s="1" t="s">
        <v>126</v>
      </c>
      <c r="S2" s="1" t="s">
        <v>127</v>
      </c>
      <c r="T2" s="9" t="s">
        <v>128</v>
      </c>
      <c r="U2" s="1" t="s">
        <v>129</v>
      </c>
      <c r="V2" s="1" t="s">
        <v>130</v>
      </c>
      <c r="W2" s="9" t="s">
        <v>131</v>
      </c>
      <c r="X2" s="1" t="s">
        <v>132</v>
      </c>
      <c r="Y2" s="1" t="s">
        <v>133</v>
      </c>
      <c r="Z2" s="9" t="s">
        <v>134</v>
      </c>
      <c r="AA2" s="1" t="s">
        <v>135</v>
      </c>
      <c r="AB2" s="10" t="s">
        <v>136</v>
      </c>
      <c r="AC2" s="1" t="s">
        <v>15</v>
      </c>
      <c r="AD2" s="9" t="s">
        <v>137</v>
      </c>
      <c r="AE2" s="1" t="s">
        <v>138</v>
      </c>
      <c r="AF2" s="1" t="s">
        <v>139</v>
      </c>
      <c r="AG2" s="1" t="s">
        <v>140</v>
      </c>
      <c r="AH2" s="9" t="s">
        <v>141</v>
      </c>
      <c r="AI2" s="1" t="s">
        <v>142</v>
      </c>
      <c r="AJ2" s="1" t="s">
        <v>143</v>
      </c>
      <c r="AK2" s="1" t="s">
        <v>144</v>
      </c>
      <c r="AL2" s="9" t="s">
        <v>145</v>
      </c>
      <c r="AM2" s="1" t="s">
        <v>146</v>
      </c>
      <c r="AN2" s="1" t="s">
        <v>147</v>
      </c>
      <c r="AO2" s="1" t="s">
        <v>148</v>
      </c>
      <c r="AP2" s="9" t="s">
        <v>149</v>
      </c>
      <c r="AQ2" s="1" t="s">
        <v>150</v>
      </c>
      <c r="AR2" s="1" t="s">
        <v>151</v>
      </c>
      <c r="AS2" s="1" t="s">
        <v>152</v>
      </c>
      <c r="AT2" s="9" t="s">
        <v>153</v>
      </c>
      <c r="AU2" s="1" t="s">
        <v>154</v>
      </c>
      <c r="AV2" s="1" t="s">
        <v>155</v>
      </c>
      <c r="AW2" s="10" t="s">
        <v>156</v>
      </c>
      <c r="AX2" s="1" t="s">
        <v>157</v>
      </c>
      <c r="AY2" t="s">
        <v>27</v>
      </c>
    </row>
    <row r="3" spans="1:51" x14ac:dyDescent="0.25">
      <c r="A3" s="3" t="s">
        <v>28</v>
      </c>
      <c r="E3" s="25"/>
      <c r="H3" s="27"/>
      <c r="I3" s="18"/>
      <c r="J3" s="19"/>
      <c r="K3" s="27"/>
      <c r="L3" s="18"/>
      <c r="M3" s="18"/>
      <c r="N3" s="25"/>
      <c r="Q3" s="25"/>
      <c r="T3" s="25"/>
      <c r="W3" s="25"/>
      <c r="Z3" s="25"/>
      <c r="AC3" s="3"/>
      <c r="AG3" s="2"/>
      <c r="AH3" s="25"/>
      <c r="AK3" s="2"/>
      <c r="AL3" s="25"/>
      <c r="AO3" s="2"/>
      <c r="AP3" s="25"/>
      <c r="AS3" s="2"/>
      <c r="AT3" s="25"/>
      <c r="AW3" s="20"/>
      <c r="AX3" s="4"/>
      <c r="AY3" s="4">
        <f>Tabel24[[#This Row],[Subtotaal waterbar in consumpties]]+Tabel24[[#This Row],[Subtotaal koffieautomaten]]</f>
        <v>0</v>
      </c>
    </row>
    <row r="4" spans="1:51" x14ac:dyDescent="0.25">
      <c r="A4" t="s">
        <v>29</v>
      </c>
      <c r="B4" t="s">
        <v>30</v>
      </c>
      <c r="C4" t="s">
        <v>31</v>
      </c>
      <c r="E4" s="25">
        <v>266</v>
      </c>
      <c r="F4">
        <f>Tabel2[[#This Row],[Coffee]]</f>
        <v>108</v>
      </c>
      <c r="G4" s="12">
        <f>Tabel24[[#This Row],[Stand Coffee einde maand]]-Tabel24[[#This Row],[Coffee vorige maand]]</f>
        <v>158</v>
      </c>
      <c r="H4" s="25">
        <v>98</v>
      </c>
      <c r="I4">
        <f>Tabel2[[#This Row],[Espresso]]</f>
        <v>32</v>
      </c>
      <c r="J4" s="12">
        <f>Tabel24[[#This Row],[Stand Espresso Einde maand]]-Tabel24[[#This Row],[Espresso vorige maand]]</f>
        <v>66</v>
      </c>
      <c r="K4" s="25">
        <v>166</v>
      </c>
      <c r="L4">
        <f>Tabel2[[#This Row],[Latte Macchiato]]</f>
        <v>54</v>
      </c>
      <c r="M4">
        <f>Tabel24[[#This Row],[Stand Latte Macchiato einde maand]]-Tabel24[[#This Row],[Latte Macchiato vorige maand]]</f>
        <v>112</v>
      </c>
      <c r="N4" s="25">
        <v>148</v>
      </c>
      <c r="O4">
        <f>Tabel2[[#This Row],[Coffee Latte]]</f>
        <v>29</v>
      </c>
      <c r="P4">
        <f>Tabel24[[#This Row],[Stand Coffee Latte einde maand]]-Tabel24[[#This Row],[Coffee Latte vorige maand]]</f>
        <v>119</v>
      </c>
      <c r="Q4" s="25">
        <v>446</v>
      </c>
      <c r="R4">
        <f>Tabel2[[#This Row],[Hot Water]]</f>
        <v>180</v>
      </c>
      <c r="S4">
        <f>Tabel24[[#This Row],[Stand Hot Water einde maand]]-Tabel24[[#This Row],[Hot Water vorige maand]]</f>
        <v>266</v>
      </c>
      <c r="T4" s="25">
        <v>472</v>
      </c>
      <c r="U4">
        <f>Tabel2[[#This Row],[Cappucino]]</f>
        <v>168</v>
      </c>
      <c r="V4">
        <f>Tabel24[[#This Row],[Stand Cappucino einde maand]]-Tabel24[[#This Row],[Stand Cappucino vorige maand]]</f>
        <v>304</v>
      </c>
      <c r="W4" s="25">
        <v>29</v>
      </c>
      <c r="X4">
        <f>Tabel2[[#This Row],[Cappucino Plantaardig]]</f>
        <v>14</v>
      </c>
      <c r="Y4">
        <f>Tabel24[[#This Row],[Stand Cappucino Plantaardig einde maand]]-Tabel24[[#This Row],[Stand Cappucino Plantaardig vorige maand]]</f>
        <v>15</v>
      </c>
      <c r="Z4" s="25">
        <v>12</v>
      </c>
      <c r="AA4">
        <f>Tabel2[[#This Row],[Latte Macchiato Plantaardig]]</f>
        <v>6</v>
      </c>
      <c r="AB4" s="12">
        <f>Tabel24[[#This Row],[Stand Latte Macchiato Plantaardig einde maand]]-Tabel24[[#This Row],[Stand Latte Macchiato Plantaardig vorige maand]]</f>
        <v>6</v>
      </c>
      <c r="AC4" s="3">
        <f>Tabel24[[#This Row],[Verbruik Stand Latte Macchiato Plantaardig deze maand]]+Tabel24[[#This Row],[Verbruik  Cappucino Plantaardig deze maand]]+Tabel24[[#This Row],[Verbruik Cappucino deze maand]]+Tabel24[[#This Row],[Verbruik Hot Water deze maand]]+Tabel24[[#This Row],[Verbruik Coffee Latte deze maand]]+Tabel24[[#This Row],[Verbruik Latte Macchiato deze maand]]+Tabel24[[#This Row],[Verbruik Espresso deze maand]]+Tabel24[[#This Row],[Verbruik Coffee deze maand]]</f>
        <v>1046</v>
      </c>
      <c r="AD4" s="26"/>
      <c r="AE4" s="5"/>
      <c r="AF4" s="5"/>
      <c r="AG4" s="5"/>
      <c r="AH4" s="26"/>
      <c r="AI4" s="5"/>
      <c r="AJ4" s="5"/>
      <c r="AK4" s="5"/>
      <c r="AL4" s="26"/>
      <c r="AM4" s="5"/>
      <c r="AN4" s="5"/>
      <c r="AO4" s="5"/>
      <c r="AP4" s="26"/>
      <c r="AQ4" s="5"/>
      <c r="AR4" s="5"/>
      <c r="AS4" s="5"/>
      <c r="AT4" s="26"/>
      <c r="AU4" s="5"/>
      <c r="AV4" s="5"/>
      <c r="AW4" s="21"/>
      <c r="AX4" s="8"/>
      <c r="AY4" s="4">
        <f>Tabel24[[#This Row],[Subtotaal waterbar in consumpties]]+Tabel24[[#This Row],[Subtotaal koffieautomaten]]</f>
        <v>1046</v>
      </c>
    </row>
    <row r="5" spans="1:51" x14ac:dyDescent="0.25">
      <c r="A5" t="s">
        <v>32</v>
      </c>
      <c r="B5" t="s">
        <v>33</v>
      </c>
      <c r="C5" t="s">
        <v>31</v>
      </c>
      <c r="E5" s="25">
        <v>955</v>
      </c>
      <c r="F5">
        <f>Tabel2[[#This Row],[Coffee]]</f>
        <v>587</v>
      </c>
      <c r="G5" s="12">
        <f>Tabel24[[#This Row],[Stand Coffee einde maand]]-Tabel24[[#This Row],[Coffee vorige maand]]</f>
        <v>368</v>
      </c>
      <c r="H5" s="25">
        <v>217</v>
      </c>
      <c r="I5">
        <f>Tabel2[[#This Row],[Espresso]]</f>
        <v>136</v>
      </c>
      <c r="J5" s="12">
        <f>Tabel24[[#This Row],[Stand Espresso Einde maand]]-Tabel24[[#This Row],[Espresso vorige maand]]</f>
        <v>81</v>
      </c>
      <c r="K5" s="25">
        <v>305</v>
      </c>
      <c r="L5">
        <f>Tabel2[[#This Row],[Latte Macchiato]]</f>
        <v>205</v>
      </c>
      <c r="M5">
        <f>Tabel24[[#This Row],[Stand Latte Macchiato einde maand]]-Tabel24[[#This Row],[Latte Macchiato vorige maand]]</f>
        <v>100</v>
      </c>
      <c r="N5" s="25">
        <v>356</v>
      </c>
      <c r="O5">
        <f>Tabel2[[#This Row],[Coffee Latte]]</f>
        <v>175</v>
      </c>
      <c r="P5">
        <f>Tabel24[[#This Row],[Stand Coffee Latte einde maand]]-Tabel24[[#This Row],[Coffee Latte vorige maand]]</f>
        <v>181</v>
      </c>
      <c r="Q5" s="25">
        <v>2583</v>
      </c>
      <c r="R5">
        <f>Tabel2[[#This Row],[Hot Water]]</f>
        <v>1496</v>
      </c>
      <c r="S5">
        <f>Tabel24[[#This Row],[Stand Hot Water einde maand]]-Tabel24[[#This Row],[Hot Water vorige maand]]</f>
        <v>1087</v>
      </c>
      <c r="T5" s="25">
        <v>1402</v>
      </c>
      <c r="U5">
        <f>Tabel2[[#This Row],[Cappucino]]</f>
        <v>784</v>
      </c>
      <c r="V5">
        <f>Tabel24[[#This Row],[Stand Cappucino einde maand]]-Tabel24[[#This Row],[Stand Cappucino vorige maand]]</f>
        <v>618</v>
      </c>
      <c r="W5" s="25">
        <v>207</v>
      </c>
      <c r="X5">
        <f>Tabel2[[#This Row],[Cappucino Plantaardig]]</f>
        <v>140</v>
      </c>
      <c r="Y5">
        <f>Tabel24[[#This Row],[Stand Cappucino Plantaardig einde maand]]-Tabel24[[#This Row],[Stand Cappucino Plantaardig vorige maand]]</f>
        <v>67</v>
      </c>
      <c r="Z5" s="25">
        <v>56</v>
      </c>
      <c r="AA5">
        <f>Tabel2[[#This Row],[Latte Macchiato Plantaardig]]</f>
        <v>0</v>
      </c>
      <c r="AB5" s="12">
        <f>Tabel24[[#This Row],[Stand Latte Macchiato Plantaardig einde maand]]-Tabel24[[#This Row],[Stand Latte Macchiato Plantaardig vorige maand]]</f>
        <v>56</v>
      </c>
      <c r="AC5" s="3">
        <f>Tabel24[[#This Row],[Verbruik Stand Latte Macchiato Plantaardig deze maand]]+Tabel24[[#This Row],[Verbruik  Cappucino Plantaardig deze maand]]+Tabel24[[#This Row],[Verbruik Cappucino deze maand]]+Tabel24[[#This Row],[Verbruik Hot Water deze maand]]+Tabel24[[#This Row],[Verbruik Coffee Latte deze maand]]+Tabel24[[#This Row],[Verbruik Latte Macchiato deze maand]]+Tabel24[[#This Row],[Verbruik Espresso deze maand]]+Tabel24[[#This Row],[Verbruik Coffee deze maand]]</f>
        <v>2558</v>
      </c>
      <c r="AD5" s="26"/>
      <c r="AE5" s="5"/>
      <c r="AF5" s="5"/>
      <c r="AG5" s="5"/>
      <c r="AH5" s="26"/>
      <c r="AI5" s="5"/>
      <c r="AJ5" s="5"/>
      <c r="AK5" s="5"/>
      <c r="AL5" s="26"/>
      <c r="AM5" s="5"/>
      <c r="AN5" s="5"/>
      <c r="AO5" s="5"/>
      <c r="AP5" s="26"/>
      <c r="AQ5" s="5"/>
      <c r="AR5" s="5"/>
      <c r="AS5" s="5"/>
      <c r="AT5" s="26"/>
      <c r="AU5" s="5"/>
      <c r="AV5" s="5"/>
      <c r="AW5" s="21"/>
      <c r="AX5" s="8"/>
      <c r="AY5" s="4">
        <f>Tabel24[[#This Row],[Subtotaal waterbar in consumpties]]+Tabel24[[#This Row],[Subtotaal koffieautomaten]]</f>
        <v>2558</v>
      </c>
    </row>
    <row r="6" spans="1:51" x14ac:dyDescent="0.25">
      <c r="A6" t="s">
        <v>34</v>
      </c>
      <c r="B6" t="s">
        <v>35</v>
      </c>
      <c r="C6" t="s">
        <v>36</v>
      </c>
      <c r="E6" s="26"/>
      <c r="F6" s="5"/>
      <c r="G6" s="16"/>
      <c r="H6" s="26"/>
      <c r="I6" s="5"/>
      <c r="J6" s="16"/>
      <c r="K6" s="26"/>
      <c r="L6" s="5"/>
      <c r="M6" s="5"/>
      <c r="N6" s="26"/>
      <c r="O6" s="5"/>
      <c r="P6" s="5"/>
      <c r="Q6" s="26"/>
      <c r="R6" s="5"/>
      <c r="S6" s="5"/>
      <c r="T6" s="26"/>
      <c r="U6" s="5"/>
      <c r="V6" s="5"/>
      <c r="W6" s="26"/>
      <c r="X6" s="5"/>
      <c r="Y6" s="5"/>
      <c r="Z6" s="26"/>
      <c r="AA6" s="5"/>
      <c r="AB6" s="16"/>
      <c r="AC6" s="3">
        <f>Tabel24[[#This Row],[Verbruik Stand Latte Macchiato Plantaardig deze maand]]+Tabel24[[#This Row],[Verbruik  Cappucino Plantaardig deze maand]]+Tabel24[[#This Row],[Verbruik Cappucino deze maand]]+Tabel24[[#This Row],[Verbruik Hot Water deze maand]]+Tabel24[[#This Row],[Verbruik Coffee Latte deze maand]]+Tabel24[[#This Row],[Verbruik Latte Macchiato deze maand]]+Tabel24[[#This Row],[Verbruik Espresso deze maand]]+Tabel24[[#This Row],[Verbruik Coffee deze maand]]</f>
        <v>0</v>
      </c>
      <c r="AD6" s="25">
        <v>18.899999999999999</v>
      </c>
      <c r="AE6">
        <f>Tabel2[[#This Row],[kamertemp liter]]</f>
        <v>0</v>
      </c>
      <c r="AF6">
        <f>Tabel24[[#This Row],[Stand Kamertemp liter einde maand]]-Tabel24[[#This Row],[Stand Kamertemp liter vorige maand]]</f>
        <v>18.899999999999999</v>
      </c>
      <c r="AG6">
        <f>Tabel24[[#This Row],[Verbruik Kamertemp liter deze maand]]/0.15</f>
        <v>126</v>
      </c>
      <c r="AH6" s="25">
        <v>83.4</v>
      </c>
      <c r="AI6">
        <f>Tabel2[[#This Row],[gekoeld liter]]</f>
        <v>0</v>
      </c>
      <c r="AJ6">
        <f>Tabel24[[#This Row],[Stand Gekoeld liter einde maand]]-Tabel24[[#This Row],[Stand Gekoeld liter vorige maand]]</f>
        <v>83.4</v>
      </c>
      <c r="AK6">
        <f>Tabel24[[#This Row],[Verbruik Gekoeld liter deze maand]]/0.15</f>
        <v>556.00000000000011</v>
      </c>
      <c r="AL6" s="25">
        <v>63.9</v>
      </c>
      <c r="AM6">
        <f>Tabel2[[#This Row],[bruisend liter]]</f>
        <v>0</v>
      </c>
      <c r="AN6">
        <f>Tabel24[[#This Row],[Stand Bruisend liter einde maand]]-Tabel24[[#This Row],[Stand Bruisend liter vorige maand]]</f>
        <v>63.9</v>
      </c>
      <c r="AO6">
        <f>Tabel24[[#This Row],[Verbruik Bruisend liter deze maand]]/0.15</f>
        <v>426</v>
      </c>
      <c r="AP6" s="25">
        <v>15.1</v>
      </c>
      <c r="AQ6">
        <f>Tabel2[[#This Row],[licht bruisend liter]]</f>
        <v>0</v>
      </c>
      <c r="AR6">
        <f>Tabel24[[#This Row],[Stand licht bruisend liter einde maand]]-Tabel24[[#This Row],[Stand licht bruisend liter vorige maand]]</f>
        <v>15.1</v>
      </c>
      <c r="AS6" s="2">
        <f>Tabel24[[#This Row],[Verbruik licht bruisend liter deze maand]]/0.15</f>
        <v>100.66666666666667</v>
      </c>
      <c r="AT6" s="25">
        <v>111.9</v>
      </c>
      <c r="AU6">
        <f>Tabel2[[#This Row],[heet water liter]]</f>
        <v>0</v>
      </c>
      <c r="AV6">
        <f>Tabel24[[#This Row],[Stand heet water liter einde maand]]-Tabel24[[#This Row],[Stand heet water liter vorige maand]]</f>
        <v>111.9</v>
      </c>
      <c r="AW6" s="20">
        <f>Tabel24[[#This Row],[Verbruik heet Water liter deze maand ]]/0.15</f>
        <v>746.00000000000011</v>
      </c>
      <c r="AX6" s="4">
        <f>Tabel24[[#This Row],[Aantal consumpties heet water deze maand]]+Tabel24[[#This Row],[Aantal consumpties licht bruisend water deze maand]]+Tabel24[[#This Row],[aantal consumpties Bruisend water deze maand]]+Tabel24[[#This Row],[Aantal consumpties gekoeld water deze maand]]+Tabel24[[#This Row],[Aantal consumpties Kamertemp deze maand]]</f>
        <v>1954.666666666667</v>
      </c>
      <c r="AY6" s="4">
        <f>Tabel24[[#This Row],[Subtotaal waterbar in consumpties]]+Tabel24[[#This Row],[Subtotaal koffieautomaten]]</f>
        <v>1954.666666666667</v>
      </c>
    </row>
    <row r="7" spans="1:51" x14ac:dyDescent="0.25">
      <c r="A7" t="s">
        <v>37</v>
      </c>
      <c r="B7" t="s">
        <v>38</v>
      </c>
      <c r="C7" t="s">
        <v>31</v>
      </c>
      <c r="E7" s="25">
        <v>1701</v>
      </c>
      <c r="F7">
        <f>Tabel2[[#This Row],[Coffee]]</f>
        <v>890</v>
      </c>
      <c r="G7" s="12">
        <f>Tabel24[[#This Row],[Stand Coffee einde maand]]-Tabel24[[#This Row],[Coffee vorige maand]]</f>
        <v>811</v>
      </c>
      <c r="H7" s="25">
        <v>625</v>
      </c>
      <c r="I7">
        <f>Tabel2[[#This Row],[Espresso]]</f>
        <v>385</v>
      </c>
      <c r="J7" s="12">
        <f>Tabel24[[#This Row],[Stand Espresso Einde maand]]-Tabel24[[#This Row],[Espresso vorige maand]]</f>
        <v>240</v>
      </c>
      <c r="K7" s="25">
        <v>277</v>
      </c>
      <c r="L7">
        <f>Tabel2[[#This Row],[Latte Macchiato]]</f>
        <v>164</v>
      </c>
      <c r="M7">
        <f>Tabel24[[#This Row],[Stand Latte Macchiato einde maand]]-Tabel24[[#This Row],[Latte Macchiato vorige maand]]</f>
        <v>113</v>
      </c>
      <c r="N7" s="25">
        <v>314</v>
      </c>
      <c r="O7">
        <f>Tabel2[[#This Row],[Coffee Latte]]</f>
        <v>154</v>
      </c>
      <c r="P7">
        <f>Tabel24[[#This Row],[Stand Coffee Latte einde maand]]-Tabel24[[#This Row],[Coffee Latte vorige maand]]</f>
        <v>160</v>
      </c>
      <c r="Q7" s="25">
        <v>2957</v>
      </c>
      <c r="R7">
        <f>Tabel2[[#This Row],[Hot Water]]</f>
        <v>1667</v>
      </c>
      <c r="S7">
        <f>Tabel24[[#This Row],[Stand Hot Water einde maand]]-Tabel24[[#This Row],[Hot Water vorige maand]]</f>
        <v>1290</v>
      </c>
      <c r="T7" s="25">
        <v>1514</v>
      </c>
      <c r="U7">
        <f>Tabel2[[#This Row],[Cappucino]]</f>
        <v>753</v>
      </c>
      <c r="V7">
        <f>Tabel24[[#This Row],[Stand Cappucino einde maand]]-Tabel24[[#This Row],[Stand Cappucino vorige maand]]</f>
        <v>761</v>
      </c>
      <c r="W7" s="25">
        <v>166</v>
      </c>
      <c r="X7">
        <f>Tabel2[[#This Row],[Cappucino Plantaardig]]</f>
        <v>103</v>
      </c>
      <c r="Y7">
        <f>Tabel24[[#This Row],[Stand Cappucino Plantaardig einde maand]]-Tabel24[[#This Row],[Stand Cappucino Plantaardig vorige maand]]</f>
        <v>63</v>
      </c>
      <c r="Z7" s="25">
        <v>64</v>
      </c>
      <c r="AA7">
        <f>Tabel2[[#This Row],[Latte Macchiato Plantaardig]]</f>
        <v>44</v>
      </c>
      <c r="AB7" s="12">
        <f>Tabel24[[#This Row],[Stand Latte Macchiato Plantaardig einde maand]]-Tabel24[[#This Row],[Stand Latte Macchiato Plantaardig vorige maand]]</f>
        <v>20</v>
      </c>
      <c r="AC7" s="3">
        <f>Tabel24[[#This Row],[Verbruik Stand Latte Macchiato Plantaardig deze maand]]+Tabel24[[#This Row],[Verbruik  Cappucino Plantaardig deze maand]]+Tabel24[[#This Row],[Verbruik Cappucino deze maand]]+Tabel24[[#This Row],[Verbruik Hot Water deze maand]]+Tabel24[[#This Row],[Verbruik Coffee Latte deze maand]]+Tabel24[[#This Row],[Verbruik Latte Macchiato deze maand]]+Tabel24[[#This Row],[Verbruik Espresso deze maand]]+Tabel24[[#This Row],[Verbruik Coffee deze maand]]</f>
        <v>3458</v>
      </c>
      <c r="AD7" s="26"/>
      <c r="AE7" s="5"/>
      <c r="AF7" s="5"/>
      <c r="AG7" s="5"/>
      <c r="AH7" s="26"/>
      <c r="AI7" s="5"/>
      <c r="AJ7" s="5"/>
      <c r="AK7" s="5"/>
      <c r="AL7" s="26"/>
      <c r="AM7" s="5"/>
      <c r="AN7" s="5"/>
      <c r="AO7" s="5"/>
      <c r="AP7" s="26"/>
      <c r="AQ7" s="5"/>
      <c r="AR7" s="5"/>
      <c r="AS7" s="5"/>
      <c r="AT7" s="26"/>
      <c r="AU7" s="5"/>
      <c r="AV7" s="5"/>
      <c r="AW7" s="21"/>
      <c r="AX7" s="8"/>
      <c r="AY7" s="4">
        <f>Tabel24[[#This Row],[Subtotaal waterbar in consumpties]]+Tabel24[[#This Row],[Subtotaal koffieautomaten]]</f>
        <v>3458</v>
      </c>
    </row>
    <row r="8" spans="1:51" x14ac:dyDescent="0.25">
      <c r="A8" t="s">
        <v>39</v>
      </c>
      <c r="B8" t="s">
        <v>40</v>
      </c>
      <c r="C8" t="s">
        <v>31</v>
      </c>
      <c r="E8" s="25">
        <v>1267</v>
      </c>
      <c r="F8">
        <f>Tabel2[[#This Row],[Coffee]]</f>
        <v>490</v>
      </c>
      <c r="G8" s="12">
        <f>Tabel24[[#This Row],[Stand Coffee einde maand]]-Tabel24[[#This Row],[Coffee vorige maand]]</f>
        <v>777</v>
      </c>
      <c r="H8" s="25">
        <v>563</v>
      </c>
      <c r="I8">
        <f>Tabel2[[#This Row],[Espresso]]</f>
        <v>194</v>
      </c>
      <c r="J8" s="12">
        <f>Tabel24[[#This Row],[Stand Espresso Einde maand]]-Tabel24[[#This Row],[Espresso vorige maand]]</f>
        <v>369</v>
      </c>
      <c r="K8" s="25">
        <v>264</v>
      </c>
      <c r="L8">
        <f>Tabel2[[#This Row],[Latte Macchiato]]</f>
        <v>82</v>
      </c>
      <c r="M8">
        <f>Tabel24[[#This Row],[Stand Latte Macchiato einde maand]]-Tabel24[[#This Row],[Latte Macchiato vorige maand]]</f>
        <v>182</v>
      </c>
      <c r="N8" s="25">
        <v>89</v>
      </c>
      <c r="O8">
        <f>Tabel2[[#This Row],[Coffee Latte]]</f>
        <v>34</v>
      </c>
      <c r="P8">
        <f>Tabel24[[#This Row],[Stand Coffee Latte einde maand]]-Tabel24[[#This Row],[Coffee Latte vorige maand]]</f>
        <v>55</v>
      </c>
      <c r="Q8" s="25">
        <v>1842</v>
      </c>
      <c r="R8">
        <f>Tabel2[[#This Row],[Hot Water]]</f>
        <v>637</v>
      </c>
      <c r="S8">
        <f>Tabel24[[#This Row],[Stand Hot Water einde maand]]-Tabel24[[#This Row],[Hot Water vorige maand]]</f>
        <v>1205</v>
      </c>
      <c r="T8" s="25">
        <v>793</v>
      </c>
      <c r="U8">
        <f>Tabel2[[#This Row],[Cappucino]]</f>
        <v>318</v>
      </c>
      <c r="V8">
        <f>Tabel24[[#This Row],[Stand Cappucino einde maand]]-Tabel24[[#This Row],[Stand Cappucino vorige maand]]</f>
        <v>475</v>
      </c>
      <c r="W8" s="25">
        <v>303</v>
      </c>
      <c r="X8">
        <f>Tabel2[[#This Row],[Cappucino Plantaardig]]</f>
        <v>105</v>
      </c>
      <c r="Y8">
        <f>Tabel24[[#This Row],[Stand Cappucino Plantaardig einde maand]]-Tabel24[[#This Row],[Stand Cappucino Plantaardig vorige maand]]</f>
        <v>198</v>
      </c>
      <c r="Z8" s="25">
        <v>18</v>
      </c>
      <c r="AA8">
        <f>Tabel2[[#This Row],[Latte Macchiato Plantaardig]]</f>
        <v>6</v>
      </c>
      <c r="AB8" s="12">
        <f>Tabel24[[#This Row],[Stand Latte Macchiato Plantaardig einde maand]]-Tabel24[[#This Row],[Stand Latte Macchiato Plantaardig vorige maand]]</f>
        <v>12</v>
      </c>
      <c r="AC8" s="3">
        <f>Tabel24[[#This Row],[Verbruik Stand Latte Macchiato Plantaardig deze maand]]+Tabel24[[#This Row],[Verbruik  Cappucino Plantaardig deze maand]]+Tabel24[[#This Row],[Verbruik Cappucino deze maand]]+Tabel24[[#This Row],[Verbruik Hot Water deze maand]]+Tabel24[[#This Row],[Verbruik Coffee Latte deze maand]]+Tabel24[[#This Row],[Verbruik Latte Macchiato deze maand]]+Tabel24[[#This Row],[Verbruik Espresso deze maand]]+Tabel24[[#This Row],[Verbruik Coffee deze maand]]</f>
        <v>3273</v>
      </c>
      <c r="AD8" s="26"/>
      <c r="AE8" s="5"/>
      <c r="AF8" s="5"/>
      <c r="AG8" s="5"/>
      <c r="AH8" s="26"/>
      <c r="AI8" s="5"/>
      <c r="AJ8" s="5"/>
      <c r="AK8" s="5"/>
      <c r="AL8" s="26"/>
      <c r="AM8" s="5"/>
      <c r="AN8" s="5"/>
      <c r="AO8" s="5"/>
      <c r="AP8" s="26"/>
      <c r="AQ8" s="5"/>
      <c r="AR8" s="5"/>
      <c r="AS8" s="5"/>
      <c r="AT8" s="26"/>
      <c r="AU8" s="5"/>
      <c r="AV8" s="5"/>
      <c r="AW8" s="21"/>
      <c r="AX8" s="8"/>
      <c r="AY8" s="4">
        <f>Tabel24[[#This Row],[Subtotaal waterbar in consumpties]]+Tabel24[[#This Row],[Subtotaal koffieautomaten]]</f>
        <v>3273</v>
      </c>
    </row>
    <row r="9" spans="1:51" x14ac:dyDescent="0.25">
      <c r="A9" t="s">
        <v>41</v>
      </c>
      <c r="B9" t="s">
        <v>42</v>
      </c>
      <c r="C9" t="s">
        <v>31</v>
      </c>
      <c r="E9" s="25">
        <v>593</v>
      </c>
      <c r="F9">
        <f>Tabel2[[#This Row],[Coffee]]</f>
        <v>349</v>
      </c>
      <c r="G9" s="12">
        <f>Tabel24[[#This Row],[Stand Coffee einde maand]]-Tabel24[[#This Row],[Coffee vorige maand]]</f>
        <v>244</v>
      </c>
      <c r="H9" s="25">
        <v>169</v>
      </c>
      <c r="I9">
        <f>Tabel2[[#This Row],[Espresso]]</f>
        <v>101</v>
      </c>
      <c r="J9" s="12">
        <f>Tabel24[[#This Row],[Stand Espresso Einde maand]]-Tabel24[[#This Row],[Espresso vorige maand]]</f>
        <v>68</v>
      </c>
      <c r="K9" s="25">
        <v>260</v>
      </c>
      <c r="L9">
        <f>Tabel2[[#This Row],[Latte Macchiato]]</f>
        <v>130</v>
      </c>
      <c r="M9">
        <f>Tabel24[[#This Row],[Stand Latte Macchiato einde maand]]-Tabel24[[#This Row],[Latte Macchiato vorige maand]]</f>
        <v>130</v>
      </c>
      <c r="N9" s="25">
        <v>129</v>
      </c>
      <c r="O9">
        <f>Tabel2[[#This Row],[Coffee Latte]]</f>
        <v>76</v>
      </c>
      <c r="P9">
        <f>Tabel24[[#This Row],[Stand Coffee Latte einde maand]]-Tabel24[[#This Row],[Coffee Latte vorige maand]]</f>
        <v>53</v>
      </c>
      <c r="Q9" s="25">
        <v>2953</v>
      </c>
      <c r="R9">
        <f>Tabel2[[#This Row],[Hot Water]]</f>
        <v>1647</v>
      </c>
      <c r="S9">
        <f>Tabel24[[#This Row],[Stand Hot Water einde maand]]-Tabel24[[#This Row],[Hot Water vorige maand]]</f>
        <v>1306</v>
      </c>
      <c r="T9" s="25">
        <v>595</v>
      </c>
      <c r="U9">
        <f>Tabel2[[#This Row],[Cappucino]]</f>
        <v>359</v>
      </c>
      <c r="V9">
        <f>Tabel24[[#This Row],[Stand Cappucino einde maand]]-Tabel24[[#This Row],[Stand Cappucino vorige maand]]</f>
        <v>236</v>
      </c>
      <c r="W9" s="25">
        <v>219</v>
      </c>
      <c r="X9">
        <f>Tabel2[[#This Row],[Cappucino Plantaardig]]</f>
        <v>108</v>
      </c>
      <c r="Y9">
        <f>Tabel24[[#This Row],[Stand Cappucino Plantaardig einde maand]]-Tabel24[[#This Row],[Stand Cappucino Plantaardig vorige maand]]</f>
        <v>111</v>
      </c>
      <c r="Z9" s="25">
        <v>45</v>
      </c>
      <c r="AA9">
        <f>Tabel2[[#This Row],[Latte Macchiato Plantaardig]]</f>
        <v>35</v>
      </c>
      <c r="AB9" s="12">
        <f>Tabel24[[#This Row],[Stand Latte Macchiato Plantaardig einde maand]]-Tabel24[[#This Row],[Stand Latte Macchiato Plantaardig vorige maand]]</f>
        <v>10</v>
      </c>
      <c r="AC9" s="3">
        <f>Tabel24[[#This Row],[Verbruik Stand Latte Macchiato Plantaardig deze maand]]+Tabel24[[#This Row],[Verbruik  Cappucino Plantaardig deze maand]]+Tabel24[[#This Row],[Verbruik Cappucino deze maand]]+Tabel24[[#This Row],[Verbruik Hot Water deze maand]]+Tabel24[[#This Row],[Verbruik Coffee Latte deze maand]]+Tabel24[[#This Row],[Verbruik Latte Macchiato deze maand]]+Tabel24[[#This Row],[Verbruik Espresso deze maand]]+Tabel24[[#This Row],[Verbruik Coffee deze maand]]</f>
        <v>2158</v>
      </c>
      <c r="AD9" s="26"/>
      <c r="AE9" s="5"/>
      <c r="AF9" s="5"/>
      <c r="AG9" s="5"/>
      <c r="AH9" s="26"/>
      <c r="AI9" s="5"/>
      <c r="AJ9" s="5"/>
      <c r="AK9" s="5"/>
      <c r="AL9" s="26"/>
      <c r="AM9" s="5"/>
      <c r="AN9" s="5"/>
      <c r="AO9" s="5"/>
      <c r="AP9" s="26"/>
      <c r="AQ9" s="5"/>
      <c r="AR9" s="5"/>
      <c r="AS9" s="5"/>
      <c r="AT9" s="26"/>
      <c r="AU9" s="5"/>
      <c r="AV9" s="5"/>
      <c r="AW9" s="21"/>
      <c r="AX9" s="8"/>
      <c r="AY9" s="4">
        <f>Tabel24[[#This Row],[Subtotaal waterbar in consumpties]]+Tabel24[[#This Row],[Subtotaal koffieautomaten]]</f>
        <v>2158</v>
      </c>
    </row>
    <row r="10" spans="1:51" x14ac:dyDescent="0.25">
      <c r="A10" t="s">
        <v>43</v>
      </c>
      <c r="B10" t="s">
        <v>44</v>
      </c>
      <c r="C10" t="s">
        <v>31</v>
      </c>
      <c r="E10" s="25">
        <v>1200</v>
      </c>
      <c r="F10">
        <f>Tabel2[[#This Row],[Coffee]]</f>
        <v>644</v>
      </c>
      <c r="G10" s="12">
        <f>Tabel24[[#This Row],[Stand Coffee einde maand]]-Tabel24[[#This Row],[Coffee vorige maand]]</f>
        <v>556</v>
      </c>
      <c r="H10" s="25">
        <v>266</v>
      </c>
      <c r="I10">
        <f>Tabel2[[#This Row],[Espresso]]</f>
        <v>150</v>
      </c>
      <c r="J10" s="12">
        <f>Tabel24[[#This Row],[Stand Espresso Einde maand]]-Tabel24[[#This Row],[Espresso vorige maand]]</f>
        <v>116</v>
      </c>
      <c r="K10" s="25">
        <v>164</v>
      </c>
      <c r="L10">
        <f>Tabel2[[#This Row],[Latte Macchiato]]</f>
        <v>100</v>
      </c>
      <c r="M10">
        <f>Tabel24[[#This Row],[Stand Latte Macchiato einde maand]]-Tabel24[[#This Row],[Latte Macchiato vorige maand]]</f>
        <v>64</v>
      </c>
      <c r="N10" s="25">
        <v>48</v>
      </c>
      <c r="O10">
        <f>Tabel2[[#This Row],[Coffee Latte]]</f>
        <v>14</v>
      </c>
      <c r="P10">
        <f>Tabel24[[#This Row],[Stand Coffee Latte einde maand]]-Tabel24[[#This Row],[Coffee Latte vorige maand]]</f>
        <v>34</v>
      </c>
      <c r="Q10" s="25">
        <v>1542</v>
      </c>
      <c r="R10">
        <f>Tabel2[[#This Row],[Hot Water]]</f>
        <v>812</v>
      </c>
      <c r="S10">
        <f>Tabel24[[#This Row],[Stand Hot Water einde maand]]-Tabel24[[#This Row],[Hot Water vorige maand]]</f>
        <v>730</v>
      </c>
      <c r="T10" s="25">
        <v>635</v>
      </c>
      <c r="U10">
        <f>Tabel2[[#This Row],[Cappucino]]</f>
        <v>314</v>
      </c>
      <c r="V10">
        <f>Tabel24[[#This Row],[Stand Cappucino einde maand]]-Tabel24[[#This Row],[Stand Cappucino vorige maand]]</f>
        <v>321</v>
      </c>
      <c r="W10" s="25">
        <v>114</v>
      </c>
      <c r="X10">
        <f>Tabel2[[#This Row],[Cappucino Plantaardig]]</f>
        <v>72</v>
      </c>
      <c r="Y10">
        <f>Tabel24[[#This Row],[Stand Cappucino Plantaardig einde maand]]-Tabel24[[#This Row],[Stand Cappucino Plantaardig vorige maand]]</f>
        <v>42</v>
      </c>
      <c r="Z10" s="25">
        <v>110</v>
      </c>
      <c r="AA10">
        <f>Tabel2[[#This Row],[Latte Macchiato Plantaardig]]</f>
        <v>53</v>
      </c>
      <c r="AB10" s="12">
        <f>Tabel24[[#This Row],[Stand Latte Macchiato Plantaardig einde maand]]-Tabel24[[#This Row],[Stand Latte Macchiato Plantaardig vorige maand]]</f>
        <v>57</v>
      </c>
      <c r="AC10" s="3">
        <f>Tabel24[[#This Row],[Verbruik Stand Latte Macchiato Plantaardig deze maand]]+Tabel24[[#This Row],[Verbruik  Cappucino Plantaardig deze maand]]+Tabel24[[#This Row],[Verbruik Cappucino deze maand]]+Tabel24[[#This Row],[Verbruik Hot Water deze maand]]+Tabel24[[#This Row],[Verbruik Coffee Latte deze maand]]+Tabel24[[#This Row],[Verbruik Latte Macchiato deze maand]]+Tabel24[[#This Row],[Verbruik Espresso deze maand]]+Tabel24[[#This Row],[Verbruik Coffee deze maand]]</f>
        <v>1920</v>
      </c>
      <c r="AD10" s="26"/>
      <c r="AE10" s="5"/>
      <c r="AF10" s="5"/>
      <c r="AG10" s="7"/>
      <c r="AH10" s="26"/>
      <c r="AI10" s="5"/>
      <c r="AJ10" s="5"/>
      <c r="AK10" s="5"/>
      <c r="AL10" s="26"/>
      <c r="AM10" s="5"/>
      <c r="AN10" s="5"/>
      <c r="AO10" s="5"/>
      <c r="AP10" s="26"/>
      <c r="AQ10" s="5"/>
      <c r="AR10" s="5"/>
      <c r="AS10" s="5"/>
      <c r="AT10" s="26"/>
      <c r="AU10" s="5"/>
      <c r="AV10" s="5"/>
      <c r="AW10" s="21"/>
      <c r="AX10" s="8"/>
      <c r="AY10" s="4">
        <f>Tabel24[[#This Row],[Subtotaal waterbar in consumpties]]+Tabel24[[#This Row],[Subtotaal koffieautomaten]]</f>
        <v>1920</v>
      </c>
    </row>
    <row r="11" spans="1:51" x14ac:dyDescent="0.25">
      <c r="A11" t="s">
        <v>45</v>
      </c>
      <c r="B11" t="s">
        <v>46</v>
      </c>
      <c r="C11" t="s">
        <v>47</v>
      </c>
      <c r="E11" s="25">
        <v>1781</v>
      </c>
      <c r="F11">
        <f>Tabel2[[#This Row],[Coffee]]</f>
        <v>989</v>
      </c>
      <c r="G11" s="12">
        <f>Tabel24[[#This Row],[Stand Coffee einde maand]]-Tabel24[[#This Row],[Coffee vorige maand]]</f>
        <v>792</v>
      </c>
      <c r="H11" s="25">
        <v>211</v>
      </c>
      <c r="I11">
        <f>Tabel2[[#This Row],[Espresso]]</f>
        <v>123</v>
      </c>
      <c r="J11" s="12">
        <f>Tabel24[[#This Row],[Stand Espresso Einde maand]]-Tabel24[[#This Row],[Espresso vorige maand]]</f>
        <v>88</v>
      </c>
      <c r="K11" s="25">
        <v>195</v>
      </c>
      <c r="L11">
        <f>Tabel2[[#This Row],[Latte Macchiato]]</f>
        <v>112</v>
      </c>
      <c r="M11">
        <f>Tabel24[[#This Row],[Stand Latte Macchiato einde maand]]-Tabel24[[#This Row],[Latte Macchiato vorige maand]]</f>
        <v>83</v>
      </c>
      <c r="N11" s="25">
        <v>58</v>
      </c>
      <c r="O11">
        <f>Tabel2[[#This Row],[Coffee Latte]]</f>
        <v>27</v>
      </c>
      <c r="P11">
        <f>Tabel24[[#This Row],[Stand Coffee Latte einde maand]]-Tabel24[[#This Row],[Coffee Latte vorige maand]]</f>
        <v>31</v>
      </c>
      <c r="Q11" s="25">
        <v>1</v>
      </c>
      <c r="R11">
        <f>Tabel2[[#This Row],[Hot Water]]</f>
        <v>0</v>
      </c>
      <c r="S11">
        <f>Tabel24[[#This Row],[Stand Hot Water einde maand]]-Tabel24[[#This Row],[Hot Water vorige maand]]</f>
        <v>1</v>
      </c>
      <c r="T11" s="25">
        <v>545</v>
      </c>
      <c r="U11">
        <f>Tabel2[[#This Row],[Cappucino]]</f>
        <v>293</v>
      </c>
      <c r="V11">
        <f>Tabel24[[#This Row],[Stand Cappucino einde maand]]-Tabel24[[#This Row],[Stand Cappucino vorige maand]]</f>
        <v>252</v>
      </c>
      <c r="W11" s="25">
        <v>271</v>
      </c>
      <c r="X11">
        <f>Tabel2[[#This Row],[Cappucino Plantaardig]]</f>
        <v>141</v>
      </c>
      <c r="Y11">
        <f>Tabel24[[#This Row],[Stand Cappucino Plantaardig einde maand]]-Tabel24[[#This Row],[Stand Cappucino Plantaardig vorige maand]]</f>
        <v>130</v>
      </c>
      <c r="Z11" s="25">
        <v>156</v>
      </c>
      <c r="AA11">
        <f>Tabel2[[#This Row],[Latte Macchiato Plantaardig]]</f>
        <v>76</v>
      </c>
      <c r="AB11" s="12">
        <f>Tabel24[[#This Row],[Stand Latte Macchiato Plantaardig einde maand]]-Tabel24[[#This Row],[Stand Latte Macchiato Plantaardig vorige maand]]</f>
        <v>80</v>
      </c>
      <c r="AC11" s="3">
        <f>Tabel24[[#This Row],[Verbruik Stand Latte Macchiato Plantaardig deze maand]]+Tabel24[[#This Row],[Verbruik  Cappucino Plantaardig deze maand]]+Tabel24[[#This Row],[Verbruik Cappucino deze maand]]+Tabel24[[#This Row],[Verbruik Hot Water deze maand]]+Tabel24[[#This Row],[Verbruik Coffee Latte deze maand]]+Tabel24[[#This Row],[Verbruik Latte Macchiato deze maand]]+Tabel24[[#This Row],[Verbruik Espresso deze maand]]+Tabel24[[#This Row],[Verbruik Coffee deze maand]]</f>
        <v>1457</v>
      </c>
      <c r="AD11" s="25">
        <v>58</v>
      </c>
      <c r="AE11">
        <f>Tabel2[[#This Row],[kamertemp liter]]</f>
        <v>39.4</v>
      </c>
      <c r="AF11">
        <f>Tabel24[[#This Row],[Stand Kamertemp liter einde maand]]-Tabel24[[#This Row],[Stand Kamertemp liter vorige maand]]</f>
        <v>18.600000000000001</v>
      </c>
      <c r="AG11" s="2">
        <f>Tabel24[[#This Row],[Verbruik Kamertemp liter deze maand]]/0.15</f>
        <v>124.00000000000001</v>
      </c>
      <c r="AH11" s="25">
        <v>247.8</v>
      </c>
      <c r="AI11">
        <f>Tabel2[[#This Row],[gekoeld liter]]</f>
        <v>153.80000000000001</v>
      </c>
      <c r="AJ11">
        <f>Tabel24[[#This Row],[Stand Gekoeld liter einde maand]]-Tabel24[[#This Row],[Stand Gekoeld liter vorige maand]]</f>
        <v>94</v>
      </c>
      <c r="AK11" s="2">
        <f>Tabel24[[#This Row],[Verbruik Gekoeld liter deze maand]]/0.15</f>
        <v>626.66666666666674</v>
      </c>
      <c r="AL11" s="25">
        <v>360.2</v>
      </c>
      <c r="AM11">
        <f>Tabel2[[#This Row],[bruisend liter]]</f>
        <v>246</v>
      </c>
      <c r="AN11">
        <f>Tabel24[[#This Row],[Stand Bruisend liter einde maand]]-Tabel24[[#This Row],[Stand Bruisend liter vorige maand]]</f>
        <v>114.19999999999999</v>
      </c>
      <c r="AO11" s="2">
        <f>Tabel24[[#This Row],[Verbruik Bruisend liter deze maand]]/0.15</f>
        <v>761.33333333333326</v>
      </c>
      <c r="AP11" s="25">
        <v>139.69999999999999</v>
      </c>
      <c r="AQ11">
        <f>Tabel2[[#This Row],[licht bruisend liter]]</f>
        <v>103.3</v>
      </c>
      <c r="AR11">
        <f>Tabel24[[#This Row],[Stand licht bruisend liter einde maand]]-Tabel24[[#This Row],[Stand licht bruisend liter vorige maand]]</f>
        <v>36.399999999999991</v>
      </c>
      <c r="AS11" s="2">
        <f>Tabel24[[#This Row],[Verbruik licht bruisend liter deze maand]]/0.15</f>
        <v>242.66666666666663</v>
      </c>
      <c r="AT11" s="25">
        <v>932.5</v>
      </c>
      <c r="AU11">
        <f>Tabel2[[#This Row],[heet water liter]]</f>
        <v>600.79999999999995</v>
      </c>
      <c r="AV11">
        <f>Tabel24[[#This Row],[Stand heet water liter einde maand]]-Tabel24[[#This Row],[Stand heet water liter vorige maand]]</f>
        <v>331.70000000000005</v>
      </c>
      <c r="AW11" s="20">
        <f>Tabel24[[#This Row],[Verbruik heet Water liter deze maand ]]/0.15</f>
        <v>2211.3333333333339</v>
      </c>
      <c r="AX11" s="4">
        <f>Tabel24[[#This Row],[Aantal consumpties heet water deze maand]]+Tabel24[[#This Row],[Aantal consumpties licht bruisend water deze maand]]+Tabel24[[#This Row],[aantal consumpties Bruisend water deze maand]]+Tabel24[[#This Row],[Aantal consumpties gekoeld water deze maand]]+Tabel24[[#This Row],[Aantal consumpties Kamertemp deze maand]]</f>
        <v>3966.0000000000009</v>
      </c>
      <c r="AY11" s="4">
        <f>Tabel24[[#This Row],[Subtotaal waterbar in consumpties]]+Tabel24[[#This Row],[Subtotaal koffieautomaten]]</f>
        <v>5423.0000000000009</v>
      </c>
    </row>
    <row r="12" spans="1:51" x14ac:dyDescent="0.25">
      <c r="A12" t="s">
        <v>48</v>
      </c>
      <c r="B12" t="s">
        <v>49</v>
      </c>
      <c r="C12" t="s">
        <v>31</v>
      </c>
      <c r="E12" s="25">
        <v>1753</v>
      </c>
      <c r="F12">
        <f>Tabel2[[#This Row],[Coffee]]</f>
        <v>862</v>
      </c>
      <c r="G12" s="12">
        <f>Tabel24[[#This Row],[Stand Coffee einde maand]]-Tabel24[[#This Row],[Coffee vorige maand]]</f>
        <v>891</v>
      </c>
      <c r="H12" s="25">
        <v>568</v>
      </c>
      <c r="I12">
        <f>Tabel2[[#This Row],[Espresso]]</f>
        <v>324</v>
      </c>
      <c r="J12" s="12">
        <f>Tabel24[[#This Row],[Stand Espresso Einde maand]]-Tabel24[[#This Row],[Espresso vorige maand]]</f>
        <v>244</v>
      </c>
      <c r="K12" s="25">
        <v>139</v>
      </c>
      <c r="L12">
        <f>Tabel2[[#This Row],[Latte Macchiato]]</f>
        <v>87</v>
      </c>
      <c r="M12">
        <f>Tabel24[[#This Row],[Stand Latte Macchiato einde maand]]-Tabel24[[#This Row],[Latte Macchiato vorige maand]]</f>
        <v>52</v>
      </c>
      <c r="N12" s="25">
        <v>29</v>
      </c>
      <c r="O12">
        <f>Tabel2[[#This Row],[Coffee Latte]]</f>
        <v>16</v>
      </c>
      <c r="P12">
        <f>Tabel24[[#This Row],[Stand Coffee Latte einde maand]]-Tabel24[[#This Row],[Coffee Latte vorige maand]]</f>
        <v>13</v>
      </c>
      <c r="Q12" s="25">
        <v>4256</v>
      </c>
      <c r="R12">
        <f>Tabel2[[#This Row],[Hot Water]]</f>
        <v>2037</v>
      </c>
      <c r="S12">
        <f>Tabel24[[#This Row],[Stand Hot Water einde maand]]-Tabel24[[#This Row],[Hot Water vorige maand]]</f>
        <v>2219</v>
      </c>
      <c r="T12" s="25">
        <v>751</v>
      </c>
      <c r="U12">
        <f>Tabel2[[#This Row],[Cappucino]]</f>
        <v>339</v>
      </c>
      <c r="V12">
        <f>Tabel24[[#This Row],[Stand Cappucino einde maand]]-Tabel24[[#This Row],[Stand Cappucino vorige maand]]</f>
        <v>412</v>
      </c>
      <c r="W12" s="25">
        <v>343</v>
      </c>
      <c r="X12">
        <f>Tabel2[[#This Row],[Cappucino Plantaardig]]</f>
        <v>136</v>
      </c>
      <c r="Y12">
        <f>Tabel24[[#This Row],[Stand Cappucino Plantaardig einde maand]]-Tabel24[[#This Row],[Stand Cappucino Plantaardig vorige maand]]</f>
        <v>207</v>
      </c>
      <c r="Z12" s="25">
        <v>120</v>
      </c>
      <c r="AA12">
        <f>Tabel2[[#This Row],[Latte Macchiato Plantaardig]]</f>
        <v>80</v>
      </c>
      <c r="AB12" s="12">
        <f>Tabel24[[#This Row],[Stand Latte Macchiato Plantaardig einde maand]]-Tabel24[[#This Row],[Stand Latte Macchiato Plantaardig vorige maand]]</f>
        <v>40</v>
      </c>
      <c r="AC12" s="3">
        <f>Tabel24[[#This Row],[Verbruik Stand Latte Macchiato Plantaardig deze maand]]+Tabel24[[#This Row],[Verbruik  Cappucino Plantaardig deze maand]]+Tabel24[[#This Row],[Verbruik Cappucino deze maand]]+Tabel24[[#This Row],[Verbruik Hot Water deze maand]]+Tabel24[[#This Row],[Verbruik Coffee Latte deze maand]]+Tabel24[[#This Row],[Verbruik Latte Macchiato deze maand]]+Tabel24[[#This Row],[Verbruik Espresso deze maand]]+Tabel24[[#This Row],[Verbruik Coffee deze maand]]</f>
        <v>4078</v>
      </c>
      <c r="AD12" s="26"/>
      <c r="AE12" s="5"/>
      <c r="AF12" s="5"/>
      <c r="AG12" s="7"/>
      <c r="AH12" s="26"/>
      <c r="AI12" s="5"/>
      <c r="AJ12" s="5"/>
      <c r="AK12" s="7"/>
      <c r="AL12" s="26"/>
      <c r="AM12" s="5"/>
      <c r="AN12" s="5"/>
      <c r="AO12" s="5"/>
      <c r="AP12" s="26"/>
      <c r="AQ12" s="5"/>
      <c r="AR12" s="5"/>
      <c r="AS12" s="7"/>
      <c r="AT12" s="26"/>
      <c r="AU12" s="5"/>
      <c r="AV12" s="5"/>
      <c r="AW12" s="21"/>
      <c r="AX12" s="8"/>
      <c r="AY12" s="4">
        <f>Tabel24[[#This Row],[Subtotaal waterbar in consumpties]]+Tabel24[[#This Row],[Subtotaal koffieautomaten]]</f>
        <v>4078</v>
      </c>
    </row>
    <row r="13" spans="1:51" x14ac:dyDescent="0.25">
      <c r="A13" t="s">
        <v>50</v>
      </c>
      <c r="B13" t="s">
        <v>51</v>
      </c>
      <c r="C13" t="s">
        <v>47</v>
      </c>
      <c r="E13" s="25">
        <v>1270</v>
      </c>
      <c r="F13">
        <f>Tabel2[[#This Row],[Coffee]]</f>
        <v>640</v>
      </c>
      <c r="G13" s="12">
        <f>Tabel24[[#This Row],[Stand Coffee einde maand]]-Tabel24[[#This Row],[Coffee vorige maand]]</f>
        <v>630</v>
      </c>
      <c r="H13" s="25">
        <v>462</v>
      </c>
      <c r="I13">
        <f>Tabel2[[#This Row],[Espresso]]</f>
        <v>223</v>
      </c>
      <c r="J13" s="12">
        <f>Tabel24[[#This Row],[Stand Espresso Einde maand]]-Tabel24[[#This Row],[Espresso vorige maand]]</f>
        <v>239</v>
      </c>
      <c r="K13" s="25">
        <v>139</v>
      </c>
      <c r="L13">
        <f>Tabel2[[#This Row],[Latte Macchiato]]</f>
        <v>51</v>
      </c>
      <c r="M13">
        <f>Tabel24[[#This Row],[Stand Latte Macchiato einde maand]]-Tabel24[[#This Row],[Latte Macchiato vorige maand]]</f>
        <v>88</v>
      </c>
      <c r="N13" s="25">
        <v>99</v>
      </c>
      <c r="O13">
        <f>Tabel2[[#This Row],[Coffee Latte]]</f>
        <v>47</v>
      </c>
      <c r="P13">
        <f>Tabel24[[#This Row],[Stand Coffee Latte einde maand]]-Tabel24[[#This Row],[Coffee Latte vorige maand]]</f>
        <v>52</v>
      </c>
      <c r="Q13" s="25">
        <v>1</v>
      </c>
      <c r="R13">
        <f>Tabel2[[#This Row],[Hot Water]]</f>
        <v>0</v>
      </c>
      <c r="S13">
        <f>Tabel24[[#This Row],[Stand Hot Water einde maand]]-Tabel24[[#This Row],[Hot Water vorige maand]]</f>
        <v>1</v>
      </c>
      <c r="T13" s="25">
        <v>570</v>
      </c>
      <c r="U13">
        <f>Tabel2[[#This Row],[Cappucino]]</f>
        <v>280</v>
      </c>
      <c r="V13">
        <f>Tabel24[[#This Row],[Stand Cappucino einde maand]]-Tabel24[[#This Row],[Stand Cappucino vorige maand]]</f>
        <v>290</v>
      </c>
      <c r="W13" s="25">
        <v>276</v>
      </c>
      <c r="X13">
        <f>Tabel2[[#This Row],[Cappucino Plantaardig]]</f>
        <v>154</v>
      </c>
      <c r="Y13">
        <f>Tabel24[[#This Row],[Stand Cappucino Plantaardig einde maand]]-Tabel24[[#This Row],[Stand Cappucino Plantaardig vorige maand]]</f>
        <v>122</v>
      </c>
      <c r="Z13" s="25">
        <v>65</v>
      </c>
      <c r="AA13">
        <f>Tabel2[[#This Row],[Latte Macchiato Plantaardig]]</f>
        <v>38</v>
      </c>
      <c r="AB13" s="12">
        <f>Tabel24[[#This Row],[Stand Latte Macchiato Plantaardig einde maand]]-Tabel24[[#This Row],[Stand Latte Macchiato Plantaardig vorige maand]]</f>
        <v>27</v>
      </c>
      <c r="AC13" s="3">
        <f>Tabel24[[#This Row],[Verbruik Stand Latte Macchiato Plantaardig deze maand]]+Tabel24[[#This Row],[Verbruik  Cappucino Plantaardig deze maand]]+Tabel24[[#This Row],[Verbruik Cappucino deze maand]]+Tabel24[[#This Row],[Verbruik Hot Water deze maand]]+Tabel24[[#This Row],[Verbruik Coffee Latte deze maand]]+Tabel24[[#This Row],[Verbruik Latte Macchiato deze maand]]+Tabel24[[#This Row],[Verbruik Espresso deze maand]]+Tabel24[[#This Row],[Verbruik Coffee deze maand]]</f>
        <v>1449</v>
      </c>
      <c r="AD13" s="25">
        <v>38.5</v>
      </c>
      <c r="AE13">
        <f>Tabel2[[#This Row],[kamertemp liter]]</f>
        <v>30.8</v>
      </c>
      <c r="AF13">
        <f>Tabel24[[#This Row],[Stand Kamertemp liter einde maand]]-Tabel24[[#This Row],[Stand Kamertemp liter vorige maand]]</f>
        <v>7.6999999999999993</v>
      </c>
      <c r="AG13" s="2">
        <f>Tabel24[[#This Row],[Verbruik Kamertemp liter deze maand]]/0.15</f>
        <v>51.333333333333329</v>
      </c>
      <c r="AH13" s="25">
        <v>254.2</v>
      </c>
      <c r="AI13">
        <f>Tabel2[[#This Row],[gekoeld liter]]</f>
        <v>142.1</v>
      </c>
      <c r="AJ13">
        <f>Tabel24[[#This Row],[Stand Gekoeld liter einde maand]]-Tabel24[[#This Row],[Stand Gekoeld liter vorige maand]]</f>
        <v>112.1</v>
      </c>
      <c r="AK13" s="2">
        <f>Tabel24[[#This Row],[Verbruik Gekoeld liter deze maand]]/0.15</f>
        <v>747.33333333333337</v>
      </c>
      <c r="AL13" s="25">
        <v>266.8</v>
      </c>
      <c r="AM13">
        <f>Tabel2[[#This Row],[bruisend liter]]</f>
        <v>167.7</v>
      </c>
      <c r="AN13">
        <f>Tabel24[[#This Row],[Stand Bruisend liter einde maand]]-Tabel24[[#This Row],[Stand Bruisend liter vorige maand]]</f>
        <v>99.100000000000023</v>
      </c>
      <c r="AO13" s="2">
        <f>Tabel24[[#This Row],[Verbruik Bruisend liter deze maand]]/0.15</f>
        <v>660.66666666666686</v>
      </c>
      <c r="AP13" s="25">
        <v>216.1</v>
      </c>
      <c r="AQ13">
        <f>Tabel2[[#This Row],[licht bruisend liter]]</f>
        <v>137</v>
      </c>
      <c r="AR13">
        <f>Tabel24[[#This Row],[Stand licht bruisend liter einde maand]]-Tabel24[[#This Row],[Stand licht bruisend liter vorige maand]]</f>
        <v>79.099999999999994</v>
      </c>
      <c r="AS13" s="2">
        <f>Tabel24[[#This Row],[Verbruik licht bruisend liter deze maand]]/0.15</f>
        <v>527.33333333333337</v>
      </c>
      <c r="AT13" s="25">
        <v>1038.0999999999999</v>
      </c>
      <c r="AU13">
        <f>Tabel2[[#This Row],[heet water liter]]</f>
        <v>666.4</v>
      </c>
      <c r="AV13">
        <f>Tabel24[[#This Row],[Stand heet water liter einde maand]]-Tabel24[[#This Row],[Stand heet water liter vorige maand]]</f>
        <v>371.69999999999993</v>
      </c>
      <c r="AW13" s="20">
        <f>Tabel24[[#This Row],[Verbruik heet Water liter deze maand ]]/0.15</f>
        <v>2477.9999999999995</v>
      </c>
      <c r="AX13" s="4">
        <f>Tabel24[[#This Row],[Aantal consumpties heet water deze maand]]+Tabel24[[#This Row],[Aantal consumpties licht bruisend water deze maand]]+Tabel24[[#This Row],[aantal consumpties Bruisend water deze maand]]+Tabel24[[#This Row],[Aantal consumpties gekoeld water deze maand]]+Tabel24[[#This Row],[Aantal consumpties Kamertemp deze maand]]</f>
        <v>4464.6666666666661</v>
      </c>
      <c r="AY13" s="4">
        <f>Tabel24[[#This Row],[Subtotaal waterbar in consumpties]]+Tabel24[[#This Row],[Subtotaal koffieautomaten]]</f>
        <v>5913.6666666666661</v>
      </c>
    </row>
    <row r="14" spans="1:51" x14ac:dyDescent="0.25">
      <c r="A14" t="s">
        <v>52</v>
      </c>
      <c r="B14" t="s">
        <v>53</v>
      </c>
      <c r="C14" t="s">
        <v>31</v>
      </c>
      <c r="E14" s="25">
        <v>1472</v>
      </c>
      <c r="F14">
        <f>Tabel2[[#This Row],[Coffee]]</f>
        <v>779</v>
      </c>
      <c r="G14" s="12">
        <f>Tabel24[[#This Row],[Stand Coffee einde maand]]-Tabel24[[#This Row],[Coffee vorige maand]]</f>
        <v>693</v>
      </c>
      <c r="H14" s="25">
        <v>361</v>
      </c>
      <c r="I14">
        <f>Tabel2[[#This Row],[Espresso]]</f>
        <v>207</v>
      </c>
      <c r="J14" s="12">
        <f>Tabel24[[#This Row],[Stand Espresso Einde maand]]-Tabel24[[#This Row],[Espresso vorige maand]]</f>
        <v>154</v>
      </c>
      <c r="K14" s="25">
        <v>81</v>
      </c>
      <c r="L14">
        <f>Tabel2[[#This Row],[Latte Macchiato]]</f>
        <v>47</v>
      </c>
      <c r="M14">
        <f>Tabel24[[#This Row],[Stand Latte Macchiato einde maand]]-Tabel24[[#This Row],[Latte Macchiato vorige maand]]</f>
        <v>34</v>
      </c>
      <c r="N14" s="25">
        <v>65</v>
      </c>
      <c r="O14">
        <f>Tabel2[[#This Row],[Coffee Latte]]</f>
        <v>32</v>
      </c>
      <c r="P14">
        <f>Tabel24[[#This Row],[Stand Coffee Latte einde maand]]-Tabel24[[#This Row],[Coffee Latte vorige maand]]</f>
        <v>33</v>
      </c>
      <c r="Q14" s="25">
        <v>2240</v>
      </c>
      <c r="R14">
        <f>Tabel2[[#This Row],[Hot Water]]</f>
        <v>1162</v>
      </c>
      <c r="S14">
        <f>Tabel24[[#This Row],[Stand Hot Water einde maand]]-Tabel24[[#This Row],[Hot Water vorige maand]]</f>
        <v>1078</v>
      </c>
      <c r="T14" s="25">
        <v>655</v>
      </c>
      <c r="U14">
        <f>Tabel2[[#This Row],[Cappucino]]</f>
        <v>360</v>
      </c>
      <c r="V14">
        <f>Tabel24[[#This Row],[Stand Cappucino einde maand]]-Tabel24[[#This Row],[Stand Cappucino vorige maand]]</f>
        <v>295</v>
      </c>
      <c r="W14" s="25">
        <v>254</v>
      </c>
      <c r="X14">
        <f>Tabel2[[#This Row],[Cappucino Plantaardig]]</f>
        <v>162</v>
      </c>
      <c r="Y14">
        <f>Tabel24[[#This Row],[Stand Cappucino Plantaardig einde maand]]-Tabel24[[#This Row],[Stand Cappucino Plantaardig vorige maand]]</f>
        <v>92</v>
      </c>
      <c r="Z14" s="25">
        <v>90</v>
      </c>
      <c r="AA14">
        <f>Tabel2[[#This Row],[Latte Macchiato Plantaardig]]</f>
        <v>42</v>
      </c>
      <c r="AB14" s="12">
        <f>Tabel24[[#This Row],[Stand Latte Macchiato Plantaardig einde maand]]-Tabel24[[#This Row],[Stand Latte Macchiato Plantaardig vorige maand]]</f>
        <v>48</v>
      </c>
      <c r="AC14" s="3">
        <f>Tabel24[[#This Row],[Verbruik Stand Latte Macchiato Plantaardig deze maand]]+Tabel24[[#This Row],[Verbruik  Cappucino Plantaardig deze maand]]+Tabel24[[#This Row],[Verbruik Cappucino deze maand]]+Tabel24[[#This Row],[Verbruik Hot Water deze maand]]+Tabel24[[#This Row],[Verbruik Coffee Latte deze maand]]+Tabel24[[#This Row],[Verbruik Latte Macchiato deze maand]]+Tabel24[[#This Row],[Verbruik Espresso deze maand]]+Tabel24[[#This Row],[Verbruik Coffee deze maand]]</f>
        <v>2427</v>
      </c>
      <c r="AD14" s="26"/>
      <c r="AE14" s="5"/>
      <c r="AF14" s="5"/>
      <c r="AG14" s="7"/>
      <c r="AH14" s="26"/>
      <c r="AI14" s="5"/>
      <c r="AJ14" s="5"/>
      <c r="AK14" s="7"/>
      <c r="AL14" s="26"/>
      <c r="AM14" s="5"/>
      <c r="AN14" s="5"/>
      <c r="AO14" s="5"/>
      <c r="AP14" s="26"/>
      <c r="AQ14" s="5"/>
      <c r="AR14" s="5"/>
      <c r="AS14" s="7"/>
      <c r="AT14" s="26"/>
      <c r="AU14" s="5"/>
      <c r="AV14" s="5"/>
      <c r="AW14" s="21"/>
      <c r="AX14" s="8"/>
      <c r="AY14" s="4">
        <f>Tabel24[[#This Row],[Subtotaal waterbar in consumpties]]+Tabel24[[#This Row],[Subtotaal koffieautomaten]]</f>
        <v>2427</v>
      </c>
    </row>
    <row r="15" spans="1:51" x14ac:dyDescent="0.25">
      <c r="A15" t="s">
        <v>54</v>
      </c>
      <c r="B15" t="s">
        <v>55</v>
      </c>
      <c r="C15" t="s">
        <v>36</v>
      </c>
      <c r="E15" s="26"/>
      <c r="F15" s="5"/>
      <c r="G15" s="16"/>
      <c r="H15" s="26"/>
      <c r="I15" s="5"/>
      <c r="J15" s="16"/>
      <c r="K15" s="26"/>
      <c r="L15" s="5"/>
      <c r="M15" s="5"/>
      <c r="N15" s="26"/>
      <c r="O15" s="5"/>
      <c r="P15" s="5"/>
      <c r="Q15" s="26"/>
      <c r="R15" s="5"/>
      <c r="S15" s="5"/>
      <c r="T15" s="26"/>
      <c r="U15" s="5"/>
      <c r="V15" s="5"/>
      <c r="W15" s="26"/>
      <c r="X15" s="5"/>
      <c r="Y15" s="5"/>
      <c r="Z15" s="26"/>
      <c r="AA15" s="5"/>
      <c r="AB15" s="16"/>
      <c r="AC15" s="3">
        <f>Tabel24[[#This Row],[Verbruik Stand Latte Macchiato Plantaardig deze maand]]+Tabel24[[#This Row],[Verbruik  Cappucino Plantaardig deze maand]]+Tabel24[[#This Row],[Verbruik Cappucino deze maand]]+Tabel24[[#This Row],[Verbruik Hot Water deze maand]]+Tabel24[[#This Row],[Verbruik Coffee Latte deze maand]]+Tabel24[[#This Row],[Verbruik Latte Macchiato deze maand]]+Tabel24[[#This Row],[Verbruik Espresso deze maand]]+Tabel24[[#This Row],[Verbruik Coffee deze maand]]</f>
        <v>0</v>
      </c>
      <c r="AD15" s="25">
        <v>26.6</v>
      </c>
      <c r="AE15">
        <f>Tabel2[[#This Row],[kamertemp liter]]</f>
        <v>17.8</v>
      </c>
      <c r="AF15">
        <f>Tabel24[[#This Row],[Stand Kamertemp liter einde maand]]-Tabel24[[#This Row],[Stand Kamertemp liter vorige maand]]</f>
        <v>8.8000000000000007</v>
      </c>
      <c r="AG15" s="2">
        <f>Tabel24[[#This Row],[Verbruik Kamertemp liter deze maand]]/0.15</f>
        <v>58.666666666666671</v>
      </c>
      <c r="AH15" s="25">
        <v>120</v>
      </c>
      <c r="AI15">
        <f>Tabel2[[#This Row],[gekoeld liter]]</f>
        <v>84.1</v>
      </c>
      <c r="AJ15">
        <f>Tabel24[[#This Row],[Stand Gekoeld liter einde maand]]-Tabel24[[#This Row],[Stand Gekoeld liter vorige maand]]</f>
        <v>35.900000000000006</v>
      </c>
      <c r="AK15" s="2">
        <f>Tabel24[[#This Row],[Verbruik Gekoeld liter deze maand]]/0.15</f>
        <v>239.33333333333337</v>
      </c>
      <c r="AL15" s="25">
        <v>202.4</v>
      </c>
      <c r="AM15">
        <f>Tabel2[[#This Row],[bruisend liter]]</f>
        <v>138.6</v>
      </c>
      <c r="AN15">
        <f>Tabel24[[#This Row],[Stand Bruisend liter einde maand]]-Tabel24[[#This Row],[Stand Bruisend liter vorige maand]]</f>
        <v>63.800000000000011</v>
      </c>
      <c r="AO15" s="2">
        <f>Tabel24[[#This Row],[Verbruik Bruisend liter deze maand]]/0.15</f>
        <v>425.33333333333343</v>
      </c>
      <c r="AP15" s="25">
        <v>68</v>
      </c>
      <c r="AQ15">
        <f>Tabel2[[#This Row],[licht bruisend liter]]</f>
        <v>47.1</v>
      </c>
      <c r="AR15">
        <f>Tabel24[[#This Row],[Stand licht bruisend liter einde maand]]-Tabel24[[#This Row],[Stand licht bruisend liter vorige maand]]</f>
        <v>20.9</v>
      </c>
      <c r="AS15" s="2">
        <f>Tabel24[[#This Row],[Verbruik licht bruisend liter deze maand]]/0.15</f>
        <v>139.33333333333334</v>
      </c>
      <c r="AT15" s="25">
        <v>685.7</v>
      </c>
      <c r="AU15">
        <f>Tabel2[[#This Row],[heet water liter]]</f>
        <v>443.8</v>
      </c>
      <c r="AV15">
        <f>Tabel24[[#This Row],[Stand heet water liter einde maand]]-Tabel24[[#This Row],[Stand heet water liter vorige maand]]</f>
        <v>241.90000000000003</v>
      </c>
      <c r="AW15" s="20">
        <f>Tabel24[[#This Row],[Verbruik heet Water liter deze maand ]]/0.15</f>
        <v>1612.666666666667</v>
      </c>
      <c r="AX15" s="4">
        <f>Tabel24[[#This Row],[Aantal consumpties heet water deze maand]]+Tabel24[[#This Row],[Aantal consumpties licht bruisend water deze maand]]+Tabel24[[#This Row],[aantal consumpties Bruisend water deze maand]]+Tabel24[[#This Row],[Aantal consumpties gekoeld water deze maand]]+Tabel24[[#This Row],[Aantal consumpties Kamertemp deze maand]]</f>
        <v>2475.3333333333335</v>
      </c>
      <c r="AY15" s="4">
        <f>Tabel24[[#This Row],[Subtotaal waterbar in consumpties]]+Tabel24[[#This Row],[Subtotaal koffieautomaten]]</f>
        <v>2475.3333333333335</v>
      </c>
    </row>
    <row r="16" spans="1:51" x14ac:dyDescent="0.25">
      <c r="A16" t="s">
        <v>56</v>
      </c>
      <c r="B16" t="s">
        <v>57</v>
      </c>
      <c r="C16" t="s">
        <v>31</v>
      </c>
      <c r="E16" s="25">
        <v>1951</v>
      </c>
      <c r="F16">
        <f>Tabel2[[#This Row],[Coffee]]</f>
        <v>1095</v>
      </c>
      <c r="G16" s="12">
        <f>Tabel24[[#This Row],[Stand Coffee einde maand]]-Tabel24[[#This Row],[Coffee vorige maand]]</f>
        <v>856</v>
      </c>
      <c r="H16" s="25">
        <v>485</v>
      </c>
      <c r="I16">
        <f>Tabel2[[#This Row],[Espresso]]</f>
        <v>302</v>
      </c>
      <c r="J16" s="12">
        <f>Tabel24[[#This Row],[Stand Espresso Einde maand]]-Tabel24[[#This Row],[Espresso vorige maand]]</f>
        <v>183</v>
      </c>
      <c r="K16" s="25">
        <v>84</v>
      </c>
      <c r="L16">
        <f>Tabel2[[#This Row],[Latte Macchiato]]</f>
        <v>41</v>
      </c>
      <c r="M16">
        <f>Tabel24[[#This Row],[Stand Latte Macchiato einde maand]]-Tabel24[[#This Row],[Latte Macchiato vorige maand]]</f>
        <v>43</v>
      </c>
      <c r="N16" s="25">
        <v>120</v>
      </c>
      <c r="O16">
        <f>Tabel2[[#This Row],[Coffee Latte]]</f>
        <v>44</v>
      </c>
      <c r="P16">
        <f>Tabel24[[#This Row],[Stand Coffee Latte einde maand]]-Tabel24[[#This Row],[Coffee Latte vorige maand]]</f>
        <v>76</v>
      </c>
      <c r="Q16" s="25">
        <v>2991</v>
      </c>
      <c r="R16">
        <f>Tabel2[[#This Row],[Hot Water]]</f>
        <v>1607</v>
      </c>
      <c r="S16">
        <f>Tabel24[[#This Row],[Stand Hot Water einde maand]]-Tabel24[[#This Row],[Hot Water vorige maand]]</f>
        <v>1384</v>
      </c>
      <c r="T16" s="25">
        <v>974</v>
      </c>
      <c r="U16">
        <f>Tabel2[[#This Row],[Cappucino]]</f>
        <v>490</v>
      </c>
      <c r="V16">
        <f>Tabel24[[#This Row],[Stand Cappucino einde maand]]-Tabel24[[#This Row],[Stand Cappucino vorige maand]]</f>
        <v>484</v>
      </c>
      <c r="W16" s="25">
        <v>379</v>
      </c>
      <c r="X16">
        <f>Tabel2[[#This Row],[Cappucino Plantaardig]]</f>
        <v>215</v>
      </c>
      <c r="Y16">
        <f>Tabel24[[#This Row],[Stand Cappucino Plantaardig einde maand]]-Tabel24[[#This Row],[Stand Cappucino Plantaardig vorige maand]]</f>
        <v>164</v>
      </c>
      <c r="Z16" s="25">
        <v>135</v>
      </c>
      <c r="AA16">
        <f>Tabel2[[#This Row],[Latte Macchiato Plantaardig]]</f>
        <v>81</v>
      </c>
      <c r="AB16" s="12">
        <f>Tabel24[[#This Row],[Stand Latte Macchiato Plantaardig einde maand]]-Tabel24[[#This Row],[Stand Latte Macchiato Plantaardig vorige maand]]</f>
        <v>54</v>
      </c>
      <c r="AC16" s="3">
        <f>Tabel24[[#This Row],[Verbruik Stand Latte Macchiato Plantaardig deze maand]]+Tabel24[[#This Row],[Verbruik  Cappucino Plantaardig deze maand]]+Tabel24[[#This Row],[Verbruik Cappucino deze maand]]+Tabel24[[#This Row],[Verbruik Hot Water deze maand]]+Tabel24[[#This Row],[Verbruik Coffee Latte deze maand]]+Tabel24[[#This Row],[Verbruik Latte Macchiato deze maand]]+Tabel24[[#This Row],[Verbruik Espresso deze maand]]+Tabel24[[#This Row],[Verbruik Coffee deze maand]]</f>
        <v>3244</v>
      </c>
      <c r="AD16" s="26"/>
      <c r="AE16" s="5"/>
      <c r="AF16" s="5"/>
      <c r="AG16" s="7"/>
      <c r="AH16" s="26"/>
      <c r="AI16" s="5"/>
      <c r="AJ16" s="5"/>
      <c r="AK16" s="7"/>
      <c r="AL16" s="26"/>
      <c r="AM16" s="5"/>
      <c r="AN16" s="5"/>
      <c r="AO16" s="5"/>
      <c r="AP16" s="26"/>
      <c r="AQ16" s="5"/>
      <c r="AR16" s="5"/>
      <c r="AS16" s="7"/>
      <c r="AT16" s="26"/>
      <c r="AU16" s="5"/>
      <c r="AV16" s="5"/>
      <c r="AW16" s="21"/>
      <c r="AX16" s="8"/>
      <c r="AY16" s="4">
        <f>Tabel24[[#This Row],[Subtotaal waterbar in consumpties]]+Tabel24[[#This Row],[Subtotaal koffieautomaten]]</f>
        <v>3244</v>
      </c>
    </row>
    <row r="17" spans="1:51" x14ac:dyDescent="0.25">
      <c r="A17" t="s">
        <v>58</v>
      </c>
      <c r="B17" t="s">
        <v>59</v>
      </c>
      <c r="C17" t="s">
        <v>47</v>
      </c>
      <c r="E17" s="25">
        <v>1478</v>
      </c>
      <c r="F17">
        <f>Tabel2[[#This Row],[Coffee]]</f>
        <v>760</v>
      </c>
      <c r="G17" s="12">
        <f>Tabel24[[#This Row],[Stand Coffee einde maand]]-Tabel24[[#This Row],[Coffee vorige maand]]</f>
        <v>718</v>
      </c>
      <c r="H17" s="25">
        <v>279</v>
      </c>
      <c r="I17">
        <f>Tabel2[[#This Row],[Espresso]]</f>
        <v>164</v>
      </c>
      <c r="J17" s="12">
        <f>Tabel24[[#This Row],[Stand Espresso Einde maand]]-Tabel24[[#This Row],[Espresso vorige maand]]</f>
        <v>115</v>
      </c>
      <c r="K17" s="25">
        <v>145</v>
      </c>
      <c r="L17">
        <f>Tabel2[[#This Row],[Latte Macchiato]]</f>
        <v>64</v>
      </c>
      <c r="M17">
        <f>Tabel24[[#This Row],[Stand Latte Macchiato einde maand]]-Tabel24[[#This Row],[Latte Macchiato vorige maand]]</f>
        <v>81</v>
      </c>
      <c r="N17" s="25">
        <v>72</v>
      </c>
      <c r="O17">
        <f>Tabel2[[#This Row],[Coffee Latte]]</f>
        <v>17</v>
      </c>
      <c r="P17">
        <f>Tabel24[[#This Row],[Stand Coffee Latte einde maand]]-Tabel24[[#This Row],[Coffee Latte vorige maand]]</f>
        <v>55</v>
      </c>
      <c r="Q17" s="25">
        <v>1</v>
      </c>
      <c r="R17">
        <f>Tabel2[[#This Row],[Hot Water]]</f>
        <v>0</v>
      </c>
      <c r="S17">
        <f>Tabel24[[#This Row],[Stand Hot Water einde maand]]-Tabel24[[#This Row],[Hot Water vorige maand]]</f>
        <v>1</v>
      </c>
      <c r="T17" s="25">
        <v>599</v>
      </c>
      <c r="U17">
        <f>Tabel2[[#This Row],[Cappucino]]</f>
        <v>319</v>
      </c>
      <c r="V17">
        <f>Tabel24[[#This Row],[Stand Cappucino einde maand]]-Tabel24[[#This Row],[Stand Cappucino vorige maand]]</f>
        <v>280</v>
      </c>
      <c r="W17" s="25">
        <v>486</v>
      </c>
      <c r="X17">
        <f>Tabel2[[#This Row],[Cappucino Plantaardig]]</f>
        <v>235</v>
      </c>
      <c r="Y17">
        <f>Tabel24[[#This Row],[Stand Cappucino Plantaardig einde maand]]-Tabel24[[#This Row],[Stand Cappucino Plantaardig vorige maand]]</f>
        <v>251</v>
      </c>
      <c r="Z17" s="25">
        <v>39</v>
      </c>
      <c r="AA17">
        <f>Tabel2[[#This Row],[Latte Macchiato Plantaardig]]</f>
        <v>29</v>
      </c>
      <c r="AB17" s="12">
        <f>Tabel24[[#This Row],[Stand Latte Macchiato Plantaardig einde maand]]-Tabel24[[#This Row],[Stand Latte Macchiato Plantaardig vorige maand]]</f>
        <v>10</v>
      </c>
      <c r="AC17" s="3">
        <f>Tabel24[[#This Row],[Verbruik Stand Latte Macchiato Plantaardig deze maand]]+Tabel24[[#This Row],[Verbruik  Cappucino Plantaardig deze maand]]+Tabel24[[#This Row],[Verbruik Cappucino deze maand]]+Tabel24[[#This Row],[Verbruik Hot Water deze maand]]+Tabel24[[#This Row],[Verbruik Coffee Latte deze maand]]+Tabel24[[#This Row],[Verbruik Latte Macchiato deze maand]]+Tabel24[[#This Row],[Verbruik Espresso deze maand]]+Tabel24[[#This Row],[Verbruik Coffee deze maand]]</f>
        <v>1511</v>
      </c>
      <c r="AD17" s="25">
        <v>70.2</v>
      </c>
      <c r="AE17">
        <f>Tabel2[[#This Row],[kamertemp liter]]</f>
        <v>47.9</v>
      </c>
      <c r="AF17">
        <f>Tabel24[[#This Row],[Stand Kamertemp liter einde maand]]-Tabel24[[#This Row],[Stand Kamertemp liter vorige maand]]</f>
        <v>22.300000000000004</v>
      </c>
      <c r="AG17" s="2">
        <f>Tabel24[[#This Row],[Verbruik Kamertemp liter deze maand]]/0.15</f>
        <v>148.66666666666671</v>
      </c>
      <c r="AH17" s="25">
        <v>227.6</v>
      </c>
      <c r="AI17">
        <f>Tabel2[[#This Row],[gekoeld liter]]</f>
        <v>138.69999999999999</v>
      </c>
      <c r="AJ17">
        <f>Tabel24[[#This Row],[Stand Gekoeld liter einde maand]]-Tabel24[[#This Row],[Stand Gekoeld liter vorige maand]]</f>
        <v>88.9</v>
      </c>
      <c r="AK17" s="2">
        <f>Tabel24[[#This Row],[Verbruik Gekoeld liter deze maand]]/0.15</f>
        <v>592.66666666666674</v>
      </c>
      <c r="AL17" s="25">
        <v>264.60000000000002</v>
      </c>
      <c r="AM17">
        <f>Tabel2[[#This Row],[bruisend liter]]</f>
        <v>177.3</v>
      </c>
      <c r="AN17">
        <f>Tabel24[[#This Row],[Stand Bruisend liter einde maand]]-Tabel24[[#This Row],[Stand Bruisend liter vorige maand]]</f>
        <v>87.300000000000011</v>
      </c>
      <c r="AO17" s="2">
        <f>Tabel24[[#This Row],[Verbruik Bruisend liter deze maand]]/0.15</f>
        <v>582.00000000000011</v>
      </c>
      <c r="AP17" s="25">
        <v>103.3</v>
      </c>
      <c r="AQ17">
        <f>Tabel2[[#This Row],[licht bruisend liter]]</f>
        <v>81.8</v>
      </c>
      <c r="AR17">
        <f>Tabel24[[#This Row],[Stand licht bruisend liter einde maand]]-Tabel24[[#This Row],[Stand licht bruisend liter vorige maand]]</f>
        <v>21.5</v>
      </c>
      <c r="AS17" s="2">
        <f>Tabel24[[#This Row],[Verbruik licht bruisend liter deze maand]]/0.15</f>
        <v>143.33333333333334</v>
      </c>
      <c r="AT17" s="25">
        <v>845.5</v>
      </c>
      <c r="AU17">
        <f>Tabel2[[#This Row],[heet water liter]]</f>
        <v>537</v>
      </c>
      <c r="AV17">
        <f>Tabel24[[#This Row],[Stand heet water liter einde maand]]-Tabel24[[#This Row],[Stand heet water liter vorige maand]]</f>
        <v>308.5</v>
      </c>
      <c r="AW17" s="20">
        <f>Tabel24[[#This Row],[Verbruik heet Water liter deze maand ]]/0.15</f>
        <v>2056.666666666667</v>
      </c>
      <c r="AX17" s="4">
        <f>Tabel24[[#This Row],[Aantal consumpties heet water deze maand]]+Tabel24[[#This Row],[Aantal consumpties licht bruisend water deze maand]]+Tabel24[[#This Row],[aantal consumpties Bruisend water deze maand]]+Tabel24[[#This Row],[Aantal consumpties gekoeld water deze maand]]+Tabel24[[#This Row],[Aantal consumpties Kamertemp deze maand]]</f>
        <v>3523.3333333333335</v>
      </c>
      <c r="AY17" s="4">
        <f>Tabel24[[#This Row],[Subtotaal waterbar in consumpties]]+Tabel24[[#This Row],[Subtotaal koffieautomaten]]</f>
        <v>5034.3333333333339</v>
      </c>
    </row>
    <row r="18" spans="1:51" x14ac:dyDescent="0.25">
      <c r="A18" t="s">
        <v>60</v>
      </c>
      <c r="B18" t="s">
        <v>61</v>
      </c>
      <c r="C18" t="s">
        <v>31</v>
      </c>
      <c r="E18" s="25">
        <v>1423</v>
      </c>
      <c r="F18">
        <f>Tabel2[[#This Row],[Coffee]]</f>
        <v>755</v>
      </c>
      <c r="G18" s="12">
        <f>Tabel24[[#This Row],[Stand Coffee einde maand]]-Tabel24[[#This Row],[Coffee vorige maand]]</f>
        <v>668</v>
      </c>
      <c r="H18" s="25">
        <v>296</v>
      </c>
      <c r="I18">
        <f>Tabel2[[#This Row],[Espresso]]</f>
        <v>177</v>
      </c>
      <c r="J18" s="12">
        <f>Tabel24[[#This Row],[Stand Espresso Einde maand]]-Tabel24[[#This Row],[Espresso vorige maand]]</f>
        <v>119</v>
      </c>
      <c r="K18" s="25">
        <v>127</v>
      </c>
      <c r="L18">
        <f>Tabel2[[#This Row],[Latte Macchiato]]</f>
        <v>64</v>
      </c>
      <c r="M18">
        <f>Tabel24[[#This Row],[Stand Latte Macchiato einde maand]]-Tabel24[[#This Row],[Latte Macchiato vorige maand]]</f>
        <v>63</v>
      </c>
      <c r="N18" s="25">
        <v>50</v>
      </c>
      <c r="O18">
        <f>Tabel2[[#This Row],[Coffee Latte]]</f>
        <v>31</v>
      </c>
      <c r="P18">
        <f>Tabel24[[#This Row],[Stand Coffee Latte einde maand]]-Tabel24[[#This Row],[Coffee Latte vorige maand]]</f>
        <v>19</v>
      </c>
      <c r="Q18" s="25">
        <v>2738</v>
      </c>
      <c r="R18">
        <f>Tabel2[[#This Row],[Hot Water]]</f>
        <v>1459</v>
      </c>
      <c r="S18">
        <f>Tabel24[[#This Row],[Stand Hot Water einde maand]]-Tabel24[[#This Row],[Hot Water vorige maand]]</f>
        <v>1279</v>
      </c>
      <c r="T18" s="25">
        <v>894</v>
      </c>
      <c r="U18">
        <f>Tabel2[[#This Row],[Cappucino]]</f>
        <v>371</v>
      </c>
      <c r="V18">
        <f>Tabel24[[#This Row],[Stand Cappucino einde maand]]-Tabel24[[#This Row],[Stand Cappucino vorige maand]]</f>
        <v>523</v>
      </c>
      <c r="W18" s="25">
        <v>228</v>
      </c>
      <c r="X18">
        <f>Tabel2[[#This Row],[Cappucino Plantaardig]]</f>
        <v>116</v>
      </c>
      <c r="Y18">
        <f>Tabel24[[#This Row],[Stand Cappucino Plantaardig einde maand]]-Tabel24[[#This Row],[Stand Cappucino Plantaardig vorige maand]]</f>
        <v>112</v>
      </c>
      <c r="Z18" s="25">
        <v>69</v>
      </c>
      <c r="AA18">
        <f>Tabel2[[#This Row],[Latte Macchiato Plantaardig]]</f>
        <v>31</v>
      </c>
      <c r="AB18" s="12">
        <f>Tabel24[[#This Row],[Stand Latte Macchiato Plantaardig einde maand]]-Tabel24[[#This Row],[Stand Latte Macchiato Plantaardig vorige maand]]</f>
        <v>38</v>
      </c>
      <c r="AC18" s="3">
        <f>Tabel24[[#This Row],[Verbruik Stand Latte Macchiato Plantaardig deze maand]]+Tabel24[[#This Row],[Verbruik  Cappucino Plantaardig deze maand]]+Tabel24[[#This Row],[Verbruik Cappucino deze maand]]+Tabel24[[#This Row],[Verbruik Hot Water deze maand]]+Tabel24[[#This Row],[Verbruik Coffee Latte deze maand]]+Tabel24[[#This Row],[Verbruik Latte Macchiato deze maand]]+Tabel24[[#This Row],[Verbruik Espresso deze maand]]+Tabel24[[#This Row],[Verbruik Coffee deze maand]]</f>
        <v>2821</v>
      </c>
      <c r="AD18" s="26"/>
      <c r="AE18" s="5"/>
      <c r="AF18" s="5"/>
      <c r="AG18" s="7"/>
      <c r="AH18" s="26"/>
      <c r="AI18" s="5"/>
      <c r="AJ18" s="5"/>
      <c r="AK18" s="7"/>
      <c r="AL18" s="26"/>
      <c r="AM18" s="5"/>
      <c r="AN18" s="5"/>
      <c r="AO18" s="5"/>
      <c r="AP18" s="26"/>
      <c r="AQ18" s="5"/>
      <c r="AR18" s="5"/>
      <c r="AS18" s="7"/>
      <c r="AT18" s="26"/>
      <c r="AU18" s="5"/>
      <c r="AV18" s="5"/>
      <c r="AW18" s="21"/>
      <c r="AX18" s="8"/>
      <c r="AY18" s="4">
        <f>Tabel24[[#This Row],[Subtotaal waterbar in consumpties]]+Tabel24[[#This Row],[Subtotaal koffieautomaten]]</f>
        <v>2821</v>
      </c>
    </row>
    <row r="19" spans="1:51" x14ac:dyDescent="0.25">
      <c r="A19" t="s">
        <v>62</v>
      </c>
      <c r="B19" t="s">
        <v>63</v>
      </c>
      <c r="C19" t="s">
        <v>36</v>
      </c>
      <c r="E19" s="26"/>
      <c r="F19" s="5"/>
      <c r="G19" s="16"/>
      <c r="H19" s="26"/>
      <c r="I19" s="5"/>
      <c r="J19" s="16"/>
      <c r="K19" s="26"/>
      <c r="L19" s="5"/>
      <c r="M19" s="5"/>
      <c r="N19" s="26"/>
      <c r="O19" s="5"/>
      <c r="P19" s="5"/>
      <c r="Q19" s="26"/>
      <c r="R19" s="5"/>
      <c r="S19" s="5"/>
      <c r="T19" s="26"/>
      <c r="U19" s="5"/>
      <c r="V19" s="5"/>
      <c r="W19" s="26"/>
      <c r="X19" s="5"/>
      <c r="Y19" s="5"/>
      <c r="Z19" s="26"/>
      <c r="AA19" s="5"/>
      <c r="AB19" s="16"/>
      <c r="AC19" s="3">
        <f>Tabel24[[#This Row],[Verbruik Stand Latte Macchiato Plantaardig deze maand]]+Tabel24[[#This Row],[Verbruik  Cappucino Plantaardig deze maand]]+Tabel24[[#This Row],[Verbruik Cappucino deze maand]]+Tabel24[[#This Row],[Verbruik Hot Water deze maand]]+Tabel24[[#This Row],[Verbruik Coffee Latte deze maand]]+Tabel24[[#This Row],[Verbruik Latte Macchiato deze maand]]+Tabel24[[#This Row],[Verbruik Espresso deze maand]]+Tabel24[[#This Row],[Verbruik Coffee deze maand]]</f>
        <v>0</v>
      </c>
      <c r="AD19" s="25">
        <v>25.7</v>
      </c>
      <c r="AE19">
        <f>Tabel2[[#This Row],[kamertemp liter]]</f>
        <v>15.2</v>
      </c>
      <c r="AF19">
        <f>Tabel24[[#This Row],[Stand Kamertemp liter einde maand]]-Tabel24[[#This Row],[Stand Kamertemp liter vorige maand]]</f>
        <v>10.5</v>
      </c>
      <c r="AG19" s="2">
        <f>Tabel24[[#This Row],[Verbruik Kamertemp liter deze maand]]/0.15</f>
        <v>70</v>
      </c>
      <c r="AH19" s="25">
        <v>85.9</v>
      </c>
      <c r="AI19">
        <f>Tabel2[[#This Row],[gekoeld liter]]</f>
        <v>54.5</v>
      </c>
      <c r="AJ19">
        <f>Tabel24[[#This Row],[Stand Gekoeld liter einde maand]]-Tabel24[[#This Row],[Stand Gekoeld liter vorige maand]]</f>
        <v>31.400000000000006</v>
      </c>
      <c r="AK19" s="2">
        <f>Tabel24[[#This Row],[Verbruik Gekoeld liter deze maand]]/0.15</f>
        <v>209.33333333333337</v>
      </c>
      <c r="AL19" s="25">
        <v>115.7</v>
      </c>
      <c r="AM19">
        <f>Tabel2[[#This Row],[bruisend liter]]</f>
        <v>60.3</v>
      </c>
      <c r="AN19">
        <f>Tabel24[[#This Row],[Stand Bruisend liter einde maand]]-Tabel24[[#This Row],[Stand Bruisend liter vorige maand]]</f>
        <v>55.400000000000006</v>
      </c>
      <c r="AO19" s="2">
        <f>Tabel24[[#This Row],[Verbruik Bruisend liter deze maand]]/0.15</f>
        <v>369.33333333333337</v>
      </c>
      <c r="AP19" s="25">
        <v>22.2</v>
      </c>
      <c r="AQ19">
        <f>Tabel2[[#This Row],[licht bruisend liter]]</f>
        <v>12</v>
      </c>
      <c r="AR19">
        <f>Tabel24[[#This Row],[Stand licht bruisend liter einde maand]]-Tabel24[[#This Row],[Stand licht bruisend liter vorige maand]]</f>
        <v>10.199999999999999</v>
      </c>
      <c r="AS19" s="2">
        <f>Tabel24[[#This Row],[Verbruik licht bruisend liter deze maand]]/0.15</f>
        <v>68</v>
      </c>
      <c r="AT19" s="25">
        <v>32.9</v>
      </c>
      <c r="AU19">
        <f>Tabel2[[#This Row],[heet water liter]]</f>
        <v>32.9</v>
      </c>
      <c r="AV19">
        <f>Tabel24[[#This Row],[Stand heet water liter einde maand]]-Tabel24[[#This Row],[Stand heet water liter vorige maand]]</f>
        <v>0</v>
      </c>
      <c r="AW19" s="20">
        <f>Tabel24[[#This Row],[Verbruik heet Water liter deze maand ]]/0.15</f>
        <v>0</v>
      </c>
      <c r="AX19" s="4">
        <f>Tabel24[[#This Row],[Aantal consumpties heet water deze maand]]+Tabel24[[#This Row],[Aantal consumpties licht bruisend water deze maand]]+Tabel24[[#This Row],[aantal consumpties Bruisend water deze maand]]+Tabel24[[#This Row],[Aantal consumpties gekoeld water deze maand]]+Tabel24[[#This Row],[Aantal consumpties Kamertemp deze maand]]</f>
        <v>716.66666666666674</v>
      </c>
      <c r="AY19" s="4">
        <f>Tabel24[[#This Row],[Subtotaal waterbar in consumpties]]+Tabel24[[#This Row],[Subtotaal koffieautomaten]]</f>
        <v>716.66666666666674</v>
      </c>
    </row>
    <row r="20" spans="1:51" x14ac:dyDescent="0.25">
      <c r="A20" t="s">
        <v>64</v>
      </c>
      <c r="B20" t="s">
        <v>65</v>
      </c>
      <c r="C20" t="s">
        <v>31</v>
      </c>
      <c r="E20" s="25">
        <v>1397</v>
      </c>
      <c r="F20">
        <f>Tabel2[[#This Row],[Coffee]]</f>
        <v>676</v>
      </c>
      <c r="G20" s="12">
        <f>Tabel24[[#This Row],[Stand Coffee einde maand]]-Tabel24[[#This Row],[Coffee vorige maand]]</f>
        <v>721</v>
      </c>
      <c r="H20" s="25">
        <v>542</v>
      </c>
      <c r="I20">
        <f>Tabel2[[#This Row],[Espresso]]</f>
        <v>283</v>
      </c>
      <c r="J20" s="12">
        <f>Tabel24[[#This Row],[Stand Espresso Einde maand]]-Tabel24[[#This Row],[Espresso vorige maand]]</f>
        <v>259</v>
      </c>
      <c r="K20" s="25">
        <v>153</v>
      </c>
      <c r="L20">
        <f>Tabel2[[#This Row],[Latte Macchiato]]</f>
        <v>91</v>
      </c>
      <c r="M20">
        <f>Tabel24[[#This Row],[Stand Latte Macchiato einde maand]]-Tabel24[[#This Row],[Latte Macchiato vorige maand]]</f>
        <v>62</v>
      </c>
      <c r="N20" s="25">
        <v>90</v>
      </c>
      <c r="O20">
        <f>Tabel2[[#This Row],[Coffee Latte]]</f>
        <v>52</v>
      </c>
      <c r="P20">
        <f>Tabel24[[#This Row],[Stand Coffee Latte einde maand]]-Tabel24[[#This Row],[Coffee Latte vorige maand]]</f>
        <v>38</v>
      </c>
      <c r="Q20" s="25">
        <v>3277</v>
      </c>
      <c r="R20">
        <f>Tabel2[[#This Row],[Hot Water]]</f>
        <v>1575</v>
      </c>
      <c r="S20">
        <f>Tabel24[[#This Row],[Stand Hot Water einde maand]]-Tabel24[[#This Row],[Hot Water vorige maand]]</f>
        <v>1702</v>
      </c>
      <c r="T20" s="25">
        <v>892</v>
      </c>
      <c r="U20">
        <f>Tabel2[[#This Row],[Cappucino]]</f>
        <v>467</v>
      </c>
      <c r="V20">
        <f>Tabel24[[#This Row],[Stand Cappucino einde maand]]-Tabel24[[#This Row],[Stand Cappucino vorige maand]]</f>
        <v>425</v>
      </c>
      <c r="W20" s="25">
        <v>223</v>
      </c>
      <c r="X20">
        <f>Tabel2[[#This Row],[Cappucino Plantaardig]]</f>
        <v>95</v>
      </c>
      <c r="Y20">
        <f>Tabel24[[#This Row],[Stand Cappucino Plantaardig einde maand]]-Tabel24[[#This Row],[Stand Cappucino Plantaardig vorige maand]]</f>
        <v>128</v>
      </c>
      <c r="Z20" s="25">
        <v>72</v>
      </c>
      <c r="AA20">
        <f>Tabel2[[#This Row],[Latte Macchiato Plantaardig]]</f>
        <v>38</v>
      </c>
      <c r="AB20" s="12">
        <f>Tabel24[[#This Row],[Stand Latte Macchiato Plantaardig einde maand]]-Tabel24[[#This Row],[Stand Latte Macchiato Plantaardig vorige maand]]</f>
        <v>34</v>
      </c>
      <c r="AC20" s="3">
        <f>Tabel24[[#This Row],[Verbruik Stand Latte Macchiato Plantaardig deze maand]]+Tabel24[[#This Row],[Verbruik  Cappucino Plantaardig deze maand]]+Tabel24[[#This Row],[Verbruik Cappucino deze maand]]+Tabel24[[#This Row],[Verbruik Hot Water deze maand]]+Tabel24[[#This Row],[Verbruik Coffee Latte deze maand]]+Tabel24[[#This Row],[Verbruik Latte Macchiato deze maand]]+Tabel24[[#This Row],[Verbruik Espresso deze maand]]+Tabel24[[#This Row],[Verbruik Coffee deze maand]]</f>
        <v>3369</v>
      </c>
      <c r="AD20" s="26"/>
      <c r="AE20" s="5"/>
      <c r="AF20" s="5"/>
      <c r="AG20" s="7"/>
      <c r="AH20" s="26"/>
      <c r="AI20" s="5"/>
      <c r="AJ20" s="5"/>
      <c r="AK20" s="7"/>
      <c r="AL20" s="26"/>
      <c r="AM20" s="5"/>
      <c r="AN20" s="5"/>
      <c r="AO20" s="5"/>
      <c r="AP20" s="26"/>
      <c r="AQ20" s="5"/>
      <c r="AR20" s="5"/>
      <c r="AS20" s="7"/>
      <c r="AT20" s="26"/>
      <c r="AU20" s="5"/>
      <c r="AV20" s="5"/>
      <c r="AW20" s="21"/>
      <c r="AX20" s="8"/>
      <c r="AY20" s="4">
        <f>Tabel24[[#This Row],[Subtotaal waterbar in consumpties]]+Tabel24[[#This Row],[Subtotaal koffieautomaten]]</f>
        <v>3369</v>
      </c>
    </row>
    <row r="21" spans="1:51" x14ac:dyDescent="0.25">
      <c r="A21" t="s">
        <v>66</v>
      </c>
      <c r="B21" t="s">
        <v>67</v>
      </c>
      <c r="C21" t="s">
        <v>31</v>
      </c>
      <c r="E21" s="25">
        <v>2093</v>
      </c>
      <c r="F21">
        <f>Tabel2[[#This Row],[Coffee]]</f>
        <v>1136</v>
      </c>
      <c r="G21" s="12">
        <f>Tabel24[[#This Row],[Stand Coffee einde maand]]-Tabel24[[#This Row],[Coffee vorige maand]]</f>
        <v>957</v>
      </c>
      <c r="H21" s="25">
        <v>311</v>
      </c>
      <c r="I21">
        <f>Tabel2[[#This Row],[Espresso]]</f>
        <v>161</v>
      </c>
      <c r="J21" s="12">
        <f>Tabel24[[#This Row],[Stand Espresso Einde maand]]-Tabel24[[#This Row],[Espresso vorige maand]]</f>
        <v>150</v>
      </c>
      <c r="K21" s="25">
        <v>256</v>
      </c>
      <c r="L21">
        <f>Tabel2[[#This Row],[Latte Macchiato]]</f>
        <v>137</v>
      </c>
      <c r="M21">
        <f>Tabel24[[#This Row],[Stand Latte Macchiato einde maand]]-Tabel24[[#This Row],[Latte Macchiato vorige maand]]</f>
        <v>119</v>
      </c>
      <c r="N21" s="25">
        <v>42</v>
      </c>
      <c r="O21">
        <f>Tabel2[[#This Row],[Coffee Latte]]</f>
        <v>27</v>
      </c>
      <c r="P21">
        <f>Tabel24[[#This Row],[Stand Coffee Latte einde maand]]-Tabel24[[#This Row],[Coffee Latte vorige maand]]</f>
        <v>15</v>
      </c>
      <c r="Q21" s="25">
        <v>3220</v>
      </c>
      <c r="R21">
        <f>Tabel2[[#This Row],[Hot Water]]</f>
        <v>1662</v>
      </c>
      <c r="S21">
        <f>Tabel24[[#This Row],[Stand Hot Water einde maand]]-Tabel24[[#This Row],[Hot Water vorige maand]]</f>
        <v>1558</v>
      </c>
      <c r="T21" s="25">
        <v>879</v>
      </c>
      <c r="U21">
        <f>Tabel2[[#This Row],[Cappucino]]</f>
        <v>480</v>
      </c>
      <c r="V21">
        <f>Tabel24[[#This Row],[Stand Cappucino einde maand]]-Tabel24[[#This Row],[Stand Cappucino vorige maand]]</f>
        <v>399</v>
      </c>
      <c r="W21" s="25">
        <v>386</v>
      </c>
      <c r="X21">
        <f>Tabel2[[#This Row],[Cappucino Plantaardig]]</f>
        <v>213</v>
      </c>
      <c r="Y21">
        <f>Tabel24[[#This Row],[Stand Cappucino Plantaardig einde maand]]-Tabel24[[#This Row],[Stand Cappucino Plantaardig vorige maand]]</f>
        <v>173</v>
      </c>
      <c r="Z21" s="25">
        <v>117</v>
      </c>
      <c r="AA21">
        <f>Tabel2[[#This Row],[Latte Macchiato Plantaardig]]</f>
        <v>83</v>
      </c>
      <c r="AB21" s="12">
        <f>Tabel24[[#This Row],[Stand Latte Macchiato Plantaardig einde maand]]-Tabel24[[#This Row],[Stand Latte Macchiato Plantaardig vorige maand]]</f>
        <v>34</v>
      </c>
      <c r="AC21" s="3">
        <f>Tabel24[[#This Row],[Verbruik Stand Latte Macchiato Plantaardig deze maand]]+Tabel24[[#This Row],[Verbruik  Cappucino Plantaardig deze maand]]+Tabel24[[#This Row],[Verbruik Cappucino deze maand]]+Tabel24[[#This Row],[Verbruik Hot Water deze maand]]+Tabel24[[#This Row],[Verbruik Coffee Latte deze maand]]+Tabel24[[#This Row],[Verbruik Latte Macchiato deze maand]]+Tabel24[[#This Row],[Verbruik Espresso deze maand]]+Tabel24[[#This Row],[Verbruik Coffee deze maand]]</f>
        <v>3405</v>
      </c>
      <c r="AD21" s="26"/>
      <c r="AE21" s="5"/>
      <c r="AF21" s="5"/>
      <c r="AG21" s="7"/>
      <c r="AH21" s="26"/>
      <c r="AI21" s="5"/>
      <c r="AJ21" s="5"/>
      <c r="AK21" s="7"/>
      <c r="AL21" s="26"/>
      <c r="AM21" s="5"/>
      <c r="AN21" s="5"/>
      <c r="AO21" s="5"/>
      <c r="AP21" s="26"/>
      <c r="AQ21" s="5"/>
      <c r="AR21" s="5"/>
      <c r="AS21" s="7"/>
      <c r="AT21" s="26"/>
      <c r="AU21" s="5"/>
      <c r="AV21" s="5"/>
      <c r="AW21" s="21"/>
      <c r="AX21" s="8"/>
      <c r="AY21" s="4">
        <f>Tabel24[[#This Row],[Subtotaal waterbar in consumpties]]+Tabel24[[#This Row],[Subtotaal koffieautomaten]]</f>
        <v>3405</v>
      </c>
    </row>
    <row r="22" spans="1:51" x14ac:dyDescent="0.25">
      <c r="A22" t="s">
        <v>68</v>
      </c>
      <c r="B22" t="s">
        <v>69</v>
      </c>
      <c r="C22" t="s">
        <v>47</v>
      </c>
      <c r="E22" s="25">
        <v>892</v>
      </c>
      <c r="F22">
        <f>Tabel2[[#This Row],[Coffee]]</f>
        <v>421</v>
      </c>
      <c r="G22" s="12">
        <f>Tabel24[[#This Row],[Stand Coffee einde maand]]-Tabel24[[#This Row],[Coffee vorige maand]]</f>
        <v>471</v>
      </c>
      <c r="H22" s="25">
        <v>223</v>
      </c>
      <c r="I22">
        <f>Tabel2[[#This Row],[Espresso]]</f>
        <v>9</v>
      </c>
      <c r="J22" s="12">
        <f>Tabel24[[#This Row],[Stand Espresso Einde maand]]-Tabel24[[#This Row],[Espresso vorige maand]]</f>
        <v>214</v>
      </c>
      <c r="K22" s="25">
        <v>398</v>
      </c>
      <c r="L22">
        <f>Tabel2[[#This Row],[Latte Macchiato]]</f>
        <v>180</v>
      </c>
      <c r="M22">
        <f>Tabel24[[#This Row],[Stand Latte Macchiato einde maand]]-Tabel24[[#This Row],[Latte Macchiato vorige maand]]</f>
        <v>218</v>
      </c>
      <c r="N22" s="25">
        <v>53</v>
      </c>
      <c r="O22">
        <f>Tabel2[[#This Row],[Coffee Latte]]</f>
        <v>36</v>
      </c>
      <c r="P22">
        <f>Tabel24[[#This Row],[Stand Coffee Latte einde maand]]-Tabel24[[#This Row],[Coffee Latte vorige maand]]</f>
        <v>17</v>
      </c>
      <c r="Q22" s="25">
        <v>1</v>
      </c>
      <c r="R22">
        <f>Tabel2[[#This Row],[Hot Water]]</f>
        <v>0</v>
      </c>
      <c r="S22">
        <f>Tabel24[[#This Row],[Stand Hot Water einde maand]]-Tabel24[[#This Row],[Hot Water vorige maand]]</f>
        <v>1</v>
      </c>
      <c r="T22" s="25">
        <v>1209</v>
      </c>
      <c r="U22">
        <f>Tabel2[[#This Row],[Cappucino]]</f>
        <v>583</v>
      </c>
      <c r="V22">
        <f>Tabel24[[#This Row],[Stand Cappucino einde maand]]-Tabel24[[#This Row],[Stand Cappucino vorige maand]]</f>
        <v>626</v>
      </c>
      <c r="W22" s="25">
        <v>195</v>
      </c>
      <c r="X22">
        <f>Tabel2[[#This Row],[Cappucino Plantaardig]]</f>
        <v>0</v>
      </c>
      <c r="Y22">
        <f>Tabel24[[#This Row],[Stand Cappucino Plantaardig einde maand]]-Tabel24[[#This Row],[Stand Cappucino Plantaardig vorige maand]]</f>
        <v>195</v>
      </c>
      <c r="Z22" s="25">
        <v>66</v>
      </c>
      <c r="AA22">
        <f>Tabel2[[#This Row],[Latte Macchiato Plantaardig]]</f>
        <v>0</v>
      </c>
      <c r="AB22" s="12">
        <f>Tabel24[[#This Row],[Stand Latte Macchiato Plantaardig einde maand]]-Tabel24[[#This Row],[Stand Latte Macchiato Plantaardig vorige maand]]</f>
        <v>66</v>
      </c>
      <c r="AC22" s="3">
        <f>Tabel24[[#This Row],[Verbruik Stand Latte Macchiato Plantaardig deze maand]]+Tabel24[[#This Row],[Verbruik  Cappucino Plantaardig deze maand]]+Tabel24[[#This Row],[Verbruik Cappucino deze maand]]+Tabel24[[#This Row],[Verbruik Hot Water deze maand]]+Tabel24[[#This Row],[Verbruik Coffee Latte deze maand]]+Tabel24[[#This Row],[Verbruik Latte Macchiato deze maand]]+Tabel24[[#This Row],[Verbruik Espresso deze maand]]+Tabel24[[#This Row],[Verbruik Coffee deze maand]]</f>
        <v>1808</v>
      </c>
      <c r="AD22" s="25">
        <v>29.6</v>
      </c>
      <c r="AE22">
        <f>Tabel2[[#This Row],[kamertemp liter]]</f>
        <v>19</v>
      </c>
      <c r="AF22">
        <f>Tabel24[[#This Row],[Stand Kamertemp liter einde maand]]-Tabel24[[#This Row],[Stand Kamertemp liter vorige maand]]</f>
        <v>10.600000000000001</v>
      </c>
      <c r="AG22" s="2">
        <f>Tabel24[[#This Row],[Verbruik Kamertemp liter deze maand]]/0.15</f>
        <v>70.666666666666686</v>
      </c>
      <c r="AH22" s="25">
        <v>274.60000000000002</v>
      </c>
      <c r="AI22">
        <f>Tabel2[[#This Row],[gekoeld liter]]</f>
        <v>165</v>
      </c>
      <c r="AJ22">
        <f>Tabel24[[#This Row],[Stand Gekoeld liter einde maand]]-Tabel24[[#This Row],[Stand Gekoeld liter vorige maand]]</f>
        <v>109.60000000000002</v>
      </c>
      <c r="AK22" s="2">
        <f>Tabel24[[#This Row],[Verbruik Gekoeld liter deze maand]]/0.15</f>
        <v>730.66666666666686</v>
      </c>
      <c r="AL22" s="25">
        <v>319</v>
      </c>
      <c r="AM22">
        <f>Tabel2[[#This Row],[bruisend liter]]</f>
        <v>193.5</v>
      </c>
      <c r="AN22">
        <f>Tabel24[[#This Row],[Stand Bruisend liter einde maand]]-Tabel24[[#This Row],[Stand Bruisend liter vorige maand]]</f>
        <v>125.5</v>
      </c>
      <c r="AO22" s="2">
        <f>Tabel24[[#This Row],[Verbruik Bruisend liter deze maand]]/0.15</f>
        <v>836.66666666666674</v>
      </c>
      <c r="AP22" s="25">
        <v>149.80000000000001</v>
      </c>
      <c r="AQ22">
        <f>Tabel2[[#This Row],[licht bruisend liter]]</f>
        <v>94.7</v>
      </c>
      <c r="AR22">
        <f>Tabel24[[#This Row],[Stand licht bruisend liter einde maand]]-Tabel24[[#This Row],[Stand licht bruisend liter vorige maand]]</f>
        <v>55.100000000000009</v>
      </c>
      <c r="AS22" s="2">
        <f>Tabel24[[#This Row],[Verbruik licht bruisend liter deze maand]]/0.15</f>
        <v>367.33333333333343</v>
      </c>
      <c r="AT22" s="25">
        <v>1099.7</v>
      </c>
      <c r="AU22">
        <f>Tabel2[[#This Row],[heet water liter]]</f>
        <v>702.3</v>
      </c>
      <c r="AV22">
        <f>Tabel24[[#This Row],[Stand heet water liter einde maand]]-Tabel24[[#This Row],[Stand heet water liter vorige maand]]</f>
        <v>397.40000000000009</v>
      </c>
      <c r="AW22" s="20">
        <f>Tabel24[[#This Row],[Verbruik heet Water liter deze maand ]]/0.15</f>
        <v>2649.3333333333339</v>
      </c>
      <c r="AX22" s="4">
        <f>Tabel24[[#This Row],[Aantal consumpties heet water deze maand]]+Tabel24[[#This Row],[Aantal consumpties licht bruisend water deze maand]]+Tabel24[[#This Row],[aantal consumpties Bruisend water deze maand]]+Tabel24[[#This Row],[Aantal consumpties gekoeld water deze maand]]+Tabel24[[#This Row],[Aantal consumpties Kamertemp deze maand]]</f>
        <v>4654.6666666666679</v>
      </c>
      <c r="AY22" s="4">
        <f>Tabel24[[#This Row],[Subtotaal waterbar in consumpties]]+Tabel24[[#This Row],[Subtotaal koffieautomaten]]</f>
        <v>6462.6666666666679</v>
      </c>
    </row>
    <row r="23" spans="1:51" x14ac:dyDescent="0.25">
      <c r="A23" t="s">
        <v>70</v>
      </c>
      <c r="B23" t="s">
        <v>71</v>
      </c>
      <c r="C23" t="s">
        <v>31</v>
      </c>
      <c r="E23" s="25">
        <v>1366</v>
      </c>
      <c r="F23">
        <f>Tabel2[[#This Row],[Coffee]]</f>
        <v>736</v>
      </c>
      <c r="G23" s="12">
        <f>Tabel24[[#This Row],[Stand Coffee einde maand]]-Tabel24[[#This Row],[Coffee vorige maand]]</f>
        <v>630</v>
      </c>
      <c r="H23" s="25">
        <v>112</v>
      </c>
      <c r="I23">
        <f>Tabel2[[#This Row],[Espresso]]</f>
        <v>55</v>
      </c>
      <c r="J23" s="12">
        <f>Tabel24[[#This Row],[Stand Espresso Einde maand]]-Tabel24[[#This Row],[Espresso vorige maand]]</f>
        <v>57</v>
      </c>
      <c r="K23" s="25">
        <v>135</v>
      </c>
      <c r="L23">
        <f>Tabel2[[#This Row],[Latte Macchiato]]</f>
        <v>81</v>
      </c>
      <c r="M23">
        <f>Tabel24[[#This Row],[Stand Latte Macchiato einde maand]]-Tabel24[[#This Row],[Latte Macchiato vorige maand]]</f>
        <v>54</v>
      </c>
      <c r="N23" s="25">
        <v>73</v>
      </c>
      <c r="O23">
        <f>Tabel2[[#This Row],[Coffee Latte]]</f>
        <v>29</v>
      </c>
      <c r="P23">
        <f>Tabel24[[#This Row],[Stand Coffee Latte einde maand]]-Tabel24[[#This Row],[Coffee Latte vorige maand]]</f>
        <v>44</v>
      </c>
      <c r="Q23" s="25">
        <v>2162</v>
      </c>
      <c r="R23">
        <f>Tabel2[[#This Row],[Hot Water]]</f>
        <v>1122</v>
      </c>
      <c r="S23">
        <f>Tabel24[[#This Row],[Stand Hot Water einde maand]]-Tabel24[[#This Row],[Hot Water vorige maand]]</f>
        <v>1040</v>
      </c>
      <c r="T23" s="25">
        <v>612</v>
      </c>
      <c r="U23">
        <f>Tabel2[[#This Row],[Cappucino]]</f>
        <v>343</v>
      </c>
      <c r="V23">
        <f>Tabel24[[#This Row],[Stand Cappucino einde maand]]-Tabel24[[#This Row],[Stand Cappucino vorige maand]]</f>
        <v>269</v>
      </c>
      <c r="W23" s="25">
        <v>168</v>
      </c>
      <c r="X23">
        <f>Tabel2[[#This Row],[Cappucino Plantaardig]]</f>
        <v>96</v>
      </c>
      <c r="Y23">
        <f>Tabel24[[#This Row],[Stand Cappucino Plantaardig einde maand]]-Tabel24[[#This Row],[Stand Cappucino Plantaardig vorige maand]]</f>
        <v>72</v>
      </c>
      <c r="Z23" s="25">
        <v>90</v>
      </c>
      <c r="AA23">
        <f>Tabel2[[#This Row],[Latte Macchiato Plantaardig]]</f>
        <v>37</v>
      </c>
      <c r="AB23" s="12">
        <f>Tabel24[[#This Row],[Stand Latte Macchiato Plantaardig einde maand]]-Tabel24[[#This Row],[Stand Latte Macchiato Plantaardig vorige maand]]</f>
        <v>53</v>
      </c>
      <c r="AC23" s="3">
        <f>Tabel24[[#This Row],[Verbruik Stand Latte Macchiato Plantaardig deze maand]]+Tabel24[[#This Row],[Verbruik  Cappucino Plantaardig deze maand]]+Tabel24[[#This Row],[Verbruik Cappucino deze maand]]+Tabel24[[#This Row],[Verbruik Hot Water deze maand]]+Tabel24[[#This Row],[Verbruik Coffee Latte deze maand]]+Tabel24[[#This Row],[Verbruik Latte Macchiato deze maand]]+Tabel24[[#This Row],[Verbruik Espresso deze maand]]+Tabel24[[#This Row],[Verbruik Coffee deze maand]]</f>
        <v>2219</v>
      </c>
      <c r="AD23" s="26"/>
      <c r="AE23" s="5"/>
      <c r="AF23" s="5"/>
      <c r="AG23" s="7"/>
      <c r="AH23" s="26"/>
      <c r="AI23" s="5"/>
      <c r="AJ23" s="5"/>
      <c r="AK23" s="7"/>
      <c r="AL23" s="26"/>
      <c r="AM23" s="5"/>
      <c r="AN23" s="5"/>
      <c r="AO23" s="5"/>
      <c r="AP23" s="26"/>
      <c r="AQ23" s="5"/>
      <c r="AR23" s="5"/>
      <c r="AS23" s="7"/>
      <c r="AT23" s="26"/>
      <c r="AU23" s="5"/>
      <c r="AV23" s="5"/>
      <c r="AW23" s="21"/>
      <c r="AX23" s="8"/>
      <c r="AY23" s="4">
        <f>Tabel24[[#This Row],[Subtotaal waterbar in consumpties]]+Tabel24[[#This Row],[Subtotaal koffieautomaten]]</f>
        <v>2219</v>
      </c>
    </row>
    <row r="24" spans="1:51" x14ac:dyDescent="0.25">
      <c r="A24" t="s">
        <v>72</v>
      </c>
      <c r="B24" t="s">
        <v>73</v>
      </c>
      <c r="C24" t="s">
        <v>47</v>
      </c>
      <c r="E24" s="25">
        <v>1139</v>
      </c>
      <c r="F24">
        <f>Tabel2[[#This Row],[Coffee]]</f>
        <v>601</v>
      </c>
      <c r="G24" s="12">
        <f>Tabel24[[#This Row],[Stand Coffee einde maand]]-Tabel24[[#This Row],[Coffee vorige maand]]</f>
        <v>538</v>
      </c>
      <c r="H24" s="25">
        <v>383</v>
      </c>
      <c r="I24">
        <f>Tabel2[[#This Row],[Espresso]]</f>
        <v>243</v>
      </c>
      <c r="J24" s="12">
        <f>Tabel24[[#This Row],[Stand Espresso Einde maand]]-Tabel24[[#This Row],[Espresso vorige maand]]</f>
        <v>140</v>
      </c>
      <c r="K24" s="25">
        <v>228</v>
      </c>
      <c r="L24">
        <f>Tabel2[[#This Row],[Latte Macchiato]]</f>
        <v>127</v>
      </c>
      <c r="M24">
        <f>Tabel24[[#This Row],[Stand Latte Macchiato einde maand]]-Tabel24[[#This Row],[Latte Macchiato vorige maand]]</f>
        <v>101</v>
      </c>
      <c r="N24" s="25">
        <v>81</v>
      </c>
      <c r="O24">
        <f>Tabel2[[#This Row],[Coffee Latte]]</f>
        <v>42</v>
      </c>
      <c r="P24">
        <f>Tabel24[[#This Row],[Stand Coffee Latte einde maand]]-Tabel24[[#This Row],[Coffee Latte vorige maand]]</f>
        <v>39</v>
      </c>
      <c r="Q24" s="25">
        <v>1</v>
      </c>
      <c r="R24">
        <f>Tabel2[[#This Row],[Hot Water]]</f>
        <v>0</v>
      </c>
      <c r="S24">
        <f>Tabel24[[#This Row],[Stand Hot Water einde maand]]-Tabel24[[#This Row],[Hot Water vorige maand]]</f>
        <v>1</v>
      </c>
      <c r="T24" s="25">
        <v>822</v>
      </c>
      <c r="U24">
        <f>Tabel2[[#This Row],[Cappucino]]</f>
        <v>415</v>
      </c>
      <c r="V24">
        <f>Tabel24[[#This Row],[Stand Cappucino einde maand]]-Tabel24[[#This Row],[Stand Cappucino vorige maand]]</f>
        <v>407</v>
      </c>
      <c r="W24" s="25">
        <v>157</v>
      </c>
      <c r="X24">
        <f>Tabel2[[#This Row],[Cappucino Plantaardig]]</f>
        <v>80</v>
      </c>
      <c r="Y24">
        <f>Tabel24[[#This Row],[Stand Cappucino Plantaardig einde maand]]-Tabel24[[#This Row],[Stand Cappucino Plantaardig vorige maand]]</f>
        <v>77</v>
      </c>
      <c r="Z24" s="25">
        <v>45</v>
      </c>
      <c r="AA24">
        <f>Tabel2[[#This Row],[Latte Macchiato Plantaardig]]</f>
        <v>25</v>
      </c>
      <c r="AB24" s="12">
        <f>Tabel24[[#This Row],[Stand Latte Macchiato Plantaardig einde maand]]-Tabel24[[#This Row],[Stand Latte Macchiato Plantaardig vorige maand]]</f>
        <v>20</v>
      </c>
      <c r="AC24" s="3">
        <f>Tabel24[[#This Row],[Verbruik Stand Latte Macchiato Plantaardig deze maand]]+Tabel24[[#This Row],[Verbruik  Cappucino Plantaardig deze maand]]+Tabel24[[#This Row],[Verbruik Cappucino deze maand]]+Tabel24[[#This Row],[Verbruik Hot Water deze maand]]+Tabel24[[#This Row],[Verbruik Coffee Latte deze maand]]+Tabel24[[#This Row],[Verbruik Latte Macchiato deze maand]]+Tabel24[[#This Row],[Verbruik Espresso deze maand]]+Tabel24[[#This Row],[Verbruik Coffee deze maand]]</f>
        <v>1323</v>
      </c>
      <c r="AD24" s="25">
        <v>37.799999999999997</v>
      </c>
      <c r="AE24">
        <f>Tabel2[[#This Row],[kamertemp liter]]</f>
        <v>28.9</v>
      </c>
      <c r="AF24">
        <f>Tabel24[[#This Row],[Stand Kamertemp liter einde maand]]-Tabel24[[#This Row],[Stand Kamertemp liter vorige maand]]</f>
        <v>8.8999999999999986</v>
      </c>
      <c r="AG24" s="2">
        <f>Tabel24[[#This Row],[Verbruik Kamertemp liter deze maand]]/0.15</f>
        <v>59.333333333333329</v>
      </c>
      <c r="AH24" s="25">
        <v>179.3</v>
      </c>
      <c r="AI24">
        <f>Tabel2[[#This Row],[gekoeld liter]]</f>
        <v>128.80000000000001</v>
      </c>
      <c r="AJ24">
        <f>Tabel24[[#This Row],[Stand Gekoeld liter einde maand]]-Tabel24[[#This Row],[Stand Gekoeld liter vorige maand]]</f>
        <v>50.5</v>
      </c>
      <c r="AK24" s="2">
        <f>Tabel24[[#This Row],[Verbruik Gekoeld liter deze maand]]/0.15</f>
        <v>336.66666666666669</v>
      </c>
      <c r="AL24" s="25">
        <v>171.2</v>
      </c>
      <c r="AM24">
        <f>Tabel2[[#This Row],[bruisend liter]]</f>
        <v>119.3</v>
      </c>
      <c r="AN24">
        <f>Tabel24[[#This Row],[Stand Bruisend liter einde maand]]-Tabel24[[#This Row],[Stand Bruisend liter vorige maand]]</f>
        <v>51.899999999999991</v>
      </c>
      <c r="AO24" s="2">
        <f>Tabel24[[#This Row],[Verbruik Bruisend liter deze maand]]/0.15</f>
        <v>345.99999999999994</v>
      </c>
      <c r="AP24" s="25">
        <v>72.3</v>
      </c>
      <c r="AQ24">
        <f>Tabel2[[#This Row],[licht bruisend liter]]</f>
        <v>47.6</v>
      </c>
      <c r="AR24">
        <f>Tabel24[[#This Row],[Stand licht bruisend liter einde maand]]-Tabel24[[#This Row],[Stand licht bruisend liter vorige maand]]</f>
        <v>24.699999999999996</v>
      </c>
      <c r="AS24" s="2">
        <f>Tabel24[[#This Row],[Verbruik licht bruisend liter deze maand]]/0.15</f>
        <v>164.66666666666666</v>
      </c>
      <c r="AT24" s="25">
        <v>326.10000000000002</v>
      </c>
      <c r="AU24">
        <f>Tabel2[[#This Row],[heet water liter]]</f>
        <v>287.8</v>
      </c>
      <c r="AV24">
        <f>Tabel24[[#This Row],[Stand heet water liter einde maand]]-Tabel24[[#This Row],[Stand heet water liter vorige maand]]</f>
        <v>38.300000000000011</v>
      </c>
      <c r="AW24" s="20">
        <f>Tabel24[[#This Row],[Verbruik heet Water liter deze maand ]]/0.15</f>
        <v>255.33333333333343</v>
      </c>
      <c r="AX24" s="4">
        <f>Tabel24[[#This Row],[Aantal consumpties heet water deze maand]]+Tabel24[[#This Row],[Aantal consumpties licht bruisend water deze maand]]+Tabel24[[#This Row],[aantal consumpties Bruisend water deze maand]]+Tabel24[[#This Row],[Aantal consumpties gekoeld water deze maand]]+Tabel24[[#This Row],[Aantal consumpties Kamertemp deze maand]]</f>
        <v>1162</v>
      </c>
      <c r="AY24" s="4">
        <f>Tabel24[[#This Row],[Subtotaal waterbar in consumpties]]+Tabel24[[#This Row],[Subtotaal koffieautomaten]]</f>
        <v>2485</v>
      </c>
    </row>
    <row r="25" spans="1:51" x14ac:dyDescent="0.25">
      <c r="A25" s="3" t="s">
        <v>74</v>
      </c>
      <c r="E25" s="25"/>
      <c r="H25" s="25"/>
      <c r="J25" s="12"/>
      <c r="K25" s="25"/>
      <c r="N25" s="25"/>
      <c r="Q25" s="25"/>
      <c r="T25" s="25"/>
      <c r="W25" s="25"/>
      <c r="Z25" s="25"/>
      <c r="AC25" s="3">
        <f>Tabel24[[#This Row],[Verbruik Stand Latte Macchiato Plantaardig deze maand]]+Tabel24[[#This Row],[Verbruik  Cappucino Plantaardig deze maand]]+Tabel24[[#This Row],[Verbruik Cappucino deze maand]]+Tabel24[[#This Row],[Verbruik Hot Water deze maand]]+Tabel24[[#This Row],[Verbruik Coffee Latte deze maand]]+Tabel24[[#This Row],[Verbruik Latte Macchiato deze maand]]+Tabel24[[#This Row],[Verbruik Espresso deze maand]]+Tabel24[[#This Row],[Verbruik Coffee deze maand]]</f>
        <v>0</v>
      </c>
      <c r="AD25" s="25"/>
      <c r="AH25" s="25"/>
      <c r="AL25" s="25"/>
      <c r="AO25">
        <f>Tabel24[[#This Row],[Verbruik Bruisend liter deze maand]]/0.15</f>
        <v>0</v>
      </c>
      <c r="AP25" s="25"/>
      <c r="AT25" s="25"/>
      <c r="AX25" s="3"/>
      <c r="AY25" s="4">
        <f>Tabel24[[#This Row],[Subtotaal waterbar in consumpties]]+Tabel24[[#This Row],[Subtotaal koffieautomaten]]</f>
        <v>0</v>
      </c>
    </row>
    <row r="26" spans="1:51" x14ac:dyDescent="0.25">
      <c r="A26" t="s">
        <v>32</v>
      </c>
      <c r="B26" t="s">
        <v>75</v>
      </c>
      <c r="C26" t="s">
        <v>47</v>
      </c>
      <c r="E26" s="25">
        <v>557</v>
      </c>
      <c r="F26">
        <f>Tabel2[[#This Row],[Coffee]]</f>
        <v>305</v>
      </c>
      <c r="G26" s="12">
        <f>Tabel24[[#This Row],[Stand Coffee einde maand]]-Tabel24[[#This Row],[Coffee vorige maand]]</f>
        <v>252</v>
      </c>
      <c r="H26" s="25">
        <v>86</v>
      </c>
      <c r="I26">
        <f>Tabel2[[#This Row],[Espresso]]</f>
        <v>61</v>
      </c>
      <c r="J26" s="12">
        <f>Tabel24[[#This Row],[Stand Espresso Einde maand]]-Tabel24[[#This Row],[Espresso vorige maand]]</f>
        <v>25</v>
      </c>
      <c r="K26" s="25">
        <v>170</v>
      </c>
      <c r="L26">
        <f>Tabel2[[#This Row],[Latte Macchiato]]</f>
        <v>102</v>
      </c>
      <c r="M26">
        <f>Tabel24[[#This Row],[Stand Latte Macchiato einde maand]]-Tabel24[[#This Row],[Latte Macchiato vorige maand]]</f>
        <v>68</v>
      </c>
      <c r="N26" s="25">
        <v>85</v>
      </c>
      <c r="O26">
        <f>Tabel2[[#This Row],[Coffee Latte]]</f>
        <v>47</v>
      </c>
      <c r="P26">
        <f>Tabel24[[#This Row],[Stand Coffee Latte einde maand]]-Tabel24[[#This Row],[Coffee Latte vorige maand]]</f>
        <v>38</v>
      </c>
      <c r="Q26" s="25">
        <v>1</v>
      </c>
      <c r="R26">
        <f>Tabel2[[#This Row],[Hot Water]]</f>
        <v>0</v>
      </c>
      <c r="S26">
        <f>Tabel24[[#This Row],[Stand Hot Water einde maand]]-Tabel24[[#This Row],[Hot Water vorige maand]]</f>
        <v>1</v>
      </c>
      <c r="T26" s="25">
        <v>415</v>
      </c>
      <c r="U26">
        <f>Tabel2[[#This Row],[Cappucino]]</f>
        <v>229</v>
      </c>
      <c r="V26">
        <f>Tabel24[[#This Row],[Stand Cappucino einde maand]]-Tabel24[[#This Row],[Stand Cappucino vorige maand]]</f>
        <v>186</v>
      </c>
      <c r="W26" s="25">
        <v>51</v>
      </c>
      <c r="X26">
        <f>Tabel2[[#This Row],[Cappucino Plantaardig]]</f>
        <v>21</v>
      </c>
      <c r="Y26">
        <f>Tabel24[[#This Row],[Stand Cappucino Plantaardig einde maand]]-Tabel24[[#This Row],[Stand Cappucino Plantaardig vorige maand]]</f>
        <v>30</v>
      </c>
      <c r="Z26" s="25">
        <v>85</v>
      </c>
      <c r="AA26">
        <f>Tabel2[[#This Row],[Latte Macchiato Plantaardig]]</f>
        <v>54</v>
      </c>
      <c r="AB26" s="12">
        <f>Tabel24[[#This Row],[Stand Latte Macchiato Plantaardig einde maand]]-Tabel24[[#This Row],[Stand Latte Macchiato Plantaardig vorige maand]]</f>
        <v>31</v>
      </c>
      <c r="AC26" s="3">
        <f>Tabel24[[#This Row],[Verbruik Stand Latte Macchiato Plantaardig deze maand]]+Tabel24[[#This Row],[Verbruik  Cappucino Plantaardig deze maand]]+Tabel24[[#This Row],[Verbruik Cappucino deze maand]]+Tabel24[[#This Row],[Verbruik Hot Water deze maand]]+Tabel24[[#This Row],[Verbruik Coffee Latte deze maand]]+Tabel24[[#This Row],[Verbruik Latte Macchiato deze maand]]+Tabel24[[#This Row],[Verbruik Espresso deze maand]]+Tabel24[[#This Row],[Verbruik Coffee deze maand]]</f>
        <v>631</v>
      </c>
      <c r="AD26" s="25">
        <v>21.6</v>
      </c>
      <c r="AE26">
        <f>Tabel2[[#This Row],[kamertemp liter]]</f>
        <v>15.2</v>
      </c>
      <c r="AF26">
        <f>Tabel24[[#This Row],[Stand Kamertemp liter einde maand]]-Tabel24[[#This Row],[Stand Kamertemp liter vorige maand]]</f>
        <v>6.4000000000000021</v>
      </c>
      <c r="AG26" s="2">
        <f>Tabel24[[#This Row],[Verbruik Kamertemp liter deze maand]]/0.15</f>
        <v>42.666666666666686</v>
      </c>
      <c r="AH26" s="25">
        <v>76.3</v>
      </c>
      <c r="AI26">
        <f>Tabel2[[#This Row],[gekoeld liter]]</f>
        <v>55</v>
      </c>
      <c r="AJ26">
        <f>Tabel24[[#This Row],[Stand Gekoeld liter einde maand]]-Tabel24[[#This Row],[Stand Gekoeld liter vorige maand]]</f>
        <v>21.299999999999997</v>
      </c>
      <c r="AK26" s="2">
        <f>Tabel24[[#This Row],[Verbruik Gekoeld liter deze maand]]/0.15</f>
        <v>142</v>
      </c>
      <c r="AL26" s="25">
        <v>79.400000000000006</v>
      </c>
      <c r="AM26">
        <f>Tabel2[[#This Row],[bruisend liter]]</f>
        <v>49.8</v>
      </c>
      <c r="AN26">
        <f>Tabel24[[#This Row],[Stand Bruisend liter einde maand]]-Tabel24[[#This Row],[Stand Bruisend liter vorige maand]]</f>
        <v>29.600000000000009</v>
      </c>
      <c r="AO26" s="2">
        <f>Tabel24[[#This Row],[Verbruik Bruisend liter deze maand]]/0.15</f>
        <v>197.3333333333334</v>
      </c>
      <c r="AP26" s="25">
        <v>50.8</v>
      </c>
      <c r="AQ26">
        <f>Tabel2[[#This Row],[licht bruisend liter]]</f>
        <v>32.799999999999997</v>
      </c>
      <c r="AR26">
        <f>Tabel24[[#This Row],[Stand licht bruisend liter einde maand]]-Tabel24[[#This Row],[Stand licht bruisend liter vorige maand]]</f>
        <v>18</v>
      </c>
      <c r="AS26" s="2">
        <f>Tabel24[[#This Row],[Verbruik licht bruisend liter deze maand]]/0.15</f>
        <v>120</v>
      </c>
      <c r="AT26" s="25">
        <v>363.1</v>
      </c>
      <c r="AU26">
        <f>Tabel2[[#This Row],[heet water liter]]</f>
        <v>394.3</v>
      </c>
      <c r="AV26">
        <f>Tabel24[[#This Row],[Stand heet water liter einde maand]]-Tabel24[[#This Row],[Stand heet water liter vorige maand]]</f>
        <v>-31.199999999999989</v>
      </c>
      <c r="AW26" s="20">
        <f>Tabel24[[#This Row],[Verbruik heet Water liter deze maand ]]/0.15</f>
        <v>-207.99999999999994</v>
      </c>
      <c r="AX26" s="4">
        <f>Tabel24[[#This Row],[Aantal consumpties heet water deze maand]]+Tabel24[[#This Row],[Aantal consumpties licht bruisend water deze maand]]+Tabel24[[#This Row],[aantal consumpties Bruisend water deze maand]]+Tabel24[[#This Row],[Aantal consumpties gekoeld water deze maand]]+Tabel24[[#This Row],[Aantal consumpties Kamertemp deze maand]]</f>
        <v>294.00000000000011</v>
      </c>
      <c r="AY26" s="4">
        <f>Tabel24[[#This Row],[Subtotaal waterbar in consumpties]]+Tabel24[[#This Row],[Subtotaal koffieautomaten]]</f>
        <v>925.00000000000011</v>
      </c>
    </row>
    <row r="27" spans="1:51" x14ac:dyDescent="0.25">
      <c r="A27" t="s">
        <v>39</v>
      </c>
      <c r="B27" t="s">
        <v>76</v>
      </c>
      <c r="C27" t="s">
        <v>31</v>
      </c>
      <c r="E27" s="25">
        <v>3078</v>
      </c>
      <c r="F27">
        <f>Tabel2[[#This Row],[Coffee]]</f>
        <v>1747</v>
      </c>
      <c r="G27" s="12">
        <f>Tabel24[[#This Row],[Stand Coffee einde maand]]-Tabel24[[#This Row],[Coffee vorige maand]]</f>
        <v>1331</v>
      </c>
      <c r="H27" s="25">
        <v>756</v>
      </c>
      <c r="I27">
        <f>Tabel2[[#This Row],[Espresso]]</f>
        <v>469</v>
      </c>
      <c r="J27" s="12">
        <f>Tabel24[[#This Row],[Stand Espresso Einde maand]]-Tabel24[[#This Row],[Espresso vorige maand]]</f>
        <v>287</v>
      </c>
      <c r="K27" s="25">
        <v>369</v>
      </c>
      <c r="L27">
        <f>Tabel2[[#This Row],[Latte Macchiato]]</f>
        <v>203</v>
      </c>
      <c r="M27">
        <f>Tabel24[[#This Row],[Stand Latte Macchiato einde maand]]-Tabel24[[#This Row],[Latte Macchiato vorige maand]]</f>
        <v>166</v>
      </c>
      <c r="N27" s="25">
        <v>167</v>
      </c>
      <c r="O27">
        <f>Tabel2[[#This Row],[Coffee Latte]]</f>
        <v>99</v>
      </c>
      <c r="P27">
        <f>Tabel24[[#This Row],[Stand Coffee Latte einde maand]]-Tabel24[[#This Row],[Coffee Latte vorige maand]]</f>
        <v>68</v>
      </c>
      <c r="Q27" s="25">
        <v>2583</v>
      </c>
      <c r="R27">
        <f>Tabel2[[#This Row],[Hot Water]]</f>
        <v>1454</v>
      </c>
      <c r="S27">
        <f>Tabel24[[#This Row],[Stand Hot Water einde maand]]-Tabel24[[#This Row],[Hot Water vorige maand]]</f>
        <v>1129</v>
      </c>
      <c r="T27" s="25">
        <v>2015</v>
      </c>
      <c r="U27">
        <f>Tabel2[[#This Row],[Cappucino]]</f>
        <v>1097</v>
      </c>
      <c r="V27">
        <f>Tabel24[[#This Row],[Stand Cappucino einde maand]]-Tabel24[[#This Row],[Stand Cappucino vorige maand]]</f>
        <v>918</v>
      </c>
      <c r="W27" s="25">
        <v>364</v>
      </c>
      <c r="X27">
        <f>Tabel2[[#This Row],[Cappucino Plantaardig]]</f>
        <v>228</v>
      </c>
      <c r="Y27">
        <f>Tabel24[[#This Row],[Stand Cappucino Plantaardig einde maand]]-Tabel24[[#This Row],[Stand Cappucino Plantaardig vorige maand]]</f>
        <v>136</v>
      </c>
      <c r="Z27" s="25">
        <v>104</v>
      </c>
      <c r="AA27">
        <f>Tabel2[[#This Row],[Latte Macchiato Plantaardig]]</f>
        <v>50</v>
      </c>
      <c r="AB27" s="12">
        <f>Tabel24[[#This Row],[Stand Latte Macchiato Plantaardig einde maand]]-Tabel24[[#This Row],[Stand Latte Macchiato Plantaardig vorige maand]]</f>
        <v>54</v>
      </c>
      <c r="AC27" s="3">
        <f>Tabel24[[#This Row],[Verbruik Stand Latte Macchiato Plantaardig deze maand]]+Tabel24[[#This Row],[Verbruik  Cappucino Plantaardig deze maand]]+Tabel24[[#This Row],[Verbruik Cappucino deze maand]]+Tabel24[[#This Row],[Verbruik Hot Water deze maand]]+Tabel24[[#This Row],[Verbruik Coffee Latte deze maand]]+Tabel24[[#This Row],[Verbruik Latte Macchiato deze maand]]+Tabel24[[#This Row],[Verbruik Espresso deze maand]]+Tabel24[[#This Row],[Verbruik Coffee deze maand]]</f>
        <v>4089</v>
      </c>
      <c r="AD27" s="26"/>
      <c r="AE27" s="5"/>
      <c r="AF27" s="5"/>
      <c r="AG27" s="7"/>
      <c r="AH27" s="26"/>
      <c r="AI27" s="5"/>
      <c r="AJ27" s="5"/>
      <c r="AK27" s="7"/>
      <c r="AL27" s="26"/>
      <c r="AM27" s="5"/>
      <c r="AN27" s="5"/>
      <c r="AO27" s="7"/>
      <c r="AP27" s="26"/>
      <c r="AQ27" s="5"/>
      <c r="AR27" s="5"/>
      <c r="AS27" s="7"/>
      <c r="AT27" s="26"/>
      <c r="AU27" s="5"/>
      <c r="AV27" s="5"/>
      <c r="AW27" s="21"/>
      <c r="AX27" s="8"/>
      <c r="AY27" s="4">
        <f>Tabel24[[#This Row],[Subtotaal waterbar in consumpties]]+Tabel24[[#This Row],[Subtotaal koffieautomaten]]</f>
        <v>4089</v>
      </c>
    </row>
    <row r="28" spans="1:51" x14ac:dyDescent="0.25">
      <c r="A28" t="s">
        <v>39</v>
      </c>
      <c r="B28" t="s">
        <v>77</v>
      </c>
      <c r="C28" t="s">
        <v>36</v>
      </c>
      <c r="E28" s="26"/>
      <c r="F28" s="5"/>
      <c r="G28" s="16"/>
      <c r="H28" s="26"/>
      <c r="I28" s="5"/>
      <c r="J28" s="16"/>
      <c r="K28" s="26"/>
      <c r="L28" s="5"/>
      <c r="M28" s="5"/>
      <c r="N28" s="26"/>
      <c r="O28" s="5"/>
      <c r="P28" s="5"/>
      <c r="Q28" s="26"/>
      <c r="R28" s="5"/>
      <c r="S28" s="5"/>
      <c r="T28" s="26"/>
      <c r="U28" s="5"/>
      <c r="V28" s="5"/>
      <c r="W28" s="26"/>
      <c r="X28" s="5"/>
      <c r="Y28" s="5"/>
      <c r="Z28" s="26"/>
      <c r="AA28" s="5"/>
      <c r="AB28" s="16"/>
      <c r="AC28" s="3">
        <f>Tabel24[[#This Row],[Verbruik Stand Latte Macchiato Plantaardig deze maand]]+Tabel24[[#This Row],[Verbruik  Cappucino Plantaardig deze maand]]+Tabel24[[#This Row],[Verbruik Cappucino deze maand]]+Tabel24[[#This Row],[Verbruik Hot Water deze maand]]+Tabel24[[#This Row],[Verbruik Coffee Latte deze maand]]+Tabel24[[#This Row],[Verbruik Latte Macchiato deze maand]]+Tabel24[[#This Row],[Verbruik Espresso deze maand]]+Tabel24[[#This Row],[Verbruik Coffee deze maand]]</f>
        <v>0</v>
      </c>
      <c r="AD28" s="25">
        <v>10.7</v>
      </c>
      <c r="AE28">
        <f>Tabel2[[#This Row],[kamertemp liter]]</f>
        <v>0</v>
      </c>
      <c r="AF28">
        <f>Tabel24[[#This Row],[Stand Kamertemp liter einde maand]]-Tabel24[[#This Row],[Stand Kamertemp liter vorige maand]]</f>
        <v>10.7</v>
      </c>
      <c r="AG28" s="2">
        <f>Tabel24[[#This Row],[Verbruik Kamertemp liter deze maand]]/0.15</f>
        <v>71.333333333333329</v>
      </c>
      <c r="AH28" s="25">
        <v>59.8</v>
      </c>
      <c r="AI28">
        <f>Tabel2[[#This Row],[gekoeld liter]]</f>
        <v>0</v>
      </c>
      <c r="AJ28">
        <f>Tabel24[[#This Row],[Stand Gekoeld liter einde maand]]-Tabel24[[#This Row],[Stand Gekoeld liter vorige maand]]</f>
        <v>59.8</v>
      </c>
      <c r="AK28" s="2">
        <f>Tabel24[[#This Row],[Verbruik Gekoeld liter deze maand]]/0.15</f>
        <v>398.66666666666669</v>
      </c>
      <c r="AL28" s="25">
        <v>30.5</v>
      </c>
      <c r="AM28">
        <f>Tabel2[[#This Row],[bruisend liter]]</f>
        <v>0</v>
      </c>
      <c r="AN28">
        <f>Tabel24[[#This Row],[Stand Bruisend liter einde maand]]-Tabel24[[#This Row],[Stand Bruisend liter vorige maand]]</f>
        <v>30.5</v>
      </c>
      <c r="AO28" s="2">
        <f>Tabel24[[#This Row],[Verbruik Bruisend liter deze maand]]/0.15</f>
        <v>203.33333333333334</v>
      </c>
      <c r="AP28" s="25">
        <v>19.899999999999999</v>
      </c>
      <c r="AQ28">
        <f>Tabel2[[#This Row],[licht bruisend liter]]</f>
        <v>0</v>
      </c>
      <c r="AR28">
        <f>Tabel24[[#This Row],[Stand licht bruisend liter einde maand]]-Tabel24[[#This Row],[Stand licht bruisend liter vorige maand]]</f>
        <v>19.899999999999999</v>
      </c>
      <c r="AS28" s="2">
        <f>Tabel24[[#This Row],[Verbruik licht bruisend liter deze maand]]/0.15</f>
        <v>132.66666666666666</v>
      </c>
      <c r="AT28" s="25">
        <v>58.3</v>
      </c>
      <c r="AU28">
        <f>Tabel2[[#This Row],[heet water liter]]</f>
        <v>0</v>
      </c>
      <c r="AV28">
        <f>Tabel24[[#This Row],[Stand heet water liter einde maand]]-Tabel24[[#This Row],[Stand heet water liter vorige maand]]</f>
        <v>58.3</v>
      </c>
      <c r="AW28" s="20">
        <f>Tabel24[[#This Row],[Verbruik heet Water liter deze maand ]]/0.15</f>
        <v>388.66666666666669</v>
      </c>
      <c r="AX28" s="4">
        <f>Tabel24[[#This Row],[Aantal consumpties heet water deze maand]]+Tabel24[[#This Row],[Aantal consumpties licht bruisend water deze maand]]+Tabel24[[#This Row],[aantal consumpties Bruisend water deze maand]]+Tabel24[[#This Row],[Aantal consumpties gekoeld water deze maand]]+Tabel24[[#This Row],[Aantal consumpties Kamertemp deze maand]]</f>
        <v>1194.6666666666667</v>
      </c>
      <c r="AY28" s="4">
        <f>Tabel24[[#This Row],[Subtotaal waterbar in consumpties]]+Tabel24[[#This Row],[Subtotaal koffieautomaten]]</f>
        <v>1194.6666666666667</v>
      </c>
    </row>
    <row r="29" spans="1:51" x14ac:dyDescent="0.25">
      <c r="A29" t="s">
        <v>41</v>
      </c>
      <c r="B29" t="s">
        <v>78</v>
      </c>
      <c r="C29" t="s">
        <v>47</v>
      </c>
      <c r="E29" s="25">
        <v>538</v>
      </c>
      <c r="F29">
        <f>Tabel2[[#This Row],[Coffee]]</f>
        <v>298</v>
      </c>
      <c r="G29" s="12">
        <f>Tabel24[[#This Row],[Stand Coffee einde maand]]-Tabel24[[#This Row],[Coffee vorige maand]]</f>
        <v>240</v>
      </c>
      <c r="H29" s="25">
        <v>260</v>
      </c>
      <c r="I29">
        <f>Tabel2[[#This Row],[Espresso]]</f>
        <v>163</v>
      </c>
      <c r="J29" s="12">
        <f>Tabel24[[#This Row],[Stand Espresso Einde maand]]-Tabel24[[#This Row],[Espresso vorige maand]]</f>
        <v>97</v>
      </c>
      <c r="K29" s="25">
        <v>17</v>
      </c>
      <c r="L29">
        <f>Tabel2[[#This Row],[Latte Macchiato]]</f>
        <v>14</v>
      </c>
      <c r="M29">
        <f>Tabel24[[#This Row],[Stand Latte Macchiato einde maand]]-Tabel24[[#This Row],[Latte Macchiato vorige maand]]</f>
        <v>3</v>
      </c>
      <c r="N29" s="25">
        <v>70</v>
      </c>
      <c r="O29">
        <f>Tabel2[[#This Row],[Coffee Latte]]</f>
        <v>36</v>
      </c>
      <c r="P29">
        <f>Tabel24[[#This Row],[Stand Coffee Latte einde maand]]-Tabel24[[#This Row],[Coffee Latte vorige maand]]</f>
        <v>34</v>
      </c>
      <c r="Q29" s="25">
        <v>1</v>
      </c>
      <c r="R29">
        <f>Tabel2[[#This Row],[Hot Water]]</f>
        <v>0</v>
      </c>
      <c r="S29">
        <f>Tabel24[[#This Row],[Stand Hot Water einde maand]]-Tabel24[[#This Row],[Hot Water vorige maand]]</f>
        <v>1</v>
      </c>
      <c r="T29" s="25">
        <v>375</v>
      </c>
      <c r="U29">
        <f>Tabel2[[#This Row],[Cappucino]]</f>
        <v>242</v>
      </c>
      <c r="V29">
        <f>Tabel24[[#This Row],[Stand Cappucino einde maand]]-Tabel24[[#This Row],[Stand Cappucino vorige maand]]</f>
        <v>133</v>
      </c>
      <c r="W29" s="25">
        <v>198</v>
      </c>
      <c r="X29">
        <f>Tabel2[[#This Row],[Cappucino Plantaardig]]</f>
        <v>93</v>
      </c>
      <c r="Y29">
        <f>Tabel24[[#This Row],[Stand Cappucino Plantaardig einde maand]]-Tabel24[[#This Row],[Stand Cappucino Plantaardig vorige maand]]</f>
        <v>105</v>
      </c>
      <c r="Z29" s="25">
        <v>101</v>
      </c>
      <c r="AA29">
        <f>Tabel2[[#This Row],[Latte Macchiato Plantaardig]]</f>
        <v>63</v>
      </c>
      <c r="AB29" s="12">
        <f>Tabel24[[#This Row],[Stand Latte Macchiato Plantaardig einde maand]]-Tabel24[[#This Row],[Stand Latte Macchiato Plantaardig vorige maand]]</f>
        <v>38</v>
      </c>
      <c r="AC29" s="3">
        <f>Tabel24[[#This Row],[Verbruik Stand Latte Macchiato Plantaardig deze maand]]+Tabel24[[#This Row],[Verbruik  Cappucino Plantaardig deze maand]]+Tabel24[[#This Row],[Verbruik Cappucino deze maand]]+Tabel24[[#This Row],[Verbruik Hot Water deze maand]]+Tabel24[[#This Row],[Verbruik Coffee Latte deze maand]]+Tabel24[[#This Row],[Verbruik Latte Macchiato deze maand]]+Tabel24[[#This Row],[Verbruik Espresso deze maand]]+Tabel24[[#This Row],[Verbruik Coffee deze maand]]</f>
        <v>651</v>
      </c>
      <c r="AD29" s="25">
        <v>17.899999999999999</v>
      </c>
      <c r="AE29">
        <f>Tabel2[[#This Row],[kamertemp liter]]</f>
        <v>13.1</v>
      </c>
      <c r="AF29">
        <f>Tabel24[[#This Row],[Stand Kamertemp liter einde maand]]-Tabel24[[#This Row],[Stand Kamertemp liter vorige maand]]</f>
        <v>4.7999999999999989</v>
      </c>
      <c r="AG29" s="2">
        <f>Tabel24[[#This Row],[Verbruik Kamertemp liter deze maand]]/0.15</f>
        <v>31.999999999999993</v>
      </c>
      <c r="AH29" s="25">
        <v>113.2</v>
      </c>
      <c r="AI29">
        <f>Tabel2[[#This Row],[gekoeld liter]]</f>
        <v>70.3</v>
      </c>
      <c r="AJ29">
        <f>Tabel24[[#This Row],[Stand Gekoeld liter einde maand]]-Tabel24[[#This Row],[Stand Gekoeld liter vorige maand]]</f>
        <v>42.900000000000006</v>
      </c>
      <c r="AK29" s="2">
        <f>Tabel24[[#This Row],[Verbruik Gekoeld liter deze maand]]/0.15</f>
        <v>286.00000000000006</v>
      </c>
      <c r="AL29" s="25">
        <v>196.2</v>
      </c>
      <c r="AM29">
        <f>Tabel2[[#This Row],[bruisend liter]]</f>
        <v>119.8</v>
      </c>
      <c r="AN29">
        <f>Tabel24[[#This Row],[Stand Bruisend liter einde maand]]-Tabel24[[#This Row],[Stand Bruisend liter vorige maand]]</f>
        <v>76.399999999999991</v>
      </c>
      <c r="AO29" s="2">
        <f>Tabel24[[#This Row],[Verbruik Bruisend liter deze maand]]/0.15</f>
        <v>509.33333333333331</v>
      </c>
      <c r="AP29" s="25">
        <v>160.30000000000001</v>
      </c>
      <c r="AQ29">
        <f>Tabel2[[#This Row],[licht bruisend liter]]</f>
        <v>92.3</v>
      </c>
      <c r="AR29">
        <f>Tabel24[[#This Row],[Stand licht bruisend liter einde maand]]-Tabel24[[#This Row],[Stand licht bruisend liter vorige maand]]</f>
        <v>68.000000000000014</v>
      </c>
      <c r="AS29" s="2">
        <f>Tabel24[[#This Row],[Verbruik licht bruisend liter deze maand]]/0.15</f>
        <v>453.33333333333343</v>
      </c>
      <c r="AT29" s="25">
        <v>641.20000000000005</v>
      </c>
      <c r="AU29">
        <f>Tabel2[[#This Row],[heet water liter]]</f>
        <v>720.6</v>
      </c>
      <c r="AV29">
        <f>Tabel24[[#This Row],[Stand heet water liter einde maand]]-Tabel24[[#This Row],[Stand heet water liter vorige maand]]</f>
        <v>-79.399999999999977</v>
      </c>
      <c r="AW29" s="20">
        <f>Tabel24[[#This Row],[Verbruik heet Water liter deze maand ]]/0.15</f>
        <v>-529.33333333333326</v>
      </c>
      <c r="AX29" s="4">
        <f>Tabel24[[#This Row],[Aantal consumpties heet water deze maand]]+Tabel24[[#This Row],[Aantal consumpties licht bruisend water deze maand]]+Tabel24[[#This Row],[aantal consumpties Bruisend water deze maand]]+Tabel24[[#This Row],[Aantal consumpties gekoeld water deze maand]]+Tabel24[[#This Row],[Aantal consumpties Kamertemp deze maand]]</f>
        <v>751.33333333333348</v>
      </c>
      <c r="AY29" s="4">
        <f>Tabel24[[#This Row],[Subtotaal waterbar in consumpties]]+Tabel24[[#This Row],[Subtotaal koffieautomaten]]</f>
        <v>1402.3333333333335</v>
      </c>
    </row>
    <row r="30" spans="1:51" x14ac:dyDescent="0.25">
      <c r="A30" t="s">
        <v>43</v>
      </c>
      <c r="B30" t="s">
        <v>79</v>
      </c>
      <c r="C30" t="s">
        <v>31</v>
      </c>
      <c r="E30" s="25">
        <v>959</v>
      </c>
      <c r="F30">
        <f>Tabel2[[#This Row],[Coffee]]</f>
        <v>545</v>
      </c>
      <c r="G30" s="12">
        <f>Tabel24[[#This Row],[Stand Coffee einde maand]]-Tabel24[[#This Row],[Coffee vorige maand]]</f>
        <v>414</v>
      </c>
      <c r="H30" s="25">
        <v>370</v>
      </c>
      <c r="I30">
        <f>Tabel2[[#This Row],[Espresso]]</f>
        <v>210</v>
      </c>
      <c r="J30" s="12">
        <f>Tabel24[[#This Row],[Stand Espresso Einde maand]]-Tabel24[[#This Row],[Espresso vorige maand]]</f>
        <v>160</v>
      </c>
      <c r="K30" s="25">
        <v>36</v>
      </c>
      <c r="L30">
        <f>Tabel2[[#This Row],[Latte Macchiato]]</f>
        <v>24</v>
      </c>
      <c r="M30">
        <f>Tabel24[[#This Row],[Stand Latte Macchiato einde maand]]-Tabel24[[#This Row],[Latte Macchiato vorige maand]]</f>
        <v>12</v>
      </c>
      <c r="N30" s="25">
        <v>15</v>
      </c>
      <c r="O30">
        <f>Tabel2[[#This Row],[Coffee Latte]]</f>
        <v>12</v>
      </c>
      <c r="P30">
        <f>Tabel24[[#This Row],[Stand Coffee Latte einde maand]]-Tabel24[[#This Row],[Coffee Latte vorige maand]]</f>
        <v>3</v>
      </c>
      <c r="Q30" s="25">
        <v>884</v>
      </c>
      <c r="R30">
        <f>Tabel2[[#This Row],[Hot Water]]</f>
        <v>530</v>
      </c>
      <c r="S30">
        <f>Tabel24[[#This Row],[Stand Hot Water einde maand]]-Tabel24[[#This Row],[Hot Water vorige maand]]</f>
        <v>354</v>
      </c>
      <c r="T30" s="25">
        <v>460</v>
      </c>
      <c r="U30">
        <f>Tabel2[[#This Row],[Cappucino]]</f>
        <v>266</v>
      </c>
      <c r="V30">
        <f>Tabel24[[#This Row],[Stand Cappucino einde maand]]-Tabel24[[#This Row],[Stand Cappucino vorige maand]]</f>
        <v>194</v>
      </c>
      <c r="W30" s="25">
        <v>24</v>
      </c>
      <c r="X30">
        <f>Tabel2[[#This Row],[Cappucino Plantaardig]]</f>
        <v>10</v>
      </c>
      <c r="Y30">
        <f>Tabel24[[#This Row],[Stand Cappucino Plantaardig einde maand]]-Tabel24[[#This Row],[Stand Cappucino Plantaardig vorige maand]]</f>
        <v>14</v>
      </c>
      <c r="Z30" s="25">
        <v>6</v>
      </c>
      <c r="AA30">
        <f>Tabel2[[#This Row],[Latte Macchiato Plantaardig]]</f>
        <v>4</v>
      </c>
      <c r="AB30" s="12">
        <f>Tabel24[[#This Row],[Stand Latte Macchiato Plantaardig einde maand]]-Tabel24[[#This Row],[Stand Latte Macchiato Plantaardig vorige maand]]</f>
        <v>2</v>
      </c>
      <c r="AC30" s="3">
        <f>Tabel24[[#This Row],[Verbruik Stand Latte Macchiato Plantaardig deze maand]]+Tabel24[[#This Row],[Verbruik  Cappucino Plantaardig deze maand]]+Tabel24[[#This Row],[Verbruik Cappucino deze maand]]+Tabel24[[#This Row],[Verbruik Hot Water deze maand]]+Tabel24[[#This Row],[Verbruik Coffee Latte deze maand]]+Tabel24[[#This Row],[Verbruik Latte Macchiato deze maand]]+Tabel24[[#This Row],[Verbruik Espresso deze maand]]+Tabel24[[#This Row],[Verbruik Coffee deze maand]]</f>
        <v>1153</v>
      </c>
      <c r="AD30" s="26"/>
      <c r="AE30" s="5"/>
      <c r="AF30" s="5"/>
      <c r="AG30" s="5"/>
      <c r="AH30" s="26"/>
      <c r="AI30" s="5"/>
      <c r="AJ30" s="5"/>
      <c r="AK30" s="7"/>
      <c r="AL30" s="26"/>
      <c r="AM30" s="5"/>
      <c r="AN30" s="5"/>
      <c r="AO30" s="7"/>
      <c r="AP30" s="26"/>
      <c r="AQ30" s="5"/>
      <c r="AR30" s="5"/>
      <c r="AS30" s="7"/>
      <c r="AT30" s="26"/>
      <c r="AU30" s="5"/>
      <c r="AV30" s="5"/>
      <c r="AW30" s="21"/>
      <c r="AX30" s="8"/>
      <c r="AY30" s="4">
        <f>Tabel24[[#This Row],[Subtotaal waterbar in consumpties]]+Tabel24[[#This Row],[Subtotaal koffieautomaten]]</f>
        <v>1153</v>
      </c>
    </row>
    <row r="31" spans="1:51" x14ac:dyDescent="0.25">
      <c r="A31" t="s">
        <v>45</v>
      </c>
      <c r="B31" t="s">
        <v>80</v>
      </c>
      <c r="C31" t="s">
        <v>36</v>
      </c>
      <c r="E31" s="26"/>
      <c r="F31" s="5"/>
      <c r="G31" s="16"/>
      <c r="H31" s="26"/>
      <c r="I31" s="5"/>
      <c r="J31" s="16"/>
      <c r="K31" s="26"/>
      <c r="L31" s="5"/>
      <c r="M31" s="5"/>
      <c r="N31" s="26"/>
      <c r="O31" s="5"/>
      <c r="P31" s="5"/>
      <c r="Q31" s="26"/>
      <c r="R31" s="5"/>
      <c r="S31" s="5"/>
      <c r="T31" s="26"/>
      <c r="U31" s="5"/>
      <c r="V31" s="5"/>
      <c r="W31" s="26"/>
      <c r="X31" s="5"/>
      <c r="Y31" s="5"/>
      <c r="Z31" s="26"/>
      <c r="AA31" s="5"/>
      <c r="AB31" s="16"/>
      <c r="AC31" s="3">
        <f>Tabel24[[#This Row],[Verbruik Stand Latte Macchiato Plantaardig deze maand]]+Tabel24[[#This Row],[Verbruik  Cappucino Plantaardig deze maand]]+Tabel24[[#This Row],[Verbruik Cappucino deze maand]]+Tabel24[[#This Row],[Verbruik Hot Water deze maand]]+Tabel24[[#This Row],[Verbruik Coffee Latte deze maand]]+Tabel24[[#This Row],[Verbruik Latte Macchiato deze maand]]+Tabel24[[#This Row],[Verbruik Espresso deze maand]]+Tabel24[[#This Row],[Verbruik Coffee deze maand]]</f>
        <v>0</v>
      </c>
      <c r="AD31" s="25">
        <v>14.5</v>
      </c>
      <c r="AE31">
        <f>Tabel2[[#This Row],[kamertemp liter]]</f>
        <v>0</v>
      </c>
      <c r="AF31">
        <f>Tabel24[[#This Row],[Stand Kamertemp liter einde maand]]-Tabel24[[#This Row],[Stand Kamertemp liter vorige maand]]</f>
        <v>14.5</v>
      </c>
      <c r="AG31" s="2">
        <f>Tabel24[[#This Row],[Verbruik Kamertemp liter deze maand]]/0.15</f>
        <v>96.666666666666671</v>
      </c>
      <c r="AH31" s="25">
        <v>58.4</v>
      </c>
      <c r="AI31">
        <f>Tabel2[[#This Row],[gekoeld liter]]</f>
        <v>0</v>
      </c>
      <c r="AJ31">
        <f>Tabel24[[#This Row],[Stand Gekoeld liter einde maand]]-Tabel24[[#This Row],[Stand Gekoeld liter vorige maand]]</f>
        <v>58.4</v>
      </c>
      <c r="AK31" s="2">
        <f>Tabel24[[#This Row],[Verbruik Gekoeld liter deze maand]]/0.15</f>
        <v>389.33333333333331</v>
      </c>
      <c r="AL31" s="25">
        <v>88.2</v>
      </c>
      <c r="AM31">
        <f>Tabel2[[#This Row],[bruisend liter]]</f>
        <v>0</v>
      </c>
      <c r="AN31">
        <f>Tabel24[[#This Row],[Stand Bruisend liter einde maand]]-Tabel24[[#This Row],[Stand Bruisend liter vorige maand]]</f>
        <v>88.2</v>
      </c>
      <c r="AO31" s="2">
        <f>Tabel24[[#This Row],[Verbruik Bruisend liter deze maand]]/0.15</f>
        <v>588</v>
      </c>
      <c r="AP31" s="25">
        <v>62.4</v>
      </c>
      <c r="AQ31">
        <f>Tabel2[[#This Row],[licht bruisend liter]]</f>
        <v>0</v>
      </c>
      <c r="AR31">
        <f>Tabel24[[#This Row],[Stand licht bruisend liter einde maand]]-Tabel24[[#This Row],[Stand licht bruisend liter vorige maand]]</f>
        <v>62.4</v>
      </c>
      <c r="AS31" s="2">
        <f>Tabel24[[#This Row],[Verbruik licht bruisend liter deze maand]]/0.15</f>
        <v>416</v>
      </c>
      <c r="AT31" s="25">
        <v>333.3</v>
      </c>
      <c r="AU31">
        <f>Tabel2[[#This Row],[heet water liter]]</f>
        <v>0</v>
      </c>
      <c r="AV31">
        <f>Tabel24[[#This Row],[Stand heet water liter einde maand]]-Tabel24[[#This Row],[Stand heet water liter vorige maand]]</f>
        <v>333.3</v>
      </c>
      <c r="AW31" s="20">
        <f>Tabel24[[#This Row],[Verbruik heet Water liter deze maand ]]/0.15</f>
        <v>2222</v>
      </c>
      <c r="AX31" s="4">
        <f>Tabel24[[#This Row],[Aantal consumpties heet water deze maand]]+Tabel24[[#This Row],[Aantal consumpties licht bruisend water deze maand]]+Tabel24[[#This Row],[aantal consumpties Bruisend water deze maand]]+Tabel24[[#This Row],[Aantal consumpties gekoeld water deze maand]]+Tabel24[[#This Row],[Aantal consumpties Kamertemp deze maand]]</f>
        <v>3712</v>
      </c>
      <c r="AY31" s="4">
        <f>Tabel24[[#This Row],[Subtotaal waterbar in consumpties]]+Tabel24[[#This Row],[Subtotaal koffieautomaten]]</f>
        <v>3712</v>
      </c>
    </row>
    <row r="32" spans="1:51" x14ac:dyDescent="0.25">
      <c r="A32" t="s">
        <v>48</v>
      </c>
      <c r="B32" t="s">
        <v>81</v>
      </c>
      <c r="C32" t="s">
        <v>31</v>
      </c>
      <c r="E32" s="25">
        <v>781</v>
      </c>
      <c r="F32">
        <f>Tabel2[[#This Row],[Coffee]]</f>
        <v>447</v>
      </c>
      <c r="G32" s="12">
        <f>Tabel24[[#This Row],[Stand Coffee einde maand]]-Tabel24[[#This Row],[Coffee vorige maand]]</f>
        <v>334</v>
      </c>
      <c r="H32" s="25">
        <v>110</v>
      </c>
      <c r="I32">
        <f>Tabel2[[#This Row],[Espresso]]</f>
        <v>82</v>
      </c>
      <c r="J32" s="12">
        <f>Tabel24[[#This Row],[Stand Espresso Einde maand]]-Tabel24[[#This Row],[Espresso vorige maand]]</f>
        <v>28</v>
      </c>
      <c r="K32" s="25">
        <v>25</v>
      </c>
      <c r="L32">
        <f>Tabel2[[#This Row],[Latte Macchiato]]</f>
        <v>19</v>
      </c>
      <c r="M32">
        <f>Tabel24[[#This Row],[Stand Latte Macchiato einde maand]]-Tabel24[[#This Row],[Latte Macchiato vorige maand]]</f>
        <v>6</v>
      </c>
      <c r="N32" s="25">
        <v>27</v>
      </c>
      <c r="O32">
        <f>Tabel2[[#This Row],[Coffee Latte]]</f>
        <v>25</v>
      </c>
      <c r="P32">
        <f>Tabel24[[#This Row],[Stand Coffee Latte einde maand]]-Tabel24[[#This Row],[Coffee Latte vorige maand]]</f>
        <v>2</v>
      </c>
      <c r="Q32" s="25">
        <v>1384</v>
      </c>
      <c r="R32">
        <f>Tabel2[[#This Row],[Hot Water]]</f>
        <v>722</v>
      </c>
      <c r="S32">
        <f>Tabel24[[#This Row],[Stand Hot Water einde maand]]-Tabel24[[#This Row],[Hot Water vorige maand]]</f>
        <v>662</v>
      </c>
      <c r="T32" s="25">
        <v>285</v>
      </c>
      <c r="U32">
        <f>Tabel2[[#This Row],[Cappucino]]</f>
        <v>132</v>
      </c>
      <c r="V32">
        <f>Tabel24[[#This Row],[Stand Cappucino einde maand]]-Tabel24[[#This Row],[Stand Cappucino vorige maand]]</f>
        <v>153</v>
      </c>
      <c r="W32" s="25">
        <v>33</v>
      </c>
      <c r="X32">
        <f>Tabel2[[#This Row],[Cappucino Plantaardig]]</f>
        <v>20</v>
      </c>
      <c r="Y32">
        <f>Tabel24[[#This Row],[Stand Cappucino Plantaardig einde maand]]-Tabel24[[#This Row],[Stand Cappucino Plantaardig vorige maand]]</f>
        <v>13</v>
      </c>
      <c r="Z32" s="25">
        <v>7</v>
      </c>
      <c r="AA32">
        <f>Tabel2[[#This Row],[Latte Macchiato Plantaardig]]</f>
        <v>6</v>
      </c>
      <c r="AB32" s="12">
        <f>Tabel24[[#This Row],[Stand Latte Macchiato Plantaardig einde maand]]-Tabel24[[#This Row],[Stand Latte Macchiato Plantaardig vorige maand]]</f>
        <v>1</v>
      </c>
      <c r="AC32" s="3">
        <f>Tabel24[[#This Row],[Verbruik Stand Latte Macchiato Plantaardig deze maand]]+Tabel24[[#This Row],[Verbruik  Cappucino Plantaardig deze maand]]+Tabel24[[#This Row],[Verbruik Cappucino deze maand]]+Tabel24[[#This Row],[Verbruik Hot Water deze maand]]+Tabel24[[#This Row],[Verbruik Coffee Latte deze maand]]+Tabel24[[#This Row],[Verbruik Latte Macchiato deze maand]]+Tabel24[[#This Row],[Verbruik Espresso deze maand]]+Tabel24[[#This Row],[Verbruik Coffee deze maand]]</f>
        <v>1199</v>
      </c>
      <c r="AD32" s="26"/>
      <c r="AE32" s="5"/>
      <c r="AF32" s="5"/>
      <c r="AG32" s="5"/>
      <c r="AH32" s="26"/>
      <c r="AI32" s="5"/>
      <c r="AJ32" s="5"/>
      <c r="AK32" s="7"/>
      <c r="AL32" s="26"/>
      <c r="AM32" s="5"/>
      <c r="AN32" s="5"/>
      <c r="AO32" s="7"/>
      <c r="AP32" s="26"/>
      <c r="AQ32" s="5"/>
      <c r="AR32" s="5"/>
      <c r="AS32" s="7"/>
      <c r="AT32" s="26"/>
      <c r="AU32" s="5"/>
      <c r="AV32" s="5"/>
      <c r="AW32" s="21"/>
      <c r="AX32" s="8"/>
      <c r="AY32" s="4">
        <f>Tabel24[[#This Row],[Subtotaal waterbar in consumpties]]+Tabel24[[#This Row],[Subtotaal koffieautomaten]]</f>
        <v>1199</v>
      </c>
    </row>
    <row r="33" spans="1:51" x14ac:dyDescent="0.25">
      <c r="A33" t="s">
        <v>50</v>
      </c>
      <c r="B33" t="s">
        <v>82</v>
      </c>
      <c r="C33" t="s">
        <v>47</v>
      </c>
      <c r="E33" s="25">
        <v>507</v>
      </c>
      <c r="F33">
        <f>Tabel2[[#This Row],[Coffee]]</f>
        <v>267</v>
      </c>
      <c r="G33" s="12">
        <f>Tabel24[[#This Row],[Stand Coffee einde maand]]-Tabel24[[#This Row],[Coffee vorige maand]]</f>
        <v>240</v>
      </c>
      <c r="H33" s="25">
        <v>31</v>
      </c>
      <c r="I33">
        <f>Tabel2[[#This Row],[Espresso]]</f>
        <v>12</v>
      </c>
      <c r="J33" s="12">
        <f>Tabel24[[#This Row],[Stand Espresso Einde maand]]-Tabel24[[#This Row],[Espresso vorige maand]]</f>
        <v>19</v>
      </c>
      <c r="K33" s="25">
        <v>105</v>
      </c>
      <c r="L33">
        <f>Tabel2[[#This Row],[Latte Macchiato]]</f>
        <v>52</v>
      </c>
      <c r="M33">
        <f>Tabel24[[#This Row],[Stand Latte Macchiato einde maand]]-Tabel24[[#This Row],[Latte Macchiato vorige maand]]</f>
        <v>53</v>
      </c>
      <c r="N33" s="25">
        <v>57</v>
      </c>
      <c r="O33">
        <f>Tabel2[[#This Row],[Coffee Latte]]</f>
        <v>33</v>
      </c>
      <c r="P33">
        <f>Tabel24[[#This Row],[Stand Coffee Latte einde maand]]-Tabel24[[#This Row],[Coffee Latte vorige maand]]</f>
        <v>24</v>
      </c>
      <c r="Q33" s="25">
        <v>1</v>
      </c>
      <c r="R33">
        <f>Tabel2[[#This Row],[Hot Water]]</f>
        <v>0</v>
      </c>
      <c r="S33">
        <f>Tabel24[[#This Row],[Stand Hot Water einde maand]]-Tabel24[[#This Row],[Hot Water vorige maand]]</f>
        <v>1</v>
      </c>
      <c r="T33" s="25">
        <v>346</v>
      </c>
      <c r="U33">
        <f>Tabel2[[#This Row],[Cappucino]]</f>
        <v>207</v>
      </c>
      <c r="V33">
        <f>Tabel24[[#This Row],[Stand Cappucino einde maand]]-Tabel24[[#This Row],[Stand Cappucino vorige maand]]</f>
        <v>139</v>
      </c>
      <c r="W33" s="25">
        <v>55</v>
      </c>
      <c r="X33">
        <f>Tabel2[[#This Row],[Cappucino Plantaardig]]</f>
        <v>33</v>
      </c>
      <c r="Y33">
        <f>Tabel24[[#This Row],[Stand Cappucino Plantaardig einde maand]]-Tabel24[[#This Row],[Stand Cappucino Plantaardig vorige maand]]</f>
        <v>22</v>
      </c>
      <c r="Z33" s="25">
        <v>9</v>
      </c>
      <c r="AA33">
        <f>Tabel2[[#This Row],[Latte Macchiato Plantaardig]]</f>
        <v>8</v>
      </c>
      <c r="AB33" s="12">
        <f>Tabel24[[#This Row],[Stand Latte Macchiato Plantaardig einde maand]]-Tabel24[[#This Row],[Stand Latte Macchiato Plantaardig vorige maand]]</f>
        <v>1</v>
      </c>
      <c r="AC33" s="3">
        <f>Tabel24[[#This Row],[Verbruik Stand Latte Macchiato Plantaardig deze maand]]+Tabel24[[#This Row],[Verbruik  Cappucino Plantaardig deze maand]]+Tabel24[[#This Row],[Verbruik Cappucino deze maand]]+Tabel24[[#This Row],[Verbruik Hot Water deze maand]]+Tabel24[[#This Row],[Verbruik Coffee Latte deze maand]]+Tabel24[[#This Row],[Verbruik Latte Macchiato deze maand]]+Tabel24[[#This Row],[Verbruik Espresso deze maand]]+Tabel24[[#This Row],[Verbruik Coffee deze maand]]</f>
        <v>499</v>
      </c>
      <c r="AD33" s="25">
        <v>15.8</v>
      </c>
      <c r="AE33">
        <f>Tabel2[[#This Row],[kamertemp liter]]</f>
        <v>13.2</v>
      </c>
      <c r="AF33">
        <f>Tabel24[[#This Row],[Stand Kamertemp liter einde maand]]-Tabel24[[#This Row],[Stand Kamertemp liter vorige maand]]</f>
        <v>2.6000000000000014</v>
      </c>
      <c r="AG33" s="2">
        <f>Tabel24[[#This Row],[Verbruik Kamertemp liter deze maand]]/0.15</f>
        <v>17.333333333333343</v>
      </c>
      <c r="AH33" s="25">
        <v>63.2</v>
      </c>
      <c r="AI33">
        <f>Tabel2[[#This Row],[gekoeld liter]]</f>
        <v>43.1</v>
      </c>
      <c r="AJ33">
        <f>Tabel24[[#This Row],[Stand Gekoeld liter einde maand]]-Tabel24[[#This Row],[Stand Gekoeld liter vorige maand]]</f>
        <v>20.100000000000001</v>
      </c>
      <c r="AK33" s="2">
        <f>Tabel24[[#This Row],[Verbruik Gekoeld liter deze maand]]/0.15</f>
        <v>134.00000000000003</v>
      </c>
      <c r="AL33" s="25">
        <v>77.400000000000006</v>
      </c>
      <c r="AM33">
        <f>Tabel2[[#This Row],[bruisend liter]]</f>
        <v>55.1</v>
      </c>
      <c r="AN33">
        <f>Tabel24[[#This Row],[Stand Bruisend liter einde maand]]-Tabel24[[#This Row],[Stand Bruisend liter vorige maand]]</f>
        <v>22.300000000000004</v>
      </c>
      <c r="AO33" s="2">
        <f>Tabel24[[#This Row],[Verbruik Bruisend liter deze maand]]/0.15</f>
        <v>148.66666666666671</v>
      </c>
      <c r="AP33" s="25">
        <v>20</v>
      </c>
      <c r="AQ33">
        <f>Tabel2[[#This Row],[licht bruisend liter]]</f>
        <v>13.7</v>
      </c>
      <c r="AR33">
        <f>Tabel24[[#This Row],[Stand licht bruisend liter einde maand]]-Tabel24[[#This Row],[Stand licht bruisend liter vorige maand]]</f>
        <v>6.3000000000000007</v>
      </c>
      <c r="AS33" s="2">
        <f>Tabel24[[#This Row],[Verbruik licht bruisend liter deze maand]]/0.15</f>
        <v>42.000000000000007</v>
      </c>
      <c r="AT33" s="25">
        <v>282.60000000000002</v>
      </c>
      <c r="AU33">
        <f>Tabel2[[#This Row],[heet water liter]]</f>
        <v>193.5</v>
      </c>
      <c r="AV33">
        <f>Tabel24[[#This Row],[Stand heet water liter einde maand]]-Tabel24[[#This Row],[Stand heet water liter vorige maand]]</f>
        <v>89.100000000000023</v>
      </c>
      <c r="AW33" s="20">
        <f>Tabel24[[#This Row],[Verbruik heet Water liter deze maand ]]/0.15</f>
        <v>594.00000000000023</v>
      </c>
      <c r="AX33" s="4">
        <f>Tabel24[[#This Row],[Aantal consumpties heet water deze maand]]+Tabel24[[#This Row],[Aantal consumpties licht bruisend water deze maand]]+Tabel24[[#This Row],[aantal consumpties Bruisend water deze maand]]+Tabel24[[#This Row],[Aantal consumpties gekoeld water deze maand]]+Tabel24[[#This Row],[Aantal consumpties Kamertemp deze maand]]</f>
        <v>936.00000000000034</v>
      </c>
      <c r="AY33" s="4">
        <f>Tabel24[[#This Row],[Subtotaal waterbar in consumpties]]+Tabel24[[#This Row],[Subtotaal koffieautomaten]]</f>
        <v>1435.0000000000005</v>
      </c>
    </row>
    <row r="34" spans="1:51" x14ac:dyDescent="0.25">
      <c r="A34" t="s">
        <v>52</v>
      </c>
      <c r="B34" t="s">
        <v>83</v>
      </c>
      <c r="C34" t="s">
        <v>47</v>
      </c>
      <c r="E34" s="25">
        <v>597</v>
      </c>
      <c r="F34">
        <f>Tabel2[[#This Row],[Coffee]]</f>
        <v>321</v>
      </c>
      <c r="G34" s="12">
        <f>Tabel24[[#This Row],[Stand Coffee einde maand]]-Tabel24[[#This Row],[Coffee vorige maand]]</f>
        <v>276</v>
      </c>
      <c r="H34" s="25">
        <v>194</v>
      </c>
      <c r="I34">
        <f>Tabel2[[#This Row],[Espresso]]</f>
        <v>119</v>
      </c>
      <c r="J34" s="12">
        <f>Tabel24[[#This Row],[Stand Espresso Einde maand]]-Tabel24[[#This Row],[Espresso vorige maand]]</f>
        <v>75</v>
      </c>
      <c r="K34" s="25">
        <v>114</v>
      </c>
      <c r="L34">
        <f>Tabel2[[#This Row],[Latte Macchiato]]</f>
        <v>68</v>
      </c>
      <c r="M34">
        <f>Tabel24[[#This Row],[Stand Latte Macchiato einde maand]]-Tabel24[[#This Row],[Latte Macchiato vorige maand]]</f>
        <v>46</v>
      </c>
      <c r="N34" s="25">
        <v>44</v>
      </c>
      <c r="O34">
        <f>Tabel2[[#This Row],[Coffee Latte]]</f>
        <v>33</v>
      </c>
      <c r="P34">
        <f>Tabel24[[#This Row],[Stand Coffee Latte einde maand]]-Tabel24[[#This Row],[Coffee Latte vorige maand]]</f>
        <v>11</v>
      </c>
      <c r="Q34" s="25">
        <v>1</v>
      </c>
      <c r="R34">
        <f>Tabel2[[#This Row],[Hot Water]]</f>
        <v>0</v>
      </c>
      <c r="S34">
        <f>Tabel24[[#This Row],[Stand Hot Water einde maand]]-Tabel24[[#This Row],[Hot Water vorige maand]]</f>
        <v>1</v>
      </c>
      <c r="T34" s="25">
        <v>288</v>
      </c>
      <c r="U34">
        <f>Tabel2[[#This Row],[Cappucino]]</f>
        <v>147</v>
      </c>
      <c r="V34">
        <f>Tabel24[[#This Row],[Stand Cappucino einde maand]]-Tabel24[[#This Row],[Stand Cappucino vorige maand]]</f>
        <v>141</v>
      </c>
      <c r="W34" s="25">
        <v>99</v>
      </c>
      <c r="X34">
        <f>Tabel2[[#This Row],[Cappucino Plantaardig]]</f>
        <v>62</v>
      </c>
      <c r="Y34">
        <f>Tabel24[[#This Row],[Stand Cappucino Plantaardig einde maand]]-Tabel24[[#This Row],[Stand Cappucino Plantaardig vorige maand]]</f>
        <v>37</v>
      </c>
      <c r="Z34" s="25">
        <v>102</v>
      </c>
      <c r="AA34">
        <f>Tabel2[[#This Row],[Latte Macchiato Plantaardig]]</f>
        <v>58</v>
      </c>
      <c r="AB34" s="12">
        <f>Tabel24[[#This Row],[Stand Latte Macchiato Plantaardig einde maand]]-Tabel24[[#This Row],[Stand Latte Macchiato Plantaardig vorige maand]]</f>
        <v>44</v>
      </c>
      <c r="AC34" s="3">
        <f>Tabel24[[#This Row],[Verbruik Stand Latte Macchiato Plantaardig deze maand]]+Tabel24[[#This Row],[Verbruik  Cappucino Plantaardig deze maand]]+Tabel24[[#This Row],[Verbruik Cappucino deze maand]]+Tabel24[[#This Row],[Verbruik Hot Water deze maand]]+Tabel24[[#This Row],[Verbruik Coffee Latte deze maand]]+Tabel24[[#This Row],[Verbruik Latte Macchiato deze maand]]+Tabel24[[#This Row],[Verbruik Espresso deze maand]]+Tabel24[[#This Row],[Verbruik Coffee deze maand]]</f>
        <v>631</v>
      </c>
      <c r="AD34" s="25">
        <v>18.5</v>
      </c>
      <c r="AE34">
        <f>Tabel2[[#This Row],[kamertemp liter]]</f>
        <v>12.6</v>
      </c>
      <c r="AF34">
        <f>Tabel24[[#This Row],[Stand Kamertemp liter einde maand]]-Tabel24[[#This Row],[Stand Kamertemp liter vorige maand]]</f>
        <v>5.9</v>
      </c>
      <c r="AG34" s="2">
        <f>Tabel24[[#This Row],[Verbruik Kamertemp liter deze maand]]/0.15</f>
        <v>39.333333333333336</v>
      </c>
      <c r="AH34" s="25">
        <v>61</v>
      </c>
      <c r="AI34">
        <f>Tabel2[[#This Row],[gekoeld liter]]</f>
        <v>41.9</v>
      </c>
      <c r="AJ34">
        <f>Tabel24[[#This Row],[Stand Gekoeld liter einde maand]]-Tabel24[[#This Row],[Stand Gekoeld liter vorige maand]]</f>
        <v>19.100000000000001</v>
      </c>
      <c r="AK34" s="2">
        <f>Tabel24[[#This Row],[Verbruik Gekoeld liter deze maand]]/0.15</f>
        <v>127.33333333333334</v>
      </c>
      <c r="AL34" s="25">
        <v>58.7</v>
      </c>
      <c r="AM34">
        <f>Tabel2[[#This Row],[bruisend liter]]</f>
        <v>45.3</v>
      </c>
      <c r="AN34">
        <f>Tabel24[[#This Row],[Stand Bruisend liter einde maand]]-Tabel24[[#This Row],[Stand Bruisend liter vorige maand]]</f>
        <v>13.400000000000006</v>
      </c>
      <c r="AO34" s="2">
        <f>Tabel24[[#This Row],[Verbruik Bruisend liter deze maand]]/0.15</f>
        <v>89.333333333333371</v>
      </c>
      <c r="AP34" s="25">
        <v>25.7</v>
      </c>
      <c r="AQ34">
        <f>Tabel2[[#This Row],[licht bruisend liter]]</f>
        <v>22.3</v>
      </c>
      <c r="AR34">
        <f>Tabel24[[#This Row],[Stand licht bruisend liter einde maand]]-Tabel24[[#This Row],[Stand licht bruisend liter vorige maand]]</f>
        <v>3.3999999999999986</v>
      </c>
      <c r="AS34" s="2">
        <f>Tabel24[[#This Row],[Verbruik licht bruisend liter deze maand]]/0.15</f>
        <v>22.666666666666657</v>
      </c>
      <c r="AT34" s="25">
        <v>511.3</v>
      </c>
      <c r="AU34">
        <f>Tabel2[[#This Row],[heet water liter]]</f>
        <v>350.4</v>
      </c>
      <c r="AV34">
        <f>Tabel24[[#This Row],[Stand heet water liter einde maand]]-Tabel24[[#This Row],[Stand heet water liter vorige maand]]</f>
        <v>160.90000000000003</v>
      </c>
      <c r="AW34" s="20">
        <f>Tabel24[[#This Row],[Verbruik heet Water liter deze maand ]]/0.15</f>
        <v>1072.666666666667</v>
      </c>
      <c r="AX34" s="4">
        <f>Tabel24[[#This Row],[Aantal consumpties heet water deze maand]]+Tabel24[[#This Row],[Aantal consumpties licht bruisend water deze maand]]+Tabel24[[#This Row],[aantal consumpties Bruisend water deze maand]]+Tabel24[[#This Row],[Aantal consumpties gekoeld water deze maand]]+Tabel24[[#This Row],[Aantal consumpties Kamertemp deze maand]]</f>
        <v>1351.3333333333335</v>
      </c>
      <c r="AY34" s="4">
        <f>Tabel24[[#This Row],[Subtotaal waterbar in consumpties]]+Tabel24[[#This Row],[Subtotaal koffieautomaten]]</f>
        <v>1982.3333333333335</v>
      </c>
    </row>
    <row r="35" spans="1:51" x14ac:dyDescent="0.25">
      <c r="A35" t="s">
        <v>54</v>
      </c>
      <c r="B35" t="s">
        <v>84</v>
      </c>
      <c r="C35" t="s">
        <v>31</v>
      </c>
      <c r="E35" s="25">
        <v>776</v>
      </c>
      <c r="F35">
        <f>Tabel2[[#This Row],[Coffee]]</f>
        <v>410</v>
      </c>
      <c r="G35" s="12">
        <f>Tabel24[[#This Row],[Stand Coffee einde maand]]-Tabel24[[#This Row],[Coffee vorige maand]]</f>
        <v>366</v>
      </c>
      <c r="H35" s="25">
        <v>97</v>
      </c>
      <c r="I35">
        <f>Tabel2[[#This Row],[Espresso]]</f>
        <v>60</v>
      </c>
      <c r="J35" s="12">
        <f>Tabel24[[#This Row],[Stand Espresso Einde maand]]-Tabel24[[#This Row],[Espresso vorige maand]]</f>
        <v>37</v>
      </c>
      <c r="K35" s="25">
        <v>75</v>
      </c>
      <c r="L35">
        <f>Tabel2[[#This Row],[Latte Macchiato]]</f>
        <v>31</v>
      </c>
      <c r="M35">
        <f>Tabel24[[#This Row],[Stand Latte Macchiato einde maand]]-Tabel24[[#This Row],[Latte Macchiato vorige maand]]</f>
        <v>44</v>
      </c>
      <c r="N35" s="25">
        <v>20</v>
      </c>
      <c r="O35">
        <f>Tabel2[[#This Row],[Coffee Latte]]</f>
        <v>14</v>
      </c>
      <c r="P35">
        <f>Tabel24[[#This Row],[Stand Coffee Latte einde maand]]-Tabel24[[#This Row],[Coffee Latte vorige maand]]</f>
        <v>6</v>
      </c>
      <c r="Q35" s="25">
        <v>1015</v>
      </c>
      <c r="R35">
        <f>Tabel2[[#This Row],[Hot Water]]</f>
        <v>462</v>
      </c>
      <c r="S35">
        <f>Tabel24[[#This Row],[Stand Hot Water einde maand]]-Tabel24[[#This Row],[Hot Water vorige maand]]</f>
        <v>553</v>
      </c>
      <c r="T35" s="25">
        <v>307</v>
      </c>
      <c r="U35">
        <f>Tabel2[[#This Row],[Cappucino]]</f>
        <v>178</v>
      </c>
      <c r="V35">
        <f>Tabel24[[#This Row],[Stand Cappucino einde maand]]-Tabel24[[#This Row],[Stand Cappucino vorige maand]]</f>
        <v>129</v>
      </c>
      <c r="W35" s="25">
        <v>33</v>
      </c>
      <c r="X35">
        <f>Tabel2[[#This Row],[Cappucino Plantaardig]]</f>
        <v>24</v>
      </c>
      <c r="Y35">
        <f>Tabel24[[#This Row],[Stand Cappucino Plantaardig einde maand]]-Tabel24[[#This Row],[Stand Cappucino Plantaardig vorige maand]]</f>
        <v>9</v>
      </c>
      <c r="Z35" s="25">
        <v>72</v>
      </c>
      <c r="AA35">
        <f>Tabel2[[#This Row],[Latte Macchiato Plantaardig]]</f>
        <v>37</v>
      </c>
      <c r="AB35" s="12">
        <f>Tabel24[[#This Row],[Stand Latte Macchiato Plantaardig einde maand]]-Tabel24[[#This Row],[Stand Latte Macchiato Plantaardig vorige maand]]</f>
        <v>35</v>
      </c>
      <c r="AC35" s="3">
        <f>Tabel24[[#This Row],[Verbruik Stand Latte Macchiato Plantaardig deze maand]]+Tabel24[[#This Row],[Verbruik  Cappucino Plantaardig deze maand]]+Tabel24[[#This Row],[Verbruik Cappucino deze maand]]+Tabel24[[#This Row],[Verbruik Hot Water deze maand]]+Tabel24[[#This Row],[Verbruik Coffee Latte deze maand]]+Tabel24[[#This Row],[Verbruik Latte Macchiato deze maand]]+Tabel24[[#This Row],[Verbruik Espresso deze maand]]+Tabel24[[#This Row],[Verbruik Coffee deze maand]]</f>
        <v>1179</v>
      </c>
      <c r="AD35" s="26"/>
      <c r="AE35" s="5"/>
      <c r="AF35" s="5"/>
      <c r="AG35" s="5"/>
      <c r="AH35" s="26"/>
      <c r="AI35" s="5"/>
      <c r="AJ35" s="5"/>
      <c r="AK35" s="5"/>
      <c r="AL35" s="26"/>
      <c r="AM35" s="5"/>
      <c r="AN35" s="5"/>
      <c r="AO35" s="7"/>
      <c r="AP35" s="26"/>
      <c r="AQ35" s="5"/>
      <c r="AR35" s="5"/>
      <c r="AS35" s="7"/>
      <c r="AT35" s="26"/>
      <c r="AU35" s="5"/>
      <c r="AV35" s="5"/>
      <c r="AW35" s="21"/>
      <c r="AX35" s="8"/>
      <c r="AY35" s="4">
        <f>Tabel24[[#This Row],[Subtotaal waterbar in consumpties]]+Tabel24[[#This Row],[Subtotaal koffieautomaten]]</f>
        <v>1179</v>
      </c>
    </row>
    <row r="36" spans="1:51" x14ac:dyDescent="0.25">
      <c r="A36" t="s">
        <v>56</v>
      </c>
      <c r="B36" t="s">
        <v>85</v>
      </c>
      <c r="C36" t="s">
        <v>36</v>
      </c>
      <c r="E36" s="26"/>
      <c r="F36" s="5"/>
      <c r="G36" s="16"/>
      <c r="H36" s="26"/>
      <c r="I36" s="5"/>
      <c r="J36" s="16"/>
      <c r="K36" s="26"/>
      <c r="L36" s="5"/>
      <c r="M36" s="5"/>
      <c r="N36" s="26"/>
      <c r="O36" s="5"/>
      <c r="P36" s="5"/>
      <c r="Q36" s="26"/>
      <c r="R36" s="5"/>
      <c r="S36" s="5"/>
      <c r="T36" s="26"/>
      <c r="U36" s="5"/>
      <c r="V36" s="5"/>
      <c r="W36" s="26"/>
      <c r="X36" s="5"/>
      <c r="Y36" s="5"/>
      <c r="Z36" s="26"/>
      <c r="AA36" s="5"/>
      <c r="AB36" s="16"/>
      <c r="AC36" s="3">
        <f>Tabel24[[#This Row],[Verbruik Stand Latte Macchiato Plantaardig deze maand]]+Tabel24[[#This Row],[Verbruik  Cappucino Plantaardig deze maand]]+Tabel24[[#This Row],[Verbruik Cappucino deze maand]]+Tabel24[[#This Row],[Verbruik Hot Water deze maand]]+Tabel24[[#This Row],[Verbruik Coffee Latte deze maand]]+Tabel24[[#This Row],[Verbruik Latte Macchiato deze maand]]+Tabel24[[#This Row],[Verbruik Espresso deze maand]]+Tabel24[[#This Row],[Verbruik Coffee deze maand]]</f>
        <v>0</v>
      </c>
      <c r="AD36" s="25">
        <v>9.3000000000000007</v>
      </c>
      <c r="AE36">
        <f>Tabel2[[#This Row],[kamertemp liter]]</f>
        <v>6.3</v>
      </c>
      <c r="AF36">
        <f>Tabel24[[#This Row],[Stand Kamertemp liter einde maand]]-Tabel24[[#This Row],[Stand Kamertemp liter vorige maand]]</f>
        <v>3.0000000000000009</v>
      </c>
      <c r="AG36" s="2">
        <f>Tabel24[[#This Row],[Verbruik Kamertemp liter deze maand]]/0.15</f>
        <v>20.000000000000007</v>
      </c>
      <c r="AH36" s="25">
        <v>113.38</v>
      </c>
      <c r="AI36">
        <f>Tabel2[[#This Row],[gekoeld liter]]</f>
        <v>67.8</v>
      </c>
      <c r="AJ36">
        <f>Tabel24[[#This Row],[Stand Gekoeld liter einde maand]]-Tabel24[[#This Row],[Stand Gekoeld liter vorige maand]]</f>
        <v>45.58</v>
      </c>
      <c r="AK36" s="2">
        <f>Tabel24[[#This Row],[Verbruik Gekoeld liter deze maand]]/0.15</f>
        <v>303.86666666666667</v>
      </c>
      <c r="AL36" s="25">
        <v>35.299999999999997</v>
      </c>
      <c r="AM36">
        <f>Tabel2[[#This Row],[bruisend liter]]</f>
        <v>19.7</v>
      </c>
      <c r="AN36">
        <f>Tabel24[[#This Row],[Stand Bruisend liter einde maand]]-Tabel24[[#This Row],[Stand Bruisend liter vorige maand]]</f>
        <v>15.599999999999998</v>
      </c>
      <c r="AO36" s="2">
        <f>Tabel24[[#This Row],[Verbruik Bruisend liter deze maand]]/0.15</f>
        <v>103.99999999999999</v>
      </c>
      <c r="AP36" s="25">
        <v>33.700000000000003</v>
      </c>
      <c r="AQ36">
        <f>Tabel2[[#This Row],[licht bruisend liter]]</f>
        <v>26</v>
      </c>
      <c r="AR36">
        <f>Tabel24[[#This Row],[Stand licht bruisend liter einde maand]]-Tabel24[[#This Row],[Stand licht bruisend liter vorige maand]]</f>
        <v>7.7000000000000028</v>
      </c>
      <c r="AS36" s="2">
        <f>Tabel24[[#This Row],[Verbruik licht bruisend liter deze maand]]/0.15</f>
        <v>51.333333333333357</v>
      </c>
      <c r="AT36" s="25">
        <v>422.1</v>
      </c>
      <c r="AU36">
        <f>Tabel2[[#This Row],[heet water liter]]</f>
        <v>372.7</v>
      </c>
      <c r="AV36">
        <f>Tabel24[[#This Row],[Stand heet water liter einde maand]]-Tabel24[[#This Row],[Stand heet water liter vorige maand]]</f>
        <v>49.400000000000034</v>
      </c>
      <c r="AW36" s="20">
        <f>Tabel24[[#This Row],[Verbruik heet Water liter deze maand ]]/0.15</f>
        <v>329.3333333333336</v>
      </c>
      <c r="AX36" s="4">
        <f>Tabel24[[#This Row],[Aantal consumpties heet water deze maand]]+Tabel24[[#This Row],[Aantal consumpties licht bruisend water deze maand]]+Tabel24[[#This Row],[aantal consumpties Bruisend water deze maand]]+Tabel24[[#This Row],[Aantal consumpties gekoeld water deze maand]]+Tabel24[[#This Row],[Aantal consumpties Kamertemp deze maand]]</f>
        <v>808.53333333333364</v>
      </c>
      <c r="AY36" s="4">
        <f>Tabel24[[#This Row],[Subtotaal waterbar in consumpties]]+Tabel24[[#This Row],[Subtotaal koffieautomaten]]</f>
        <v>808.53333333333364</v>
      </c>
    </row>
    <row r="37" spans="1:51" x14ac:dyDescent="0.25">
      <c r="A37" t="s">
        <v>58</v>
      </c>
      <c r="B37" t="s">
        <v>86</v>
      </c>
      <c r="C37" t="s">
        <v>47</v>
      </c>
      <c r="E37" s="25">
        <v>1117</v>
      </c>
      <c r="F37">
        <f>Tabel2[[#This Row],[Coffee]]</f>
        <v>654</v>
      </c>
      <c r="G37" s="12">
        <f>Tabel24[[#This Row],[Stand Coffee einde maand]]-Tabel24[[#This Row],[Coffee vorige maand]]</f>
        <v>463</v>
      </c>
      <c r="H37" s="25">
        <v>256</v>
      </c>
      <c r="I37">
        <f>Tabel2[[#This Row],[Espresso]]</f>
        <v>144</v>
      </c>
      <c r="J37" s="12">
        <f>Tabel24[[#This Row],[Stand Espresso Einde maand]]-Tabel24[[#This Row],[Espresso vorige maand]]</f>
        <v>112</v>
      </c>
      <c r="K37" s="25">
        <v>135</v>
      </c>
      <c r="L37">
        <f>Tabel2[[#This Row],[Latte Macchiato]]</f>
        <v>83</v>
      </c>
      <c r="M37">
        <f>Tabel24[[#This Row],[Stand Latte Macchiato einde maand]]-Tabel24[[#This Row],[Latte Macchiato vorige maand]]</f>
        <v>52</v>
      </c>
      <c r="N37" s="25">
        <v>55</v>
      </c>
      <c r="O37">
        <f>Tabel2[[#This Row],[Coffee Latte]]</f>
        <v>24</v>
      </c>
      <c r="P37">
        <f>Tabel24[[#This Row],[Stand Coffee Latte einde maand]]-Tabel24[[#This Row],[Coffee Latte vorige maand]]</f>
        <v>31</v>
      </c>
      <c r="Q37" s="25">
        <v>1</v>
      </c>
      <c r="R37">
        <f>Tabel2[[#This Row],[Hot Water]]</f>
        <v>0</v>
      </c>
      <c r="S37">
        <f>Tabel24[[#This Row],[Stand Hot Water einde maand]]-Tabel24[[#This Row],[Hot Water vorige maand]]</f>
        <v>1</v>
      </c>
      <c r="T37" s="25">
        <v>468</v>
      </c>
      <c r="U37">
        <f>Tabel2[[#This Row],[Cappucino]]</f>
        <v>280</v>
      </c>
      <c r="V37">
        <f>Tabel24[[#This Row],[Stand Cappucino einde maand]]-Tabel24[[#This Row],[Stand Cappucino vorige maand]]</f>
        <v>188</v>
      </c>
      <c r="W37" s="25">
        <v>111</v>
      </c>
      <c r="X37">
        <f>Tabel2[[#This Row],[Cappucino Plantaardig]]</f>
        <v>59</v>
      </c>
      <c r="Y37">
        <f>Tabel24[[#This Row],[Stand Cappucino Plantaardig einde maand]]-Tabel24[[#This Row],[Stand Cappucino Plantaardig vorige maand]]</f>
        <v>52</v>
      </c>
      <c r="Z37" s="25">
        <v>55</v>
      </c>
      <c r="AA37">
        <f>Tabel2[[#This Row],[Latte Macchiato Plantaardig]]</f>
        <v>28</v>
      </c>
      <c r="AB37" s="12">
        <f>Tabel24[[#This Row],[Stand Latte Macchiato Plantaardig einde maand]]-Tabel24[[#This Row],[Stand Latte Macchiato Plantaardig vorige maand]]</f>
        <v>27</v>
      </c>
      <c r="AC37" s="3">
        <f>Tabel24[[#This Row],[Verbruik Stand Latte Macchiato Plantaardig deze maand]]+Tabel24[[#This Row],[Verbruik  Cappucino Plantaardig deze maand]]+Tabel24[[#This Row],[Verbruik Cappucino deze maand]]+Tabel24[[#This Row],[Verbruik Hot Water deze maand]]+Tabel24[[#This Row],[Verbruik Coffee Latte deze maand]]+Tabel24[[#This Row],[Verbruik Latte Macchiato deze maand]]+Tabel24[[#This Row],[Verbruik Espresso deze maand]]+Tabel24[[#This Row],[Verbruik Coffee deze maand]]</f>
        <v>926</v>
      </c>
      <c r="AD37" s="25">
        <v>22.4</v>
      </c>
      <c r="AE37">
        <f>Tabel2[[#This Row],[kamertemp liter]]</f>
        <v>13.5</v>
      </c>
      <c r="AF37">
        <f>Tabel24[[#This Row],[Stand Kamertemp liter einde maand]]-Tabel24[[#This Row],[Stand Kamertemp liter vorige maand]]</f>
        <v>8.8999999999999986</v>
      </c>
      <c r="AG37" s="2">
        <f>Tabel24[[#This Row],[Verbruik Kamertemp liter deze maand]]/0.15</f>
        <v>59.333333333333329</v>
      </c>
      <c r="AH37" s="25">
        <v>115.3</v>
      </c>
      <c r="AI37">
        <f>Tabel2[[#This Row],[gekoeld liter]]</f>
        <v>76.5</v>
      </c>
      <c r="AJ37">
        <f>Tabel24[[#This Row],[Stand Gekoeld liter einde maand]]-Tabel24[[#This Row],[Stand Gekoeld liter vorige maand]]</f>
        <v>38.799999999999997</v>
      </c>
      <c r="AK37" s="2">
        <f>Tabel24[[#This Row],[Verbruik Gekoeld liter deze maand]]/0.15</f>
        <v>258.66666666666669</v>
      </c>
      <c r="AL37" s="25">
        <v>61.5</v>
      </c>
      <c r="AM37">
        <f>Tabel2[[#This Row],[bruisend liter]]</f>
        <v>47</v>
      </c>
      <c r="AN37">
        <f>Tabel24[[#This Row],[Stand Bruisend liter einde maand]]-Tabel24[[#This Row],[Stand Bruisend liter vorige maand]]</f>
        <v>14.5</v>
      </c>
      <c r="AO37" s="2">
        <f>Tabel24[[#This Row],[Verbruik Bruisend liter deze maand]]/0.15</f>
        <v>96.666666666666671</v>
      </c>
      <c r="AP37" s="25">
        <v>31.7</v>
      </c>
      <c r="AQ37">
        <f>Tabel2[[#This Row],[licht bruisend liter]]</f>
        <v>23</v>
      </c>
      <c r="AR37">
        <f>Tabel24[[#This Row],[Stand licht bruisend liter einde maand]]-Tabel24[[#This Row],[Stand licht bruisend liter vorige maand]]</f>
        <v>8.6999999999999993</v>
      </c>
      <c r="AS37" s="2">
        <f>Tabel24[[#This Row],[Verbruik licht bruisend liter deze maand]]/0.15</f>
        <v>58</v>
      </c>
      <c r="AT37" s="25">
        <v>470.5</v>
      </c>
      <c r="AU37">
        <f>Tabel2[[#This Row],[heet water liter]]</f>
        <v>303.2</v>
      </c>
      <c r="AV37">
        <f>Tabel24[[#This Row],[Stand heet water liter einde maand]]-Tabel24[[#This Row],[Stand heet water liter vorige maand]]</f>
        <v>167.3</v>
      </c>
      <c r="AW37" s="20">
        <f>Tabel24[[#This Row],[Verbruik heet Water liter deze maand ]]/0.15</f>
        <v>1115.3333333333335</v>
      </c>
      <c r="AX37" s="4">
        <f>Tabel24[[#This Row],[Aantal consumpties heet water deze maand]]+Tabel24[[#This Row],[Aantal consumpties licht bruisend water deze maand]]+Tabel24[[#This Row],[aantal consumpties Bruisend water deze maand]]+Tabel24[[#This Row],[Aantal consumpties gekoeld water deze maand]]+Tabel24[[#This Row],[Aantal consumpties Kamertemp deze maand]]</f>
        <v>1588.0000000000002</v>
      </c>
      <c r="AY37" s="4">
        <f>Tabel24[[#This Row],[Subtotaal waterbar in consumpties]]+Tabel24[[#This Row],[Subtotaal koffieautomaten]]</f>
        <v>2514</v>
      </c>
    </row>
    <row r="38" spans="1:51" x14ac:dyDescent="0.25">
      <c r="A38" t="s">
        <v>60</v>
      </c>
      <c r="B38" t="s">
        <v>87</v>
      </c>
      <c r="C38" t="s">
        <v>31</v>
      </c>
      <c r="E38" s="25">
        <v>373</v>
      </c>
      <c r="F38">
        <f>Tabel2[[#This Row],[Coffee]]</f>
        <v>214</v>
      </c>
      <c r="G38" s="12">
        <f>Tabel24[[#This Row],[Stand Coffee einde maand]]-Tabel24[[#This Row],[Coffee vorige maand]]</f>
        <v>159</v>
      </c>
      <c r="H38" s="25">
        <v>62</v>
      </c>
      <c r="I38">
        <f>Tabel2[[#This Row],[Espresso]]</f>
        <v>48</v>
      </c>
      <c r="J38" s="12">
        <f>Tabel24[[#This Row],[Stand Espresso Einde maand]]-Tabel24[[#This Row],[Espresso vorige maand]]</f>
        <v>14</v>
      </c>
      <c r="K38" s="25">
        <v>152</v>
      </c>
      <c r="L38">
        <f>Tabel2[[#This Row],[Latte Macchiato]]</f>
        <v>102</v>
      </c>
      <c r="M38">
        <f>Tabel24[[#This Row],[Stand Latte Macchiato einde maand]]-Tabel24[[#This Row],[Latte Macchiato vorige maand]]</f>
        <v>50</v>
      </c>
      <c r="N38" s="25">
        <v>91</v>
      </c>
      <c r="O38">
        <f>Tabel2[[#This Row],[Coffee Latte]]</f>
        <v>50</v>
      </c>
      <c r="P38">
        <f>Tabel24[[#This Row],[Stand Coffee Latte einde maand]]-Tabel24[[#This Row],[Coffee Latte vorige maand]]</f>
        <v>41</v>
      </c>
      <c r="Q38" s="25">
        <v>1803</v>
      </c>
      <c r="R38">
        <f>Tabel2[[#This Row],[Hot Water]]</f>
        <v>941</v>
      </c>
      <c r="S38">
        <f>Tabel24[[#This Row],[Stand Hot Water einde maand]]-Tabel24[[#This Row],[Hot Water vorige maand]]</f>
        <v>862</v>
      </c>
      <c r="T38" s="25">
        <v>372</v>
      </c>
      <c r="U38">
        <f>Tabel2[[#This Row],[Cappucino]]</f>
        <v>206</v>
      </c>
      <c r="V38">
        <f>Tabel24[[#This Row],[Stand Cappucino einde maand]]-Tabel24[[#This Row],[Stand Cappucino vorige maand]]</f>
        <v>166</v>
      </c>
      <c r="W38" s="25">
        <v>96</v>
      </c>
      <c r="X38">
        <f>Tabel2[[#This Row],[Cappucino Plantaardig]]</f>
        <v>46</v>
      </c>
      <c r="Y38">
        <f>Tabel24[[#This Row],[Stand Cappucino Plantaardig einde maand]]-Tabel24[[#This Row],[Stand Cappucino Plantaardig vorige maand]]</f>
        <v>50</v>
      </c>
      <c r="Z38" s="25">
        <v>53</v>
      </c>
      <c r="AA38">
        <f>Tabel2[[#This Row],[Latte Macchiato Plantaardig]]</f>
        <v>24</v>
      </c>
      <c r="AB38" s="12">
        <f>Tabel24[[#This Row],[Stand Latte Macchiato Plantaardig einde maand]]-Tabel24[[#This Row],[Stand Latte Macchiato Plantaardig vorige maand]]</f>
        <v>29</v>
      </c>
      <c r="AC38" s="3">
        <f>Tabel24[[#This Row],[Verbruik Stand Latte Macchiato Plantaardig deze maand]]+Tabel24[[#This Row],[Verbruik  Cappucino Plantaardig deze maand]]+Tabel24[[#This Row],[Verbruik Cappucino deze maand]]+Tabel24[[#This Row],[Verbruik Hot Water deze maand]]+Tabel24[[#This Row],[Verbruik Coffee Latte deze maand]]+Tabel24[[#This Row],[Verbruik Latte Macchiato deze maand]]+Tabel24[[#This Row],[Verbruik Espresso deze maand]]+Tabel24[[#This Row],[Verbruik Coffee deze maand]]</f>
        <v>1371</v>
      </c>
      <c r="AD38" s="26"/>
      <c r="AE38" s="5"/>
      <c r="AF38" s="5"/>
      <c r="AG38" s="5"/>
      <c r="AH38" s="26"/>
      <c r="AI38" s="5"/>
      <c r="AJ38" s="5"/>
      <c r="AK38" s="5"/>
      <c r="AL38" s="26"/>
      <c r="AM38" s="5"/>
      <c r="AN38" s="5"/>
      <c r="AO38" s="5"/>
      <c r="AP38" s="26"/>
      <c r="AQ38" s="5"/>
      <c r="AR38" s="5"/>
      <c r="AS38" s="5"/>
      <c r="AT38" s="26"/>
      <c r="AU38" s="5"/>
      <c r="AV38" s="5"/>
      <c r="AW38" s="16"/>
      <c r="AX38" s="6"/>
      <c r="AY38" s="4">
        <f>Tabel24[[#This Row],[Subtotaal waterbar in consumpties]]+Tabel24[[#This Row],[Subtotaal koffieautomaten]]</f>
        <v>1371</v>
      </c>
    </row>
    <row r="39" spans="1:51" x14ac:dyDescent="0.25">
      <c r="A39" s="3" t="s">
        <v>88</v>
      </c>
      <c r="E39" s="25"/>
      <c r="H39" s="25"/>
      <c r="J39" s="12"/>
      <c r="K39" s="25"/>
      <c r="N39" s="25"/>
      <c r="Q39" s="25"/>
      <c r="T39" s="25"/>
      <c r="W39" s="25"/>
      <c r="Z39" s="25"/>
      <c r="AC39" s="3">
        <f>Tabel24[[#This Row],[Verbruik Stand Latte Macchiato Plantaardig deze maand]]+Tabel24[[#This Row],[Verbruik  Cappucino Plantaardig deze maand]]+Tabel24[[#This Row],[Verbruik Cappucino deze maand]]+Tabel24[[#This Row],[Verbruik Hot Water deze maand]]+Tabel24[[#This Row],[Verbruik Coffee Latte deze maand]]+Tabel24[[#This Row],[Verbruik Latte Macchiato deze maand]]+Tabel24[[#This Row],[Verbruik Espresso deze maand]]+Tabel24[[#This Row],[Verbruik Coffee deze maand]]</f>
        <v>0</v>
      </c>
      <c r="AD39" s="25"/>
      <c r="AG39" s="2"/>
      <c r="AH39" s="25"/>
      <c r="AK39" s="2"/>
      <c r="AL39" s="25"/>
      <c r="AO39" s="2">
        <f>Tabel24[[#This Row],[Verbruik Bruisend liter deze maand]]/0.15</f>
        <v>0</v>
      </c>
      <c r="AP39" s="25"/>
      <c r="AS39" s="2"/>
      <c r="AT39" s="25"/>
      <c r="AW39" s="20"/>
      <c r="AX39" s="4"/>
      <c r="AY39" s="4">
        <f>Tabel24[[#This Row],[Subtotaal waterbar in consumpties]]+Tabel24[[#This Row],[Subtotaal koffieautomaten]]</f>
        <v>0</v>
      </c>
    </row>
    <row r="40" spans="1:51" x14ac:dyDescent="0.25">
      <c r="A40" t="s">
        <v>39</v>
      </c>
      <c r="B40" t="s">
        <v>89</v>
      </c>
      <c r="C40" t="s">
        <v>36</v>
      </c>
      <c r="E40" s="26"/>
      <c r="F40" s="5"/>
      <c r="G40" s="16"/>
      <c r="H40" s="26"/>
      <c r="I40" s="5"/>
      <c r="J40" s="16"/>
      <c r="K40" s="26"/>
      <c r="L40" s="5"/>
      <c r="M40" s="5"/>
      <c r="N40" s="26"/>
      <c r="O40" s="5"/>
      <c r="P40" s="5"/>
      <c r="Q40" s="26"/>
      <c r="R40" s="5"/>
      <c r="S40" s="5"/>
      <c r="T40" s="26"/>
      <c r="U40" s="5"/>
      <c r="V40" s="5"/>
      <c r="W40" s="26"/>
      <c r="X40" s="5"/>
      <c r="Y40" s="5"/>
      <c r="Z40" s="26"/>
      <c r="AA40" s="5"/>
      <c r="AB40" s="16"/>
      <c r="AC40" s="3">
        <f>Tabel24[[#This Row],[Verbruik Stand Latte Macchiato Plantaardig deze maand]]+Tabel24[[#This Row],[Verbruik  Cappucino Plantaardig deze maand]]+Tabel24[[#This Row],[Verbruik Cappucino deze maand]]+Tabel24[[#This Row],[Verbruik Hot Water deze maand]]+Tabel24[[#This Row],[Verbruik Coffee Latte deze maand]]+Tabel24[[#This Row],[Verbruik Latte Macchiato deze maand]]+Tabel24[[#This Row],[Verbruik Espresso deze maand]]+Tabel24[[#This Row],[Verbruik Coffee deze maand]]</f>
        <v>0</v>
      </c>
      <c r="AD40" s="25">
        <v>36.700000000000003</v>
      </c>
      <c r="AE40">
        <f>Tabel2[[#This Row],[kamertemp liter]]</f>
        <v>22.3</v>
      </c>
      <c r="AF40">
        <f>Tabel24[[#This Row],[Stand Kamertemp liter einde maand]]-Tabel24[[#This Row],[Stand Kamertemp liter vorige maand]]</f>
        <v>14.400000000000002</v>
      </c>
      <c r="AG40" s="2">
        <f>Tabel24[[#This Row],[Verbruik Kamertemp liter deze maand]]/0.15</f>
        <v>96.000000000000014</v>
      </c>
      <c r="AH40" s="25">
        <v>327.39999999999998</v>
      </c>
      <c r="AI40">
        <f>Tabel2[[#This Row],[gekoeld liter]]</f>
        <v>122.7</v>
      </c>
      <c r="AJ40">
        <f>Tabel24[[#This Row],[Stand Gekoeld liter einde maand]]-Tabel24[[#This Row],[Stand Gekoeld liter vorige maand]]</f>
        <v>204.7</v>
      </c>
      <c r="AK40" s="2">
        <f>Tabel24[[#This Row],[Verbruik Gekoeld liter deze maand]]/0.15</f>
        <v>1364.6666666666667</v>
      </c>
      <c r="AL40" s="25">
        <v>168.6</v>
      </c>
      <c r="AM40">
        <f>Tabel2[[#This Row],[bruisend liter]]</f>
        <v>116.4</v>
      </c>
      <c r="AN40">
        <f>Tabel24[[#This Row],[Stand Bruisend liter einde maand]]-Tabel24[[#This Row],[Stand Bruisend liter vorige maand]]</f>
        <v>52.199999999999989</v>
      </c>
      <c r="AO40" s="2">
        <f>Tabel24[[#This Row],[Verbruik Bruisend liter deze maand]]/0.15</f>
        <v>347.99999999999994</v>
      </c>
      <c r="AP40" s="25">
        <v>68.099999999999994</v>
      </c>
      <c r="AQ40">
        <f>Tabel2[[#This Row],[licht bruisend liter]]</f>
        <v>49.8</v>
      </c>
      <c r="AR40">
        <f>Tabel24[[#This Row],[Stand licht bruisend liter einde maand]]-Tabel24[[#This Row],[Stand licht bruisend liter vorige maand]]</f>
        <v>18.299999999999997</v>
      </c>
      <c r="AS40" s="2">
        <f>Tabel24[[#This Row],[Verbruik licht bruisend liter deze maand]]/0.15</f>
        <v>121.99999999999999</v>
      </c>
      <c r="AT40" s="25">
        <v>265.60000000000002</v>
      </c>
      <c r="AU40">
        <f>Tabel2[[#This Row],[heet water liter]]</f>
        <v>539.79999999999995</v>
      </c>
      <c r="AV40">
        <f>Tabel24[[#This Row],[Stand heet water liter einde maand]]-Tabel24[[#This Row],[Stand heet water liter vorige maand]]</f>
        <v>-274.19999999999993</v>
      </c>
      <c r="AW40" s="20">
        <f>Tabel24[[#This Row],[Verbruik heet Water liter deze maand ]]/0.15</f>
        <v>-1827.9999999999995</v>
      </c>
      <c r="AX40" s="4">
        <f>Tabel24[[#This Row],[Aantal consumpties heet water deze maand]]+Tabel24[[#This Row],[Aantal consumpties licht bruisend water deze maand]]+Tabel24[[#This Row],[aantal consumpties Bruisend water deze maand]]+Tabel24[[#This Row],[Aantal consumpties gekoeld water deze maand]]+Tabel24[[#This Row],[Aantal consumpties Kamertemp deze maand]]</f>
        <v>102.66666666666721</v>
      </c>
      <c r="AY40" s="4">
        <f>Tabel24[[#This Row],[Subtotaal waterbar in consumpties]]+Tabel24[[#This Row],[Subtotaal koffieautomaten]]</f>
        <v>102.66666666666721</v>
      </c>
    </row>
    <row r="41" spans="1:51" x14ac:dyDescent="0.25">
      <c r="A41" t="s">
        <v>41</v>
      </c>
      <c r="B41" t="s">
        <v>90</v>
      </c>
      <c r="C41" t="s">
        <v>31</v>
      </c>
      <c r="E41" s="25">
        <v>560</v>
      </c>
      <c r="F41">
        <f>Tabel2[[#This Row],[Coffee]]</f>
        <v>239</v>
      </c>
      <c r="G41" s="12">
        <f>Tabel24[[#This Row],[Stand Coffee einde maand]]-Tabel24[[#This Row],[Coffee vorige maand]]</f>
        <v>321</v>
      </c>
      <c r="H41" s="25">
        <v>271</v>
      </c>
      <c r="I41">
        <f>Tabel2[[#This Row],[Espresso]]</f>
        <v>99</v>
      </c>
      <c r="J41" s="12">
        <f>Tabel24[[#This Row],[Stand Espresso Einde maand]]-Tabel24[[#This Row],[Espresso vorige maand]]</f>
        <v>172</v>
      </c>
      <c r="K41" s="25">
        <v>82</v>
      </c>
      <c r="L41">
        <f>Tabel2[[#This Row],[Latte Macchiato]]</f>
        <v>15</v>
      </c>
      <c r="M41">
        <f>Tabel24[[#This Row],[Stand Latte Macchiato einde maand]]-Tabel24[[#This Row],[Latte Macchiato vorige maand]]</f>
        <v>67</v>
      </c>
      <c r="N41" s="25">
        <v>33</v>
      </c>
      <c r="O41">
        <f>Tabel2[[#This Row],[Coffee Latte]]</f>
        <v>14</v>
      </c>
      <c r="P41">
        <f>Tabel24[[#This Row],[Stand Coffee Latte einde maand]]-Tabel24[[#This Row],[Coffee Latte vorige maand]]</f>
        <v>19</v>
      </c>
      <c r="Q41" s="25">
        <v>1966</v>
      </c>
      <c r="R41">
        <f>Tabel2[[#This Row],[Hot Water]]</f>
        <v>777</v>
      </c>
      <c r="S41">
        <f>Tabel24[[#This Row],[Stand Hot Water einde maand]]-Tabel24[[#This Row],[Hot Water vorige maand]]</f>
        <v>1189</v>
      </c>
      <c r="T41" s="25">
        <v>351</v>
      </c>
      <c r="U41">
        <f>Tabel2[[#This Row],[Cappucino]]</f>
        <v>153</v>
      </c>
      <c r="V41">
        <f>Tabel24[[#This Row],[Stand Cappucino einde maand]]-Tabel24[[#This Row],[Stand Cappucino vorige maand]]</f>
        <v>198</v>
      </c>
      <c r="W41" s="25">
        <v>56</v>
      </c>
      <c r="X41">
        <f>Tabel2[[#This Row],[Cappucino Plantaardig]]</f>
        <v>31</v>
      </c>
      <c r="Y41">
        <f>Tabel24[[#This Row],[Stand Cappucino Plantaardig einde maand]]-Tabel24[[#This Row],[Stand Cappucino Plantaardig vorige maand]]</f>
        <v>25</v>
      </c>
      <c r="Z41" s="25">
        <v>17</v>
      </c>
      <c r="AA41">
        <f>Tabel2[[#This Row],[Latte Macchiato Plantaardig]]</f>
        <v>5</v>
      </c>
      <c r="AB41" s="12">
        <f>Tabel24[[#This Row],[Stand Latte Macchiato Plantaardig einde maand]]-Tabel24[[#This Row],[Stand Latte Macchiato Plantaardig vorige maand]]</f>
        <v>12</v>
      </c>
      <c r="AC41" s="3">
        <f>Tabel24[[#This Row],[Verbruik Stand Latte Macchiato Plantaardig deze maand]]+Tabel24[[#This Row],[Verbruik  Cappucino Plantaardig deze maand]]+Tabel24[[#This Row],[Verbruik Cappucino deze maand]]+Tabel24[[#This Row],[Verbruik Hot Water deze maand]]+Tabel24[[#This Row],[Verbruik Coffee Latte deze maand]]+Tabel24[[#This Row],[Verbruik Latte Macchiato deze maand]]+Tabel24[[#This Row],[Verbruik Espresso deze maand]]+Tabel24[[#This Row],[Verbruik Coffee deze maand]]</f>
        <v>2003</v>
      </c>
      <c r="AD41" s="26"/>
      <c r="AE41" s="5"/>
      <c r="AF41" s="5"/>
      <c r="AG41" s="5"/>
      <c r="AH41" s="26"/>
      <c r="AI41" s="5"/>
      <c r="AJ41" s="5"/>
      <c r="AK41" s="5"/>
      <c r="AL41" s="26"/>
      <c r="AM41" s="5"/>
      <c r="AN41" s="5"/>
      <c r="AO41" s="5"/>
      <c r="AP41" s="26"/>
      <c r="AQ41" s="5"/>
      <c r="AR41" s="5"/>
      <c r="AS41" s="5"/>
      <c r="AT41" s="26"/>
      <c r="AU41" s="5"/>
      <c r="AV41" s="5"/>
      <c r="AW41" s="16"/>
      <c r="AX41" s="6"/>
      <c r="AY41" s="4">
        <f>Tabel24[[#This Row],[Subtotaal waterbar in consumpties]]+Tabel24[[#This Row],[Subtotaal koffieautomaten]]</f>
        <v>2003</v>
      </c>
    </row>
    <row r="42" spans="1:51" x14ac:dyDescent="0.25">
      <c r="A42" t="s">
        <v>43</v>
      </c>
      <c r="B42" t="s">
        <v>91</v>
      </c>
      <c r="C42" t="s">
        <v>47</v>
      </c>
      <c r="E42" s="25">
        <v>1162</v>
      </c>
      <c r="F42">
        <f>Tabel2[[#This Row],[Coffee]]</f>
        <v>664</v>
      </c>
      <c r="G42" s="12">
        <f>Tabel24[[#This Row],[Stand Coffee einde maand]]-Tabel24[[#This Row],[Coffee vorige maand]]</f>
        <v>498</v>
      </c>
      <c r="H42" s="25">
        <v>446</v>
      </c>
      <c r="I42">
        <f>Tabel2[[#This Row],[Espresso]]</f>
        <v>227</v>
      </c>
      <c r="J42" s="12">
        <f>Tabel24[[#This Row],[Stand Espresso Einde maand]]-Tabel24[[#This Row],[Espresso vorige maand]]</f>
        <v>219</v>
      </c>
      <c r="K42" s="25">
        <v>109</v>
      </c>
      <c r="L42">
        <f>Tabel2[[#This Row],[Latte Macchiato]]</f>
        <v>67</v>
      </c>
      <c r="M42">
        <f>Tabel24[[#This Row],[Stand Latte Macchiato einde maand]]-Tabel24[[#This Row],[Latte Macchiato vorige maand]]</f>
        <v>42</v>
      </c>
      <c r="N42" s="25">
        <v>55</v>
      </c>
      <c r="O42">
        <f>Tabel2[[#This Row],[Coffee Latte]]</f>
        <v>33</v>
      </c>
      <c r="P42">
        <f>Tabel24[[#This Row],[Stand Coffee Latte einde maand]]-Tabel24[[#This Row],[Coffee Latte vorige maand]]</f>
        <v>22</v>
      </c>
      <c r="Q42" s="25">
        <v>31</v>
      </c>
      <c r="R42">
        <f>Tabel2[[#This Row],[Hot Water]]</f>
        <v>0</v>
      </c>
      <c r="S42">
        <f>Tabel24[[#This Row],[Stand Hot Water einde maand]]-Tabel24[[#This Row],[Hot Water vorige maand]]</f>
        <v>31</v>
      </c>
      <c r="T42" s="25">
        <v>390</v>
      </c>
      <c r="U42">
        <f>Tabel2[[#This Row],[Cappucino]]</f>
        <v>188</v>
      </c>
      <c r="V42">
        <f>Tabel24[[#This Row],[Stand Cappucino einde maand]]-Tabel24[[#This Row],[Stand Cappucino vorige maand]]</f>
        <v>202</v>
      </c>
      <c r="W42" s="25">
        <v>419</v>
      </c>
      <c r="X42">
        <f>Tabel2[[#This Row],[Cappucino Plantaardig]]</f>
        <v>208</v>
      </c>
      <c r="Y42">
        <f>Tabel24[[#This Row],[Stand Cappucino Plantaardig einde maand]]-Tabel24[[#This Row],[Stand Cappucino Plantaardig vorige maand]]</f>
        <v>211</v>
      </c>
      <c r="Z42" s="25">
        <v>46</v>
      </c>
      <c r="AA42">
        <f>Tabel2[[#This Row],[Latte Macchiato Plantaardig]]</f>
        <v>30</v>
      </c>
      <c r="AB42" s="12">
        <f>Tabel24[[#This Row],[Stand Latte Macchiato Plantaardig einde maand]]-Tabel24[[#This Row],[Stand Latte Macchiato Plantaardig vorige maand]]</f>
        <v>16</v>
      </c>
      <c r="AC42" s="3">
        <f>Tabel24[[#This Row],[Verbruik Stand Latte Macchiato Plantaardig deze maand]]+Tabel24[[#This Row],[Verbruik  Cappucino Plantaardig deze maand]]+Tabel24[[#This Row],[Verbruik Cappucino deze maand]]+Tabel24[[#This Row],[Verbruik Hot Water deze maand]]+Tabel24[[#This Row],[Verbruik Coffee Latte deze maand]]+Tabel24[[#This Row],[Verbruik Latte Macchiato deze maand]]+Tabel24[[#This Row],[Verbruik Espresso deze maand]]+Tabel24[[#This Row],[Verbruik Coffee deze maand]]</f>
        <v>1241</v>
      </c>
      <c r="AD42" s="25">
        <v>21</v>
      </c>
      <c r="AE42">
        <f>Tabel2[[#This Row],[kamertemp liter]]</f>
        <v>14.8</v>
      </c>
      <c r="AF42">
        <f>Tabel24[[#This Row],[Stand Kamertemp liter einde maand]]-Tabel24[[#This Row],[Stand Kamertemp liter vorige maand]]</f>
        <v>6.1999999999999993</v>
      </c>
      <c r="AG42" s="2">
        <f>Tabel24[[#This Row],[Verbruik Kamertemp liter deze maand]]/0.15</f>
        <v>41.333333333333329</v>
      </c>
      <c r="AH42" s="25">
        <v>195.8</v>
      </c>
      <c r="AI42">
        <f>Tabel2[[#This Row],[gekoeld liter]]</f>
        <v>118.8</v>
      </c>
      <c r="AJ42">
        <f>Tabel24[[#This Row],[Stand Gekoeld liter einde maand]]-Tabel24[[#This Row],[Stand Gekoeld liter vorige maand]]</f>
        <v>77.000000000000014</v>
      </c>
      <c r="AK42" s="2">
        <f>Tabel24[[#This Row],[Verbruik Gekoeld liter deze maand]]/0.15</f>
        <v>513.33333333333348</v>
      </c>
      <c r="AL42" s="25">
        <v>228.3</v>
      </c>
      <c r="AM42">
        <f>Tabel2[[#This Row],[bruisend liter]]</f>
        <v>141.6</v>
      </c>
      <c r="AN42">
        <f>Tabel24[[#This Row],[Stand Bruisend liter einde maand]]-Tabel24[[#This Row],[Stand Bruisend liter vorige maand]]</f>
        <v>86.700000000000017</v>
      </c>
      <c r="AO42" s="2">
        <f>Tabel24[[#This Row],[Verbruik Bruisend liter deze maand]]/0.15</f>
        <v>578.00000000000011</v>
      </c>
      <c r="AP42" s="25">
        <v>209.5</v>
      </c>
      <c r="AQ42">
        <f>Tabel2[[#This Row],[licht bruisend liter]]</f>
        <v>132.30000000000001</v>
      </c>
      <c r="AR42">
        <f>Tabel24[[#This Row],[Stand licht bruisend liter einde maand]]-Tabel24[[#This Row],[Stand licht bruisend liter vorige maand]]</f>
        <v>77.199999999999989</v>
      </c>
      <c r="AS42" s="2">
        <f>Tabel24[[#This Row],[Verbruik licht bruisend liter deze maand]]/0.15</f>
        <v>514.66666666666663</v>
      </c>
      <c r="AT42" s="25">
        <v>962.4</v>
      </c>
      <c r="AU42">
        <f>Tabel2[[#This Row],[heet water liter]]</f>
        <v>590.1</v>
      </c>
      <c r="AV42">
        <f>Tabel24[[#This Row],[Stand heet water liter einde maand]]-Tabel24[[#This Row],[Stand heet water liter vorige maand]]</f>
        <v>372.29999999999995</v>
      </c>
      <c r="AW42" s="20">
        <f>Tabel24[[#This Row],[Verbruik heet Water liter deze maand ]]/0.15</f>
        <v>2482</v>
      </c>
      <c r="AX42" s="4">
        <f>Tabel24[[#This Row],[Aantal consumpties heet water deze maand]]+Tabel24[[#This Row],[Aantal consumpties licht bruisend water deze maand]]+Tabel24[[#This Row],[aantal consumpties Bruisend water deze maand]]+Tabel24[[#This Row],[Aantal consumpties gekoeld water deze maand]]+Tabel24[[#This Row],[Aantal consumpties Kamertemp deze maand]]</f>
        <v>4129.333333333333</v>
      </c>
      <c r="AY42" s="4">
        <f>Tabel24[[#This Row],[Subtotaal waterbar in consumpties]]+Tabel24[[#This Row],[Subtotaal koffieautomaten]]</f>
        <v>5370.333333333333</v>
      </c>
    </row>
    <row r="43" spans="1:51" x14ac:dyDescent="0.25">
      <c r="A43" t="s">
        <v>45</v>
      </c>
      <c r="B43" t="s">
        <v>92</v>
      </c>
      <c r="C43" t="s">
        <v>36</v>
      </c>
      <c r="E43" s="26"/>
      <c r="F43" s="5"/>
      <c r="G43" s="16"/>
      <c r="H43" s="26"/>
      <c r="I43" s="5"/>
      <c r="J43" s="16"/>
      <c r="K43" s="26"/>
      <c r="L43" s="5"/>
      <c r="M43" s="5"/>
      <c r="N43" s="26"/>
      <c r="O43" s="5"/>
      <c r="P43" s="5"/>
      <c r="Q43" s="26"/>
      <c r="R43" s="5"/>
      <c r="S43" s="5"/>
      <c r="T43" s="26"/>
      <c r="U43" s="5"/>
      <c r="V43" s="5"/>
      <c r="W43" s="26"/>
      <c r="X43" s="5"/>
      <c r="Y43" s="5"/>
      <c r="Z43" s="26"/>
      <c r="AA43" s="5"/>
      <c r="AB43" s="16"/>
      <c r="AC43" s="3">
        <f>Tabel24[[#This Row],[Verbruik Stand Latte Macchiato Plantaardig deze maand]]+Tabel24[[#This Row],[Verbruik  Cappucino Plantaardig deze maand]]+Tabel24[[#This Row],[Verbruik Cappucino deze maand]]+Tabel24[[#This Row],[Verbruik Hot Water deze maand]]+Tabel24[[#This Row],[Verbruik Coffee Latte deze maand]]+Tabel24[[#This Row],[Verbruik Latte Macchiato deze maand]]+Tabel24[[#This Row],[Verbruik Espresso deze maand]]+Tabel24[[#This Row],[Verbruik Coffee deze maand]]</f>
        <v>0</v>
      </c>
      <c r="AD43" s="25">
        <v>16.7</v>
      </c>
      <c r="AE43">
        <f>Tabel2[[#This Row],[kamertemp liter]]</f>
        <v>10.8</v>
      </c>
      <c r="AF43">
        <f>Tabel24[[#This Row],[Stand Kamertemp liter einde maand]]-Tabel24[[#This Row],[Stand Kamertemp liter vorige maand]]</f>
        <v>5.8999999999999986</v>
      </c>
      <c r="AG43" s="2">
        <f>Tabel24[[#This Row],[Verbruik Kamertemp liter deze maand]]/0.15</f>
        <v>39.333333333333329</v>
      </c>
      <c r="AH43" s="25">
        <v>90.4</v>
      </c>
      <c r="AI43">
        <f>Tabel2[[#This Row],[gekoeld liter]]</f>
        <v>47.3</v>
      </c>
      <c r="AJ43">
        <f>Tabel24[[#This Row],[Stand Gekoeld liter einde maand]]-Tabel24[[#This Row],[Stand Gekoeld liter vorige maand]]</f>
        <v>43.100000000000009</v>
      </c>
      <c r="AK43" s="2">
        <f>Tabel24[[#This Row],[Verbruik Gekoeld liter deze maand]]/0.15</f>
        <v>287.33333333333343</v>
      </c>
      <c r="AL43" s="25">
        <v>76.5</v>
      </c>
      <c r="AM43">
        <f>Tabel2[[#This Row],[bruisend liter]]</f>
        <v>49</v>
      </c>
      <c r="AN43">
        <f>Tabel24[[#This Row],[Stand Bruisend liter einde maand]]-Tabel24[[#This Row],[Stand Bruisend liter vorige maand]]</f>
        <v>27.5</v>
      </c>
      <c r="AO43" s="2">
        <f>Tabel24[[#This Row],[Verbruik Bruisend liter deze maand]]/0.15</f>
        <v>183.33333333333334</v>
      </c>
      <c r="AP43" s="25">
        <v>29.5</v>
      </c>
      <c r="AQ43">
        <f>Tabel2[[#This Row],[licht bruisend liter]]</f>
        <v>20.8</v>
      </c>
      <c r="AR43">
        <f>Tabel24[[#This Row],[Stand licht bruisend liter einde maand]]-Tabel24[[#This Row],[Stand licht bruisend liter vorige maand]]</f>
        <v>8.6999999999999993</v>
      </c>
      <c r="AS43" s="2">
        <f>Tabel24[[#This Row],[Verbruik licht bruisend liter deze maand]]/0.15</f>
        <v>58</v>
      </c>
      <c r="AT43" s="25">
        <v>448.9</v>
      </c>
      <c r="AU43">
        <f>Tabel2[[#This Row],[heet water liter]]</f>
        <v>281.89999999999998</v>
      </c>
      <c r="AV43">
        <f>Tabel24[[#This Row],[Stand heet water liter einde maand]]-Tabel24[[#This Row],[Stand heet water liter vorige maand]]</f>
        <v>167</v>
      </c>
      <c r="AW43" s="20">
        <f>Tabel24[[#This Row],[Verbruik heet Water liter deze maand ]]/0.15</f>
        <v>1113.3333333333335</v>
      </c>
      <c r="AX43" s="4">
        <f>Tabel24[[#This Row],[Aantal consumpties heet water deze maand]]+Tabel24[[#This Row],[Aantal consumpties licht bruisend water deze maand]]+Tabel24[[#This Row],[aantal consumpties Bruisend water deze maand]]+Tabel24[[#This Row],[Aantal consumpties gekoeld water deze maand]]+Tabel24[[#This Row],[Aantal consumpties Kamertemp deze maand]]</f>
        <v>1681.3333333333335</v>
      </c>
      <c r="AY43" s="4">
        <f>Tabel24[[#This Row],[Subtotaal waterbar in consumpties]]+Tabel24[[#This Row],[Subtotaal koffieautomaten]]</f>
        <v>1681.3333333333335</v>
      </c>
    </row>
    <row r="44" spans="1:51" x14ac:dyDescent="0.25">
      <c r="A44" t="s">
        <v>48</v>
      </c>
      <c r="B44" t="s">
        <v>93</v>
      </c>
      <c r="C44" t="s">
        <v>31</v>
      </c>
      <c r="E44" s="25">
        <v>1092</v>
      </c>
      <c r="F44">
        <f>Tabel2[[#This Row],[Coffee]]</f>
        <v>437</v>
      </c>
      <c r="G44" s="12">
        <f>Tabel24[[#This Row],[Stand Coffee einde maand]]-Tabel24[[#This Row],[Coffee vorige maand]]</f>
        <v>655</v>
      </c>
      <c r="H44" s="25">
        <v>282</v>
      </c>
      <c r="I44">
        <f>Tabel2[[#This Row],[Espresso]]</f>
        <v>99</v>
      </c>
      <c r="J44" s="12">
        <f>Tabel24[[#This Row],[Stand Espresso Einde maand]]-Tabel24[[#This Row],[Espresso vorige maand]]</f>
        <v>183</v>
      </c>
      <c r="K44" s="25">
        <v>127</v>
      </c>
      <c r="L44">
        <f>Tabel2[[#This Row],[Latte Macchiato]]</f>
        <v>50</v>
      </c>
      <c r="M44">
        <f>Tabel24[[#This Row],[Stand Latte Macchiato einde maand]]-Tabel24[[#This Row],[Latte Macchiato vorige maand]]</f>
        <v>77</v>
      </c>
      <c r="N44" s="25">
        <v>34</v>
      </c>
      <c r="O44">
        <f>Tabel2[[#This Row],[Coffee Latte]]</f>
        <v>19</v>
      </c>
      <c r="P44">
        <f>Tabel24[[#This Row],[Stand Coffee Latte einde maand]]-Tabel24[[#This Row],[Coffee Latte vorige maand]]</f>
        <v>15</v>
      </c>
      <c r="Q44" s="25">
        <v>1430</v>
      </c>
      <c r="R44">
        <f>Tabel2[[#This Row],[Hot Water]]</f>
        <v>499</v>
      </c>
      <c r="S44">
        <f>Tabel24[[#This Row],[Stand Hot Water einde maand]]-Tabel24[[#This Row],[Hot Water vorige maand]]</f>
        <v>931</v>
      </c>
      <c r="T44" s="25">
        <v>556</v>
      </c>
      <c r="U44">
        <f>Tabel2[[#This Row],[Cappucino]]</f>
        <v>209</v>
      </c>
      <c r="V44">
        <f>Tabel24[[#This Row],[Stand Cappucino einde maand]]-Tabel24[[#This Row],[Stand Cappucino vorige maand]]</f>
        <v>347</v>
      </c>
      <c r="W44" s="25">
        <v>104</v>
      </c>
      <c r="X44">
        <f>Tabel2[[#This Row],[Cappucino Plantaardig]]</f>
        <v>51</v>
      </c>
      <c r="Y44">
        <f>Tabel24[[#This Row],[Stand Cappucino Plantaardig einde maand]]-Tabel24[[#This Row],[Stand Cappucino Plantaardig vorige maand]]</f>
        <v>53</v>
      </c>
      <c r="Z44" s="25">
        <v>69</v>
      </c>
      <c r="AA44">
        <f>Tabel2[[#This Row],[Latte Macchiato Plantaardig]]</f>
        <v>12</v>
      </c>
      <c r="AB44" s="12">
        <f>Tabel24[[#This Row],[Stand Latte Macchiato Plantaardig einde maand]]-Tabel24[[#This Row],[Stand Latte Macchiato Plantaardig vorige maand]]</f>
        <v>57</v>
      </c>
      <c r="AC44" s="3">
        <f>Tabel24[[#This Row],[Verbruik Stand Latte Macchiato Plantaardig deze maand]]+Tabel24[[#This Row],[Verbruik  Cappucino Plantaardig deze maand]]+Tabel24[[#This Row],[Verbruik Cappucino deze maand]]+Tabel24[[#This Row],[Verbruik Hot Water deze maand]]+Tabel24[[#This Row],[Verbruik Coffee Latte deze maand]]+Tabel24[[#This Row],[Verbruik Latte Macchiato deze maand]]+Tabel24[[#This Row],[Verbruik Espresso deze maand]]+Tabel24[[#This Row],[Verbruik Coffee deze maand]]</f>
        <v>2318</v>
      </c>
      <c r="AD44" s="26"/>
      <c r="AE44" s="5"/>
      <c r="AF44" s="5"/>
      <c r="AG44" s="7"/>
      <c r="AH44" s="26"/>
      <c r="AI44" s="5"/>
      <c r="AJ44" s="5"/>
      <c r="AK44" s="7"/>
      <c r="AL44" s="26"/>
      <c r="AM44" s="5"/>
      <c r="AN44" s="5"/>
      <c r="AO44" s="7"/>
      <c r="AP44" s="26"/>
      <c r="AQ44" s="5"/>
      <c r="AR44" s="5"/>
      <c r="AS44" s="7"/>
      <c r="AT44" s="26"/>
      <c r="AU44" s="5"/>
      <c r="AV44" s="5"/>
      <c r="AW44" s="21"/>
      <c r="AX44" s="8"/>
      <c r="AY44" s="4">
        <f>Tabel24[[#This Row],[Subtotaal waterbar in consumpties]]+Tabel24[[#This Row],[Subtotaal koffieautomaten]]</f>
        <v>2318</v>
      </c>
    </row>
    <row r="45" spans="1:51" x14ac:dyDescent="0.25">
      <c r="A45" t="s">
        <v>50</v>
      </c>
      <c r="B45" t="s">
        <v>93</v>
      </c>
      <c r="C45" t="s">
        <v>36</v>
      </c>
      <c r="E45" s="26"/>
      <c r="F45" s="5"/>
      <c r="G45" s="16"/>
      <c r="H45" s="26"/>
      <c r="I45" s="5"/>
      <c r="J45" s="16"/>
      <c r="K45" s="26"/>
      <c r="L45" s="5"/>
      <c r="M45" s="5"/>
      <c r="N45" s="26"/>
      <c r="O45" s="5"/>
      <c r="P45" s="5"/>
      <c r="Q45" s="26"/>
      <c r="R45" s="5"/>
      <c r="S45" s="5"/>
      <c r="T45" s="26"/>
      <c r="U45" s="5"/>
      <c r="V45" s="5"/>
      <c r="W45" s="26"/>
      <c r="X45" s="5"/>
      <c r="Y45" s="5"/>
      <c r="Z45" s="26"/>
      <c r="AA45" s="5"/>
      <c r="AB45" s="16"/>
      <c r="AC45" s="3">
        <f>Tabel24[[#This Row],[Verbruik Stand Latte Macchiato Plantaardig deze maand]]+Tabel24[[#This Row],[Verbruik  Cappucino Plantaardig deze maand]]+Tabel24[[#This Row],[Verbruik Cappucino deze maand]]+Tabel24[[#This Row],[Verbruik Hot Water deze maand]]+Tabel24[[#This Row],[Verbruik Coffee Latte deze maand]]+Tabel24[[#This Row],[Verbruik Latte Macchiato deze maand]]+Tabel24[[#This Row],[Verbruik Espresso deze maand]]+Tabel24[[#This Row],[Verbruik Coffee deze maand]]</f>
        <v>0</v>
      </c>
      <c r="AD45" s="25">
        <v>14.5</v>
      </c>
      <c r="AE45">
        <f>Tabel2[[#This Row],[kamertemp liter]]</f>
        <v>12.2</v>
      </c>
      <c r="AF45">
        <f>Tabel24[[#This Row],[Stand Kamertemp liter einde maand]]-Tabel24[[#This Row],[Stand Kamertemp liter vorige maand]]</f>
        <v>2.3000000000000007</v>
      </c>
      <c r="AG45" s="2">
        <f>Tabel24[[#This Row],[Verbruik Kamertemp liter deze maand]]/0.15</f>
        <v>15.333333333333339</v>
      </c>
      <c r="AH45" s="25">
        <v>65.2</v>
      </c>
      <c r="AI45">
        <f>Tabel2[[#This Row],[gekoeld liter]]</f>
        <v>35.299999999999997</v>
      </c>
      <c r="AJ45">
        <f>Tabel24[[#This Row],[Stand Gekoeld liter einde maand]]-Tabel24[[#This Row],[Stand Gekoeld liter vorige maand]]</f>
        <v>29.900000000000006</v>
      </c>
      <c r="AK45" s="2">
        <f>Tabel24[[#This Row],[Verbruik Gekoeld liter deze maand]]/0.15</f>
        <v>199.33333333333337</v>
      </c>
      <c r="AL45" s="25">
        <v>95.9</v>
      </c>
      <c r="AM45">
        <f>Tabel2[[#This Row],[bruisend liter]]</f>
        <v>65</v>
      </c>
      <c r="AN45">
        <f>Tabel24[[#This Row],[Stand Bruisend liter einde maand]]-Tabel24[[#This Row],[Stand Bruisend liter vorige maand]]</f>
        <v>30.900000000000006</v>
      </c>
      <c r="AO45" s="2">
        <f>Tabel24[[#This Row],[Verbruik Bruisend liter deze maand]]/0.15</f>
        <v>206.00000000000006</v>
      </c>
      <c r="AP45" s="25">
        <v>58.5</v>
      </c>
      <c r="AQ45">
        <f>Tabel2[[#This Row],[licht bruisend liter]]</f>
        <v>39.9</v>
      </c>
      <c r="AR45">
        <f>Tabel24[[#This Row],[Stand licht bruisend liter einde maand]]-Tabel24[[#This Row],[Stand licht bruisend liter vorige maand]]</f>
        <v>18.600000000000001</v>
      </c>
      <c r="AS45" s="2">
        <f>Tabel24[[#This Row],[Verbruik licht bruisend liter deze maand]]/0.15</f>
        <v>124.00000000000001</v>
      </c>
      <c r="AT45" s="25">
        <v>466</v>
      </c>
      <c r="AU45">
        <f>Tabel2[[#This Row],[heet water liter]]</f>
        <v>282.39999999999998</v>
      </c>
      <c r="AV45">
        <f>Tabel24[[#This Row],[Stand heet water liter einde maand]]-Tabel24[[#This Row],[Stand heet water liter vorige maand]]</f>
        <v>183.60000000000002</v>
      </c>
      <c r="AW45" s="20">
        <f>Tabel24[[#This Row],[Verbruik heet Water liter deze maand ]]/0.15</f>
        <v>1224.0000000000002</v>
      </c>
      <c r="AX45" s="4">
        <f>Tabel24[[#This Row],[Aantal consumpties heet water deze maand]]+Tabel24[[#This Row],[Aantal consumpties licht bruisend water deze maand]]+Tabel24[[#This Row],[aantal consumpties Bruisend water deze maand]]+Tabel24[[#This Row],[Aantal consumpties gekoeld water deze maand]]+Tabel24[[#This Row],[Aantal consumpties Kamertemp deze maand]]</f>
        <v>1768.6666666666667</v>
      </c>
      <c r="AY45" s="4">
        <f>Tabel24[[#This Row],[Subtotaal waterbar in consumpties]]+Tabel24[[#This Row],[Subtotaal koffieautomaten]]</f>
        <v>1768.6666666666667</v>
      </c>
    </row>
    <row r="46" spans="1:51" x14ac:dyDescent="0.25">
      <c r="A46" t="s">
        <v>52</v>
      </c>
      <c r="B46" t="s">
        <v>94</v>
      </c>
      <c r="C46" t="s">
        <v>31</v>
      </c>
      <c r="E46" s="25">
        <v>591</v>
      </c>
      <c r="F46">
        <f>Tabel2[[#This Row],[Coffee]]</f>
        <v>212</v>
      </c>
      <c r="G46" s="12">
        <f>Tabel24[[#This Row],[Stand Coffee einde maand]]-Tabel24[[#This Row],[Coffee vorige maand]]</f>
        <v>379</v>
      </c>
      <c r="H46" s="25">
        <v>331</v>
      </c>
      <c r="I46">
        <f>Tabel2[[#This Row],[Espresso]]</f>
        <v>96</v>
      </c>
      <c r="J46" s="12">
        <f>Tabel24[[#This Row],[Stand Espresso Einde maand]]-Tabel24[[#This Row],[Espresso vorige maand]]</f>
        <v>235</v>
      </c>
      <c r="K46" s="25">
        <v>69</v>
      </c>
      <c r="L46">
        <f>Tabel2[[#This Row],[Latte Macchiato]]</f>
        <v>18</v>
      </c>
      <c r="M46">
        <f>Tabel24[[#This Row],[Stand Latte Macchiato einde maand]]-Tabel24[[#This Row],[Latte Macchiato vorige maand]]</f>
        <v>51</v>
      </c>
      <c r="N46" s="25">
        <v>37</v>
      </c>
      <c r="O46">
        <f>Tabel2[[#This Row],[Coffee Latte]]</f>
        <v>6</v>
      </c>
      <c r="P46">
        <f>Tabel24[[#This Row],[Stand Coffee Latte einde maand]]-Tabel24[[#This Row],[Coffee Latte vorige maand]]</f>
        <v>31</v>
      </c>
      <c r="Q46" s="25">
        <v>1335</v>
      </c>
      <c r="R46">
        <f>Tabel2[[#This Row],[Hot Water]]</f>
        <v>455</v>
      </c>
      <c r="S46">
        <f>Tabel24[[#This Row],[Stand Hot Water einde maand]]-Tabel24[[#This Row],[Hot Water vorige maand]]</f>
        <v>880</v>
      </c>
      <c r="T46" s="25">
        <v>501</v>
      </c>
      <c r="U46">
        <f>Tabel2[[#This Row],[Cappucino]]</f>
        <v>158</v>
      </c>
      <c r="V46">
        <f>Tabel24[[#This Row],[Stand Cappucino einde maand]]-Tabel24[[#This Row],[Stand Cappucino vorige maand]]</f>
        <v>343</v>
      </c>
      <c r="W46" s="25">
        <v>75</v>
      </c>
      <c r="X46">
        <f>Tabel2[[#This Row],[Cappucino Plantaardig]]</f>
        <v>35</v>
      </c>
      <c r="Y46">
        <f>Tabel24[[#This Row],[Stand Cappucino Plantaardig einde maand]]-Tabel24[[#This Row],[Stand Cappucino Plantaardig vorige maand]]</f>
        <v>40</v>
      </c>
      <c r="Z46" s="25">
        <v>10</v>
      </c>
      <c r="AA46">
        <f>Tabel2[[#This Row],[Latte Macchiato Plantaardig]]</f>
        <v>4</v>
      </c>
      <c r="AB46" s="12">
        <f>Tabel24[[#This Row],[Stand Latte Macchiato Plantaardig einde maand]]-Tabel24[[#This Row],[Stand Latte Macchiato Plantaardig vorige maand]]</f>
        <v>6</v>
      </c>
      <c r="AC46" s="3">
        <f>Tabel24[[#This Row],[Verbruik Stand Latte Macchiato Plantaardig deze maand]]+Tabel24[[#This Row],[Verbruik  Cappucino Plantaardig deze maand]]+Tabel24[[#This Row],[Verbruik Cappucino deze maand]]+Tabel24[[#This Row],[Verbruik Hot Water deze maand]]+Tabel24[[#This Row],[Verbruik Coffee Latte deze maand]]+Tabel24[[#This Row],[Verbruik Latte Macchiato deze maand]]+Tabel24[[#This Row],[Verbruik Espresso deze maand]]+Tabel24[[#This Row],[Verbruik Coffee deze maand]]</f>
        <v>1965</v>
      </c>
      <c r="AD46" s="26"/>
      <c r="AE46" s="5"/>
      <c r="AF46" s="5"/>
      <c r="AG46" s="7"/>
      <c r="AH46" s="26"/>
      <c r="AI46" s="5"/>
      <c r="AJ46" s="5"/>
      <c r="AK46" s="7"/>
      <c r="AL46" s="26"/>
      <c r="AM46" s="5"/>
      <c r="AN46" s="5"/>
      <c r="AO46" s="7"/>
      <c r="AP46" s="26"/>
      <c r="AQ46" s="5"/>
      <c r="AR46" s="5"/>
      <c r="AS46" s="7"/>
      <c r="AT46" s="26"/>
      <c r="AU46" s="5"/>
      <c r="AV46" s="5"/>
      <c r="AW46" s="21"/>
      <c r="AX46" s="8">
        <f>Tabel24[[#This Row],[Aantal consumpties heet water deze maand]]+Tabel24[[#This Row],[Aantal consumpties licht bruisend water deze maand]]+Tabel24[[#This Row],[aantal consumpties Bruisend water deze maand]]+Tabel24[[#This Row],[Aantal consumpties gekoeld water deze maand]]+Tabel24[[#This Row],[Aantal consumpties Kamertemp deze maand]]</f>
        <v>0</v>
      </c>
      <c r="AY46" s="4">
        <f>Tabel24[[#This Row],[Subtotaal waterbar in consumpties]]+Tabel24[[#This Row],[Subtotaal koffieautomaten]]</f>
        <v>1965</v>
      </c>
    </row>
    <row r="47" spans="1:51" x14ac:dyDescent="0.25">
      <c r="A47" t="s">
        <v>54</v>
      </c>
      <c r="B47" t="s">
        <v>95</v>
      </c>
      <c r="C47" t="s">
        <v>47</v>
      </c>
      <c r="E47" s="25">
        <v>1079</v>
      </c>
      <c r="F47">
        <f>Tabel2[[#This Row],[Coffee]]</f>
        <v>666</v>
      </c>
      <c r="G47" s="12">
        <f>Tabel24[[#This Row],[Stand Coffee einde maand]]-Tabel24[[#This Row],[Coffee vorige maand]]</f>
        <v>413</v>
      </c>
      <c r="H47" s="25">
        <v>368</v>
      </c>
      <c r="I47">
        <f>Tabel2[[#This Row],[Espresso]]</f>
        <v>250</v>
      </c>
      <c r="J47" s="12">
        <f>Tabel24[[#This Row],[Stand Espresso Einde maand]]-Tabel24[[#This Row],[Espresso vorige maand]]</f>
        <v>118</v>
      </c>
      <c r="K47" s="25">
        <v>89</v>
      </c>
      <c r="L47">
        <f>Tabel2[[#This Row],[Latte Macchiato]]</f>
        <v>37</v>
      </c>
      <c r="M47">
        <f>Tabel24[[#This Row],[Stand Latte Macchiato einde maand]]-Tabel24[[#This Row],[Latte Macchiato vorige maand]]</f>
        <v>52</v>
      </c>
      <c r="N47" s="25">
        <v>99</v>
      </c>
      <c r="O47">
        <f>Tabel2[[#This Row],[Coffee Latte]]</f>
        <v>60</v>
      </c>
      <c r="P47">
        <f>Tabel24[[#This Row],[Stand Coffee Latte einde maand]]-Tabel24[[#This Row],[Coffee Latte vorige maand]]</f>
        <v>39</v>
      </c>
      <c r="Q47" s="25">
        <v>0</v>
      </c>
      <c r="R47">
        <f>Tabel2[[#This Row],[Hot Water]]</f>
        <v>0</v>
      </c>
      <c r="S47">
        <f>Tabel24[[#This Row],[Stand Hot Water einde maand]]-Tabel24[[#This Row],[Hot Water vorige maand]]</f>
        <v>0</v>
      </c>
      <c r="T47" s="25">
        <v>494</v>
      </c>
      <c r="U47">
        <f>Tabel2[[#This Row],[Cappucino]]</f>
        <v>331</v>
      </c>
      <c r="V47">
        <f>Tabel24[[#This Row],[Stand Cappucino einde maand]]-Tabel24[[#This Row],[Stand Cappucino vorige maand]]</f>
        <v>163</v>
      </c>
      <c r="W47" s="25">
        <v>171</v>
      </c>
      <c r="X47">
        <f>Tabel2[[#This Row],[Cappucino Plantaardig]]</f>
        <v>102</v>
      </c>
      <c r="Y47">
        <f>Tabel24[[#This Row],[Stand Cappucino Plantaardig einde maand]]-Tabel24[[#This Row],[Stand Cappucino Plantaardig vorige maand]]</f>
        <v>69</v>
      </c>
      <c r="Z47" s="25">
        <v>114</v>
      </c>
      <c r="AA47">
        <f>Tabel2[[#This Row],[Latte Macchiato Plantaardig]]</f>
        <v>54</v>
      </c>
      <c r="AB47" s="12">
        <f>Tabel24[[#This Row],[Stand Latte Macchiato Plantaardig einde maand]]-Tabel24[[#This Row],[Stand Latte Macchiato Plantaardig vorige maand]]</f>
        <v>60</v>
      </c>
      <c r="AC47" s="3">
        <f>Tabel24[[#This Row],[Verbruik Stand Latte Macchiato Plantaardig deze maand]]+Tabel24[[#This Row],[Verbruik  Cappucino Plantaardig deze maand]]+Tabel24[[#This Row],[Verbruik Cappucino deze maand]]+Tabel24[[#This Row],[Verbruik Hot Water deze maand]]+Tabel24[[#This Row],[Verbruik Coffee Latte deze maand]]+Tabel24[[#This Row],[Verbruik Latte Macchiato deze maand]]+Tabel24[[#This Row],[Verbruik Espresso deze maand]]+Tabel24[[#This Row],[Verbruik Coffee deze maand]]</f>
        <v>914</v>
      </c>
      <c r="AD47" s="25">
        <v>21.3</v>
      </c>
      <c r="AE47">
        <f>Tabel2[[#This Row],[kamertemp liter]]</f>
        <v>14.6</v>
      </c>
      <c r="AF47">
        <f>Tabel24[[#This Row],[Stand Kamertemp liter einde maand]]-Tabel24[[#This Row],[Stand Kamertemp liter vorige maand]]</f>
        <v>6.7000000000000011</v>
      </c>
      <c r="AG47" s="2">
        <f>Tabel24[[#This Row],[Verbruik Kamertemp liter deze maand]]/0.15</f>
        <v>44.666666666666679</v>
      </c>
      <c r="AH47" s="25">
        <v>83.6</v>
      </c>
      <c r="AI47">
        <f>Tabel2[[#This Row],[gekoeld liter]]</f>
        <v>42.1</v>
      </c>
      <c r="AJ47">
        <f>Tabel24[[#This Row],[Stand Gekoeld liter einde maand]]-Tabel24[[#This Row],[Stand Gekoeld liter vorige maand]]</f>
        <v>41.499999999999993</v>
      </c>
      <c r="AK47" s="2">
        <f>Tabel24[[#This Row],[Verbruik Gekoeld liter deze maand]]/0.15</f>
        <v>276.66666666666663</v>
      </c>
      <c r="AL47" s="25">
        <v>148.5</v>
      </c>
      <c r="AM47">
        <f>Tabel2[[#This Row],[bruisend liter]]</f>
        <v>99.6</v>
      </c>
      <c r="AN47">
        <f>Tabel24[[#This Row],[Stand Bruisend liter einde maand]]-Tabel24[[#This Row],[Stand Bruisend liter vorige maand]]</f>
        <v>48.900000000000006</v>
      </c>
      <c r="AO47" s="2">
        <f>Tabel24[[#This Row],[Verbruik Bruisend liter deze maand]]/0.15</f>
        <v>326.00000000000006</v>
      </c>
      <c r="AP47" s="25">
        <v>70.7</v>
      </c>
      <c r="AQ47">
        <f>Tabel2[[#This Row],[licht bruisend liter]]</f>
        <v>57.7</v>
      </c>
      <c r="AR47">
        <f>Tabel24[[#This Row],[Stand licht bruisend liter einde maand]]-Tabel24[[#This Row],[Stand licht bruisend liter vorige maand]]</f>
        <v>13</v>
      </c>
      <c r="AS47" s="2">
        <f>Tabel24[[#This Row],[Verbruik licht bruisend liter deze maand]]/0.15</f>
        <v>86.666666666666671</v>
      </c>
      <c r="AT47" s="25">
        <v>488.2</v>
      </c>
      <c r="AU47">
        <f>Tabel2[[#This Row],[heet water liter]]</f>
        <v>328.9</v>
      </c>
      <c r="AV47">
        <f>Tabel24[[#This Row],[Stand heet water liter einde maand]]-Tabel24[[#This Row],[Stand heet water liter vorige maand]]</f>
        <v>159.30000000000001</v>
      </c>
      <c r="AW47" s="20">
        <f>Tabel24[[#This Row],[Verbruik heet Water liter deze maand ]]/0.15</f>
        <v>1062.0000000000002</v>
      </c>
      <c r="AX47" s="4">
        <f>Tabel24[[#This Row],[Aantal consumpties heet water deze maand]]+Tabel24[[#This Row],[Aantal consumpties licht bruisend water deze maand]]+Tabel24[[#This Row],[aantal consumpties Bruisend water deze maand]]+Tabel24[[#This Row],[Aantal consumpties gekoeld water deze maand]]+Tabel24[[#This Row],[Aantal consumpties Kamertemp deze maand]]</f>
        <v>1796.0000000000002</v>
      </c>
      <c r="AY47" s="4">
        <f>Tabel24[[#This Row],[Subtotaal waterbar in consumpties]]+Tabel24[[#This Row],[Subtotaal koffieautomaten]]</f>
        <v>2710</v>
      </c>
    </row>
    <row r="48" spans="1:51" x14ac:dyDescent="0.25">
      <c r="A48" t="s">
        <v>56</v>
      </c>
      <c r="B48" t="s">
        <v>96</v>
      </c>
      <c r="C48" t="s">
        <v>36</v>
      </c>
      <c r="E48" s="26"/>
      <c r="F48" s="5"/>
      <c r="G48" s="16"/>
      <c r="H48" s="26"/>
      <c r="I48" s="5"/>
      <c r="J48" s="16"/>
      <c r="K48" s="26"/>
      <c r="L48" s="5"/>
      <c r="M48" s="5"/>
      <c r="N48" s="26"/>
      <c r="O48" s="5"/>
      <c r="P48" s="5"/>
      <c r="Q48" s="26"/>
      <c r="R48" s="5"/>
      <c r="S48" s="5"/>
      <c r="T48" s="26"/>
      <c r="U48" s="5"/>
      <c r="V48" s="5"/>
      <c r="W48" s="26"/>
      <c r="X48" s="5"/>
      <c r="Y48" s="5"/>
      <c r="Z48" s="26"/>
      <c r="AA48" s="5"/>
      <c r="AB48" s="16"/>
      <c r="AC48" s="3">
        <f>Tabel24[[#This Row],[Verbruik Stand Latte Macchiato Plantaardig deze maand]]+Tabel24[[#This Row],[Verbruik  Cappucino Plantaardig deze maand]]+Tabel24[[#This Row],[Verbruik Cappucino deze maand]]+Tabel24[[#This Row],[Verbruik Hot Water deze maand]]+Tabel24[[#This Row],[Verbruik Coffee Latte deze maand]]+Tabel24[[#This Row],[Verbruik Latte Macchiato deze maand]]+Tabel24[[#This Row],[Verbruik Espresso deze maand]]+Tabel24[[#This Row],[Verbruik Coffee deze maand]]</f>
        <v>0</v>
      </c>
      <c r="AD48" s="25">
        <v>20.100000000000001</v>
      </c>
      <c r="AE48">
        <f>Tabel2[[#This Row],[kamertemp liter]]</f>
        <v>13.4</v>
      </c>
      <c r="AF48">
        <f>Tabel24[[#This Row],[Stand Kamertemp liter einde maand]]-Tabel24[[#This Row],[Stand Kamertemp liter vorige maand]]</f>
        <v>6.7000000000000011</v>
      </c>
      <c r="AG48" s="2">
        <f>Tabel24[[#This Row],[Verbruik Kamertemp liter deze maand]]/0.15</f>
        <v>44.666666666666679</v>
      </c>
      <c r="AH48" s="25">
        <v>151.5</v>
      </c>
      <c r="AI48">
        <f>Tabel2[[#This Row],[gekoeld liter]]</f>
        <v>86.6</v>
      </c>
      <c r="AJ48">
        <f>Tabel24[[#This Row],[Stand Gekoeld liter einde maand]]-Tabel24[[#This Row],[Stand Gekoeld liter vorige maand]]</f>
        <v>64.900000000000006</v>
      </c>
      <c r="AK48" s="2">
        <f>Tabel24[[#This Row],[Verbruik Gekoeld liter deze maand]]/0.15</f>
        <v>432.66666666666674</v>
      </c>
      <c r="AL48" s="25">
        <v>100.6</v>
      </c>
      <c r="AM48">
        <f>Tabel2[[#This Row],[bruisend liter]]</f>
        <v>67.7</v>
      </c>
      <c r="AN48">
        <f>Tabel24[[#This Row],[Stand Bruisend liter einde maand]]-Tabel24[[#This Row],[Stand Bruisend liter vorige maand]]</f>
        <v>32.899999999999991</v>
      </c>
      <c r="AO48" s="2">
        <f>Tabel24[[#This Row],[Verbruik Bruisend liter deze maand]]/0.15</f>
        <v>219.33333333333329</v>
      </c>
      <c r="AP48" s="25">
        <v>93</v>
      </c>
      <c r="AQ48">
        <f>Tabel2[[#This Row],[licht bruisend liter]]</f>
        <v>67.900000000000006</v>
      </c>
      <c r="AR48">
        <f>Tabel24[[#This Row],[Stand licht bruisend liter einde maand]]-Tabel24[[#This Row],[Stand licht bruisend liter vorige maand]]</f>
        <v>25.099999999999994</v>
      </c>
      <c r="AS48" s="2">
        <f>Tabel24[[#This Row],[Verbruik licht bruisend liter deze maand]]/0.15</f>
        <v>167.33333333333331</v>
      </c>
      <c r="AT48" s="25">
        <v>898</v>
      </c>
      <c r="AU48">
        <f>Tabel2[[#This Row],[heet water liter]]</f>
        <v>566.5</v>
      </c>
      <c r="AV48">
        <f>Tabel24[[#This Row],[Stand heet water liter einde maand]]-Tabel24[[#This Row],[Stand heet water liter vorige maand]]</f>
        <v>331.5</v>
      </c>
      <c r="AW48" s="20">
        <f>Tabel24[[#This Row],[Verbruik heet Water liter deze maand ]]/0.15</f>
        <v>2210</v>
      </c>
      <c r="AX48" s="4">
        <f>Tabel24[[#This Row],[Aantal consumpties heet water deze maand]]+Tabel24[[#This Row],[Aantal consumpties licht bruisend water deze maand]]+Tabel24[[#This Row],[aantal consumpties Bruisend water deze maand]]+Tabel24[[#This Row],[Aantal consumpties gekoeld water deze maand]]+Tabel24[[#This Row],[Aantal consumpties Kamertemp deze maand]]</f>
        <v>3074.0000000000005</v>
      </c>
      <c r="AY48" s="4">
        <f>Tabel24[[#This Row],[Subtotaal waterbar in consumpties]]+Tabel24[[#This Row],[Subtotaal koffieautomaten]]</f>
        <v>3074.0000000000005</v>
      </c>
    </row>
    <row r="49" spans="1:51" x14ac:dyDescent="0.25">
      <c r="A49" t="s">
        <v>58</v>
      </c>
      <c r="B49" t="s">
        <v>97</v>
      </c>
      <c r="C49" t="s">
        <v>31</v>
      </c>
      <c r="E49" s="25">
        <v>1010</v>
      </c>
      <c r="F49">
        <f>Tabel2[[#This Row],[Coffee]]</f>
        <v>576</v>
      </c>
      <c r="G49" s="12">
        <f>Tabel24[[#This Row],[Stand Coffee einde maand]]-Tabel24[[#This Row],[Coffee vorige maand]]</f>
        <v>434</v>
      </c>
      <c r="H49" s="25">
        <v>190</v>
      </c>
      <c r="I49">
        <f>Tabel2[[#This Row],[Espresso]]</f>
        <v>115</v>
      </c>
      <c r="J49" s="12">
        <f>Tabel24[[#This Row],[Stand Espresso Einde maand]]-Tabel24[[#This Row],[Espresso vorige maand]]</f>
        <v>75</v>
      </c>
      <c r="K49" s="25">
        <v>80</v>
      </c>
      <c r="L49">
        <f>Tabel2[[#This Row],[Latte Macchiato]]</f>
        <v>42</v>
      </c>
      <c r="M49">
        <f>Tabel24[[#This Row],[Stand Latte Macchiato einde maand]]-Tabel24[[#This Row],[Latte Macchiato vorige maand]]</f>
        <v>38</v>
      </c>
      <c r="N49" s="25">
        <v>108</v>
      </c>
      <c r="O49">
        <f>Tabel2[[#This Row],[Coffee Latte]]</f>
        <v>59</v>
      </c>
      <c r="P49">
        <f>Tabel24[[#This Row],[Stand Coffee Latte einde maand]]-Tabel24[[#This Row],[Coffee Latte vorige maand]]</f>
        <v>49</v>
      </c>
      <c r="Q49" s="25">
        <v>998</v>
      </c>
      <c r="R49">
        <f>Tabel2[[#This Row],[Hot Water]]</f>
        <v>620</v>
      </c>
      <c r="S49">
        <f>Tabel24[[#This Row],[Stand Hot Water einde maand]]-Tabel24[[#This Row],[Hot Water vorige maand]]</f>
        <v>378</v>
      </c>
      <c r="T49" s="25">
        <v>517</v>
      </c>
      <c r="U49">
        <f>Tabel2[[#This Row],[Cappucino]]</f>
        <v>298</v>
      </c>
      <c r="V49">
        <f>Tabel24[[#This Row],[Stand Cappucino einde maand]]-Tabel24[[#This Row],[Stand Cappucino vorige maand]]</f>
        <v>219</v>
      </c>
      <c r="W49" s="25">
        <v>291</v>
      </c>
      <c r="X49">
        <f>Tabel2[[#This Row],[Cappucino Plantaardig]]</f>
        <v>167</v>
      </c>
      <c r="Y49">
        <f>Tabel24[[#This Row],[Stand Cappucino Plantaardig einde maand]]-Tabel24[[#This Row],[Stand Cappucino Plantaardig vorige maand]]</f>
        <v>124</v>
      </c>
      <c r="Z49" s="25">
        <v>79</v>
      </c>
      <c r="AA49">
        <f>Tabel2[[#This Row],[Latte Macchiato Plantaardig]]</f>
        <v>46</v>
      </c>
      <c r="AB49" s="12">
        <f>Tabel24[[#This Row],[Stand Latte Macchiato Plantaardig einde maand]]-Tabel24[[#This Row],[Stand Latte Macchiato Plantaardig vorige maand]]</f>
        <v>33</v>
      </c>
      <c r="AC49" s="3">
        <f>Tabel24[[#This Row],[Verbruik Stand Latte Macchiato Plantaardig deze maand]]+Tabel24[[#This Row],[Verbruik  Cappucino Plantaardig deze maand]]+Tabel24[[#This Row],[Verbruik Cappucino deze maand]]+Tabel24[[#This Row],[Verbruik Hot Water deze maand]]+Tabel24[[#This Row],[Verbruik Coffee Latte deze maand]]+Tabel24[[#This Row],[Verbruik Latte Macchiato deze maand]]+Tabel24[[#This Row],[Verbruik Espresso deze maand]]+Tabel24[[#This Row],[Verbruik Coffee deze maand]]</f>
        <v>1350</v>
      </c>
      <c r="AD49" s="26"/>
      <c r="AE49" s="5"/>
      <c r="AF49" s="5"/>
      <c r="AG49" s="7"/>
      <c r="AH49" s="26"/>
      <c r="AI49" s="5"/>
      <c r="AJ49" s="5"/>
      <c r="AK49" s="7"/>
      <c r="AL49" s="26"/>
      <c r="AM49" s="5"/>
      <c r="AN49" s="5"/>
      <c r="AO49" s="7"/>
      <c r="AP49" s="26"/>
      <c r="AQ49" s="5"/>
      <c r="AR49" s="5"/>
      <c r="AS49" s="7"/>
      <c r="AT49" s="26"/>
      <c r="AU49" s="5"/>
      <c r="AV49" s="5"/>
      <c r="AW49" s="21"/>
      <c r="AX49" s="8">
        <f>Tabel24[[#This Row],[Aantal consumpties heet water deze maand]]+Tabel24[[#This Row],[Aantal consumpties licht bruisend water deze maand]]+Tabel24[[#This Row],[aantal consumpties Bruisend water deze maand]]+Tabel24[[#This Row],[Aantal consumpties gekoeld water deze maand]]+Tabel24[[#This Row],[Aantal consumpties Kamertemp deze maand]]</f>
        <v>0</v>
      </c>
      <c r="AY49" s="4">
        <f>Tabel24[[#This Row],[Subtotaal waterbar in consumpties]]+Tabel24[[#This Row],[Subtotaal koffieautomaten]]</f>
        <v>1350</v>
      </c>
    </row>
    <row r="50" spans="1:51" x14ac:dyDescent="0.25">
      <c r="A50" t="s">
        <v>60</v>
      </c>
      <c r="B50" t="s">
        <v>98</v>
      </c>
      <c r="C50" t="s">
        <v>47</v>
      </c>
      <c r="E50" s="25">
        <v>347</v>
      </c>
      <c r="F50">
        <f>Tabel2[[#This Row],[Coffee]]</f>
        <v>139</v>
      </c>
      <c r="G50" s="12">
        <f>Tabel24[[#This Row],[Stand Coffee einde maand]]-Tabel24[[#This Row],[Coffee vorige maand]]</f>
        <v>208</v>
      </c>
      <c r="H50" s="25">
        <v>122</v>
      </c>
      <c r="I50">
        <f>Tabel2[[#This Row],[Espresso]]</f>
        <v>45</v>
      </c>
      <c r="J50" s="12">
        <f>Tabel24[[#This Row],[Stand Espresso Einde maand]]-Tabel24[[#This Row],[Espresso vorige maand]]</f>
        <v>77</v>
      </c>
      <c r="K50" s="25">
        <v>44</v>
      </c>
      <c r="L50">
        <f>Tabel2[[#This Row],[Latte Macchiato]]</f>
        <v>5</v>
      </c>
      <c r="M50">
        <f>Tabel24[[#This Row],[Stand Latte Macchiato einde maand]]-Tabel24[[#This Row],[Latte Macchiato vorige maand]]</f>
        <v>39</v>
      </c>
      <c r="N50" s="25">
        <v>42</v>
      </c>
      <c r="O50">
        <f>Tabel2[[#This Row],[Coffee Latte]]</f>
        <v>14</v>
      </c>
      <c r="P50">
        <f>Tabel24[[#This Row],[Stand Coffee Latte einde maand]]-Tabel24[[#This Row],[Coffee Latte vorige maand]]</f>
        <v>28</v>
      </c>
      <c r="Q50" s="25">
        <v>1</v>
      </c>
      <c r="R50">
        <f>Tabel2[[#This Row],[Hot Water]]</f>
        <v>0</v>
      </c>
      <c r="S50">
        <f>Tabel24[[#This Row],[Stand Hot Water einde maand]]-Tabel24[[#This Row],[Hot Water vorige maand]]</f>
        <v>1</v>
      </c>
      <c r="T50" s="25">
        <v>207</v>
      </c>
      <c r="U50">
        <f>Tabel2[[#This Row],[Cappucino]]</f>
        <v>80</v>
      </c>
      <c r="V50">
        <f>Tabel24[[#This Row],[Stand Cappucino einde maand]]-Tabel24[[#This Row],[Stand Cappucino vorige maand]]</f>
        <v>127</v>
      </c>
      <c r="W50" s="25">
        <v>77</v>
      </c>
      <c r="X50">
        <f>Tabel2[[#This Row],[Cappucino Plantaardig]]</f>
        <v>29</v>
      </c>
      <c r="Y50">
        <f>Tabel24[[#This Row],[Stand Cappucino Plantaardig einde maand]]-Tabel24[[#This Row],[Stand Cappucino Plantaardig vorige maand]]</f>
        <v>48</v>
      </c>
      <c r="Z50" s="25">
        <v>30</v>
      </c>
      <c r="AA50">
        <f>Tabel2[[#This Row],[Latte Macchiato Plantaardig]]</f>
        <v>12</v>
      </c>
      <c r="AB50" s="12">
        <f>Tabel24[[#This Row],[Stand Latte Macchiato Plantaardig einde maand]]-Tabel24[[#This Row],[Stand Latte Macchiato Plantaardig vorige maand]]</f>
        <v>18</v>
      </c>
      <c r="AC50" s="3">
        <f>Tabel24[[#This Row],[Verbruik Stand Latte Macchiato Plantaardig deze maand]]+Tabel24[[#This Row],[Verbruik  Cappucino Plantaardig deze maand]]+Tabel24[[#This Row],[Verbruik Cappucino deze maand]]+Tabel24[[#This Row],[Verbruik Hot Water deze maand]]+Tabel24[[#This Row],[Verbruik Coffee Latte deze maand]]+Tabel24[[#This Row],[Verbruik Latte Macchiato deze maand]]+Tabel24[[#This Row],[Verbruik Espresso deze maand]]+Tabel24[[#This Row],[Verbruik Coffee deze maand]]</f>
        <v>546</v>
      </c>
      <c r="AD50" s="25">
        <v>21.5</v>
      </c>
      <c r="AE50">
        <f>Tabel2[[#This Row],[kamertemp liter]]</f>
        <v>16.7</v>
      </c>
      <c r="AF50">
        <f>Tabel24[[#This Row],[Stand Kamertemp liter einde maand]]-Tabel24[[#This Row],[Stand Kamertemp liter vorige maand]]</f>
        <v>4.8000000000000007</v>
      </c>
      <c r="AG50" s="2">
        <f>Tabel24[[#This Row],[Verbruik Kamertemp liter deze maand]]/0.15</f>
        <v>32.000000000000007</v>
      </c>
      <c r="AH50" s="25">
        <v>95.2</v>
      </c>
      <c r="AI50">
        <f>Tabel2[[#This Row],[gekoeld liter]]</f>
        <v>63</v>
      </c>
      <c r="AJ50">
        <f>Tabel24[[#This Row],[Stand Gekoeld liter einde maand]]-Tabel24[[#This Row],[Stand Gekoeld liter vorige maand]]</f>
        <v>32.200000000000003</v>
      </c>
      <c r="AK50" s="2">
        <f>Tabel24[[#This Row],[Verbruik Gekoeld liter deze maand]]/0.15</f>
        <v>214.66666666666669</v>
      </c>
      <c r="AL50" s="25">
        <v>75.7</v>
      </c>
      <c r="AM50">
        <f>Tabel2[[#This Row],[bruisend liter]]</f>
        <v>54.1</v>
      </c>
      <c r="AN50">
        <f>Tabel24[[#This Row],[Stand Bruisend liter einde maand]]-Tabel24[[#This Row],[Stand Bruisend liter vorige maand]]</f>
        <v>21.6</v>
      </c>
      <c r="AO50" s="2">
        <f>Tabel24[[#This Row],[Verbruik Bruisend liter deze maand]]/0.15</f>
        <v>144.00000000000003</v>
      </c>
      <c r="AP50" s="25">
        <v>40.9</v>
      </c>
      <c r="AQ50">
        <f>Tabel2[[#This Row],[licht bruisend liter]]</f>
        <v>29.5</v>
      </c>
      <c r="AR50">
        <f>Tabel24[[#This Row],[Stand licht bruisend liter einde maand]]-Tabel24[[#This Row],[Stand licht bruisend liter vorige maand]]</f>
        <v>11.399999999999999</v>
      </c>
      <c r="AS50" s="2">
        <f>Tabel24[[#This Row],[Verbruik licht bruisend liter deze maand]]/0.15</f>
        <v>76</v>
      </c>
      <c r="AT50" s="25">
        <v>413.7</v>
      </c>
      <c r="AU50">
        <f>Tabel2[[#This Row],[heet water liter]]</f>
        <v>253.6</v>
      </c>
      <c r="AV50">
        <f>Tabel24[[#This Row],[Stand heet water liter einde maand]]-Tabel24[[#This Row],[Stand heet water liter vorige maand]]</f>
        <v>160.1</v>
      </c>
      <c r="AW50" s="20">
        <f>Tabel24[[#This Row],[Verbruik heet Water liter deze maand ]]/0.15</f>
        <v>1067.3333333333333</v>
      </c>
      <c r="AX50" s="4">
        <f>Tabel24[[#This Row],[Aantal consumpties heet water deze maand]]+Tabel24[[#This Row],[Aantal consumpties licht bruisend water deze maand]]+Tabel24[[#This Row],[aantal consumpties Bruisend water deze maand]]+Tabel24[[#This Row],[Aantal consumpties gekoeld water deze maand]]+Tabel24[[#This Row],[Aantal consumpties Kamertemp deze maand]]</f>
        <v>1534</v>
      </c>
      <c r="AY50" s="4">
        <f>Tabel24[[#This Row],[Subtotaal waterbar in consumpties]]+Tabel24[[#This Row],[Subtotaal koffieautomaten]]</f>
        <v>2080</v>
      </c>
    </row>
    <row r="51" spans="1:51" x14ac:dyDescent="0.25">
      <c r="A51" s="3" t="s">
        <v>99</v>
      </c>
      <c r="E51" s="25"/>
      <c r="H51" s="25"/>
      <c r="J51" s="12"/>
      <c r="K51" s="25"/>
      <c r="N51" s="25"/>
      <c r="Q51" s="25"/>
      <c r="T51" s="25"/>
      <c r="W51" s="25"/>
      <c r="Z51" s="25"/>
      <c r="AC51" s="3">
        <f>Tabel24[[#This Row],[Verbruik Stand Latte Macchiato Plantaardig deze maand]]+Tabel24[[#This Row],[Verbruik  Cappucino Plantaardig deze maand]]+Tabel24[[#This Row],[Verbruik Cappucino deze maand]]+Tabel24[[#This Row],[Verbruik Hot Water deze maand]]+Tabel24[[#This Row],[Verbruik Coffee Latte deze maand]]+Tabel24[[#This Row],[Verbruik Latte Macchiato deze maand]]+Tabel24[[#This Row],[Verbruik Espresso deze maand]]+Tabel24[[#This Row],[Verbruik Coffee deze maand]]</f>
        <v>0</v>
      </c>
      <c r="AD51" s="25"/>
      <c r="AE51">
        <f>Tabel2[[#This Row],[kamertemp liter]]</f>
        <v>0</v>
      </c>
      <c r="AG51" s="2"/>
      <c r="AH51" s="25"/>
      <c r="AK51" s="2"/>
      <c r="AL51" s="25"/>
      <c r="AO51" s="2">
        <f>Tabel24[[#This Row],[Verbruik Bruisend liter deze maand]]/0.15</f>
        <v>0</v>
      </c>
      <c r="AP51" s="25"/>
      <c r="AS51" s="2"/>
      <c r="AT51" s="25"/>
      <c r="AW51" s="20"/>
      <c r="AX51" s="4"/>
      <c r="AY51" s="4">
        <f>Tabel24[[#This Row],[Subtotaal waterbar in consumpties]]+Tabel24[[#This Row],[Subtotaal koffieautomaten]]</f>
        <v>0</v>
      </c>
    </row>
    <row r="52" spans="1:51" x14ac:dyDescent="0.25">
      <c r="A52" t="s">
        <v>43</v>
      </c>
      <c r="B52" t="s">
        <v>100</v>
      </c>
      <c r="C52" t="s">
        <v>31</v>
      </c>
      <c r="E52" s="25">
        <v>459</v>
      </c>
      <c r="F52">
        <f>Tabel2[[#This Row],[Coffee]]</f>
        <v>174</v>
      </c>
      <c r="G52" s="12">
        <f>Tabel24[[#This Row],[Stand Coffee einde maand]]-Tabel24[[#This Row],[Coffee vorige maand]]</f>
        <v>285</v>
      </c>
      <c r="H52" s="25">
        <v>152</v>
      </c>
      <c r="I52">
        <f>Tabel2[[#This Row],[Espresso]]</f>
        <v>48</v>
      </c>
      <c r="J52" s="12">
        <f>Tabel24[[#This Row],[Stand Espresso Einde maand]]-Tabel24[[#This Row],[Espresso vorige maand]]</f>
        <v>104</v>
      </c>
      <c r="K52" s="25">
        <v>73</v>
      </c>
      <c r="L52">
        <f>Tabel2[[#This Row],[Latte Macchiato]]</f>
        <v>25</v>
      </c>
      <c r="M52">
        <f>Tabel24[[#This Row],[Stand Latte Macchiato einde maand]]-Tabel24[[#This Row],[Latte Macchiato vorige maand]]</f>
        <v>48</v>
      </c>
      <c r="N52" s="25">
        <v>42</v>
      </c>
      <c r="O52">
        <f>Tabel2[[#This Row],[Coffee Latte]]</f>
        <v>8</v>
      </c>
      <c r="P52">
        <f>Tabel24[[#This Row],[Stand Coffee Latte einde maand]]-Tabel24[[#This Row],[Coffee Latte vorige maand]]</f>
        <v>34</v>
      </c>
      <c r="Q52" s="25">
        <v>1577</v>
      </c>
      <c r="R52">
        <f>Tabel2[[#This Row],[Hot Water]]</f>
        <v>590</v>
      </c>
      <c r="S52">
        <f>Tabel24[[#This Row],[Stand Hot Water einde maand]]-Tabel24[[#This Row],[Hot Water vorige maand]]</f>
        <v>987</v>
      </c>
      <c r="T52" s="25">
        <v>145</v>
      </c>
      <c r="U52">
        <f>Tabel2[[#This Row],[Cappucino]]</f>
        <v>60</v>
      </c>
      <c r="V52">
        <f>Tabel24[[#This Row],[Stand Cappucino einde maand]]-Tabel24[[#This Row],[Stand Cappucino vorige maand]]</f>
        <v>85</v>
      </c>
      <c r="W52" s="25">
        <v>49</v>
      </c>
      <c r="X52">
        <f>Tabel2[[#This Row],[Cappucino Plantaardig]]</f>
        <v>18</v>
      </c>
      <c r="Y52">
        <f>Tabel24[[#This Row],[Stand Cappucino Plantaardig einde maand]]-Tabel24[[#This Row],[Stand Cappucino Plantaardig vorige maand]]</f>
        <v>31</v>
      </c>
      <c r="Z52" s="25">
        <v>35</v>
      </c>
      <c r="AA52">
        <f>Tabel2[[#This Row],[Latte Macchiato Plantaardig]]</f>
        <v>7</v>
      </c>
      <c r="AB52" s="12">
        <f>Tabel24[[#This Row],[Stand Latte Macchiato Plantaardig einde maand]]-Tabel24[[#This Row],[Stand Latte Macchiato Plantaardig vorige maand]]</f>
        <v>28</v>
      </c>
      <c r="AC52" s="3">
        <f>Tabel24[[#This Row],[Verbruik Stand Latte Macchiato Plantaardig deze maand]]+Tabel24[[#This Row],[Verbruik  Cappucino Plantaardig deze maand]]+Tabel24[[#This Row],[Verbruik Cappucino deze maand]]+Tabel24[[#This Row],[Verbruik Hot Water deze maand]]+Tabel24[[#This Row],[Verbruik Coffee Latte deze maand]]+Tabel24[[#This Row],[Verbruik Latte Macchiato deze maand]]+Tabel24[[#This Row],[Verbruik Espresso deze maand]]+Tabel24[[#This Row],[Verbruik Coffee deze maand]]</f>
        <v>1602</v>
      </c>
      <c r="AD52" s="26"/>
      <c r="AE52" s="5"/>
      <c r="AF52" s="5"/>
      <c r="AG52" s="7"/>
      <c r="AH52" s="26"/>
      <c r="AI52" s="5"/>
      <c r="AJ52" s="5"/>
      <c r="AK52" s="7"/>
      <c r="AL52" s="26"/>
      <c r="AM52" s="5"/>
      <c r="AN52" s="5"/>
      <c r="AO52" s="7"/>
      <c r="AP52" s="26"/>
      <c r="AQ52" s="5"/>
      <c r="AR52" s="5"/>
      <c r="AS52" s="7"/>
      <c r="AT52" s="26"/>
      <c r="AU52" s="5"/>
      <c r="AV52" s="5"/>
      <c r="AW52" s="21"/>
      <c r="AX52" s="8"/>
      <c r="AY52" s="4">
        <f>Tabel24[[#This Row],[Subtotaal waterbar in consumpties]]+Tabel24[[#This Row],[Subtotaal koffieautomaten]]</f>
        <v>1602</v>
      </c>
    </row>
    <row r="53" spans="1:51" x14ac:dyDescent="0.25">
      <c r="A53" t="s">
        <v>45</v>
      </c>
      <c r="B53" t="s">
        <v>101</v>
      </c>
      <c r="C53" t="s">
        <v>47</v>
      </c>
      <c r="E53" s="25">
        <v>709</v>
      </c>
      <c r="F53">
        <f>Tabel2[[#This Row],[Coffee]]</f>
        <v>384</v>
      </c>
      <c r="G53" s="12">
        <f>Tabel24[[#This Row],[Stand Coffee einde maand]]-Tabel24[[#This Row],[Coffee vorige maand]]</f>
        <v>325</v>
      </c>
      <c r="H53" s="25">
        <v>222</v>
      </c>
      <c r="I53">
        <f>Tabel2[[#This Row],[Espresso]]</f>
        <v>122</v>
      </c>
      <c r="J53" s="12">
        <f>Tabel24[[#This Row],[Stand Espresso Einde maand]]-Tabel24[[#This Row],[Espresso vorige maand]]</f>
        <v>100</v>
      </c>
      <c r="K53" s="25">
        <v>71</v>
      </c>
      <c r="L53">
        <f>Tabel2[[#This Row],[Latte Macchiato]]</f>
        <v>43</v>
      </c>
      <c r="M53">
        <f>Tabel24[[#This Row],[Stand Latte Macchiato einde maand]]-Tabel24[[#This Row],[Latte Macchiato vorige maand]]</f>
        <v>28</v>
      </c>
      <c r="N53" s="25">
        <v>27</v>
      </c>
      <c r="O53">
        <f>Tabel2[[#This Row],[Coffee Latte]]</f>
        <v>22</v>
      </c>
      <c r="P53">
        <f>Tabel24[[#This Row],[Stand Coffee Latte einde maand]]-Tabel24[[#This Row],[Coffee Latte vorige maand]]</f>
        <v>5</v>
      </c>
      <c r="Q53" s="25">
        <v>1</v>
      </c>
      <c r="R53">
        <f>Tabel2[[#This Row],[Hot Water]]</f>
        <v>0</v>
      </c>
      <c r="S53">
        <f>Tabel24[[#This Row],[Stand Hot Water einde maand]]-Tabel24[[#This Row],[Hot Water vorige maand]]</f>
        <v>1</v>
      </c>
      <c r="T53" s="25">
        <v>270</v>
      </c>
      <c r="U53">
        <f>Tabel2[[#This Row],[Cappucino]]</f>
        <v>170</v>
      </c>
      <c r="V53">
        <f>Tabel24[[#This Row],[Stand Cappucino einde maand]]-Tabel24[[#This Row],[Stand Cappucino vorige maand]]</f>
        <v>100</v>
      </c>
      <c r="W53" s="25">
        <v>86</v>
      </c>
      <c r="X53">
        <f>Tabel2[[#This Row],[Cappucino Plantaardig]]</f>
        <v>51</v>
      </c>
      <c r="Y53">
        <f>Tabel24[[#This Row],[Stand Cappucino Plantaardig einde maand]]-Tabel24[[#This Row],[Stand Cappucino Plantaardig vorige maand]]</f>
        <v>35</v>
      </c>
      <c r="Z53" s="25">
        <v>35</v>
      </c>
      <c r="AA53">
        <f>Tabel2[[#This Row],[Latte Macchiato Plantaardig]]</f>
        <v>17</v>
      </c>
      <c r="AB53" s="12">
        <f>Tabel24[[#This Row],[Stand Latte Macchiato Plantaardig einde maand]]-Tabel24[[#This Row],[Stand Latte Macchiato Plantaardig vorige maand]]</f>
        <v>18</v>
      </c>
      <c r="AC53" s="3">
        <f>Tabel24[[#This Row],[Verbruik Stand Latte Macchiato Plantaardig deze maand]]+Tabel24[[#This Row],[Verbruik  Cappucino Plantaardig deze maand]]+Tabel24[[#This Row],[Verbruik Cappucino deze maand]]+Tabel24[[#This Row],[Verbruik Hot Water deze maand]]+Tabel24[[#This Row],[Verbruik Coffee Latte deze maand]]+Tabel24[[#This Row],[Verbruik Latte Macchiato deze maand]]+Tabel24[[#This Row],[Verbruik Espresso deze maand]]+Tabel24[[#This Row],[Verbruik Coffee deze maand]]</f>
        <v>612</v>
      </c>
      <c r="AD53" s="25">
        <v>38.5</v>
      </c>
      <c r="AE53">
        <f>Tabel2[[#This Row],[kamertemp liter]]</f>
        <v>29</v>
      </c>
      <c r="AF53">
        <f>Tabel24[[#This Row],[Stand Kamertemp liter einde maand]]-Tabel24[[#This Row],[Stand Kamertemp liter vorige maand]]</f>
        <v>9.5</v>
      </c>
      <c r="AG53" s="2">
        <f>Tabel24[[#This Row],[Verbruik Kamertemp liter deze maand]]/0.15</f>
        <v>63.333333333333336</v>
      </c>
      <c r="AH53" s="25">
        <v>124.6</v>
      </c>
      <c r="AI53">
        <f>Tabel2[[#This Row],[gekoeld liter]]</f>
        <v>75.8</v>
      </c>
      <c r="AJ53">
        <f>Tabel24[[#This Row],[Stand Gekoeld liter einde maand]]-Tabel24[[#This Row],[Stand Gekoeld liter vorige maand]]</f>
        <v>48.8</v>
      </c>
      <c r="AK53" s="2">
        <f>Tabel24[[#This Row],[Verbruik Gekoeld liter deze maand]]/0.15</f>
        <v>325.33333333333331</v>
      </c>
      <c r="AL53" s="25">
        <v>188.9</v>
      </c>
      <c r="AM53">
        <f>Tabel2[[#This Row],[bruisend liter]]</f>
        <v>114.1</v>
      </c>
      <c r="AN53">
        <f>Tabel24[[#This Row],[Stand Bruisend liter einde maand]]-Tabel24[[#This Row],[Stand Bruisend liter vorige maand]]</f>
        <v>74.800000000000011</v>
      </c>
      <c r="AO53" s="2">
        <f>Tabel24[[#This Row],[Verbruik Bruisend liter deze maand]]/0.15</f>
        <v>498.66666666666674</v>
      </c>
      <c r="AP53" s="25">
        <v>65.099999999999994</v>
      </c>
      <c r="AQ53">
        <f>Tabel2[[#This Row],[licht bruisend liter]]</f>
        <v>43.5</v>
      </c>
      <c r="AR53">
        <f>Tabel24[[#This Row],[Stand licht bruisend liter einde maand]]-Tabel24[[#This Row],[Stand licht bruisend liter vorige maand]]</f>
        <v>21.599999999999994</v>
      </c>
      <c r="AS53" s="2">
        <f>Tabel24[[#This Row],[Verbruik licht bruisend liter deze maand]]/0.15</f>
        <v>143.99999999999997</v>
      </c>
      <c r="AT53" s="25">
        <v>639.79999999999995</v>
      </c>
      <c r="AU53">
        <f>Tabel2[[#This Row],[heet water liter]]</f>
        <v>432.8</v>
      </c>
      <c r="AV53">
        <f>Tabel24[[#This Row],[Stand heet water liter einde maand]]-Tabel24[[#This Row],[Stand heet water liter vorige maand]]</f>
        <v>206.99999999999994</v>
      </c>
      <c r="AW53" s="20">
        <f>Tabel24[[#This Row],[Verbruik heet Water liter deze maand ]]/0.15</f>
        <v>1379.9999999999998</v>
      </c>
      <c r="AX53" s="4">
        <f>Tabel24[[#This Row],[Aantal consumpties heet water deze maand]]+Tabel24[[#This Row],[Aantal consumpties licht bruisend water deze maand]]+Tabel24[[#This Row],[aantal consumpties Bruisend water deze maand]]+Tabel24[[#This Row],[Aantal consumpties gekoeld water deze maand]]+Tabel24[[#This Row],[Aantal consumpties Kamertemp deze maand]]</f>
        <v>2411.3333333333335</v>
      </c>
      <c r="AY53" s="4">
        <f>Tabel24[[#This Row],[Subtotaal waterbar in consumpties]]+Tabel24[[#This Row],[Subtotaal koffieautomaten]]</f>
        <v>3023.3333333333335</v>
      </c>
    </row>
    <row r="54" spans="1:51" x14ac:dyDescent="0.25">
      <c r="A54" t="s">
        <v>48</v>
      </c>
      <c r="B54" t="s">
        <v>102</v>
      </c>
      <c r="C54" t="s">
        <v>31</v>
      </c>
      <c r="E54" s="25">
        <v>389</v>
      </c>
      <c r="F54">
        <f>Tabel2[[#This Row],[Coffee]]</f>
        <v>147</v>
      </c>
      <c r="G54" s="12">
        <f>Tabel24[[#This Row],[Stand Coffee einde maand]]-Tabel24[[#This Row],[Coffee vorige maand]]</f>
        <v>242</v>
      </c>
      <c r="H54" s="25">
        <v>26</v>
      </c>
      <c r="I54">
        <f>Tabel2[[#This Row],[Espresso]]</f>
        <v>10</v>
      </c>
      <c r="J54" s="12">
        <f>Tabel24[[#This Row],[Stand Espresso Einde maand]]-Tabel24[[#This Row],[Espresso vorige maand]]</f>
        <v>16</v>
      </c>
      <c r="K54" s="25">
        <v>25</v>
      </c>
      <c r="L54">
        <f>Tabel2[[#This Row],[Latte Macchiato]]</f>
        <v>8</v>
      </c>
      <c r="M54">
        <f>Tabel24[[#This Row],[Stand Latte Macchiato einde maand]]-Tabel24[[#This Row],[Latte Macchiato vorige maand]]</f>
        <v>17</v>
      </c>
      <c r="N54" s="25">
        <v>25</v>
      </c>
      <c r="O54">
        <f>Tabel2[[#This Row],[Coffee Latte]]</f>
        <v>9</v>
      </c>
      <c r="P54">
        <f>Tabel24[[#This Row],[Stand Coffee Latte einde maand]]-Tabel24[[#This Row],[Coffee Latte vorige maand]]</f>
        <v>16</v>
      </c>
      <c r="Q54" s="25">
        <v>990</v>
      </c>
      <c r="R54">
        <f>Tabel2[[#This Row],[Hot Water]]</f>
        <v>389</v>
      </c>
      <c r="S54">
        <f>Tabel24[[#This Row],[Stand Hot Water einde maand]]-Tabel24[[#This Row],[Hot Water vorige maand]]</f>
        <v>601</v>
      </c>
      <c r="T54" s="25">
        <v>160</v>
      </c>
      <c r="U54">
        <f>Tabel2[[#This Row],[Cappucino]]</f>
        <v>73</v>
      </c>
      <c r="V54">
        <f>Tabel24[[#This Row],[Stand Cappucino einde maand]]-Tabel24[[#This Row],[Stand Cappucino vorige maand]]</f>
        <v>87</v>
      </c>
      <c r="W54" s="25">
        <v>165</v>
      </c>
      <c r="X54">
        <f>Tabel2[[#This Row],[Cappucino Plantaardig]]</f>
        <v>48</v>
      </c>
      <c r="Y54">
        <f>Tabel24[[#This Row],[Stand Cappucino Plantaardig einde maand]]-Tabel24[[#This Row],[Stand Cappucino Plantaardig vorige maand]]</f>
        <v>117</v>
      </c>
      <c r="Z54" s="25">
        <v>23</v>
      </c>
      <c r="AA54">
        <f>Tabel2[[#This Row],[Latte Macchiato Plantaardig]]</f>
        <v>6</v>
      </c>
      <c r="AB54" s="12">
        <f>Tabel24[[#This Row],[Stand Latte Macchiato Plantaardig einde maand]]-Tabel24[[#This Row],[Stand Latte Macchiato Plantaardig vorige maand]]</f>
        <v>17</v>
      </c>
      <c r="AC54" s="3">
        <f>Tabel24[[#This Row],[Verbruik Stand Latte Macchiato Plantaardig deze maand]]+Tabel24[[#This Row],[Verbruik  Cappucino Plantaardig deze maand]]+Tabel24[[#This Row],[Verbruik Cappucino deze maand]]+Tabel24[[#This Row],[Verbruik Hot Water deze maand]]+Tabel24[[#This Row],[Verbruik Coffee Latte deze maand]]+Tabel24[[#This Row],[Verbruik Latte Macchiato deze maand]]+Tabel24[[#This Row],[Verbruik Espresso deze maand]]+Tabel24[[#This Row],[Verbruik Coffee deze maand]]</f>
        <v>1113</v>
      </c>
      <c r="AD54" s="26"/>
      <c r="AE54" s="5"/>
      <c r="AF54" s="5"/>
      <c r="AG54" s="7"/>
      <c r="AH54" s="26"/>
      <c r="AI54" s="5"/>
      <c r="AJ54" s="5"/>
      <c r="AK54" s="7"/>
      <c r="AL54" s="26"/>
      <c r="AM54" s="5"/>
      <c r="AN54" s="5"/>
      <c r="AO54" s="7"/>
      <c r="AP54" s="26"/>
      <c r="AQ54" s="5"/>
      <c r="AR54" s="5"/>
      <c r="AS54" s="7"/>
      <c r="AT54" s="26"/>
      <c r="AU54" s="5"/>
      <c r="AV54" s="5"/>
      <c r="AW54" s="21"/>
      <c r="AX54" s="8"/>
      <c r="AY54" s="4">
        <f>Tabel24[[#This Row],[Subtotaal waterbar in consumpties]]+Tabel24[[#This Row],[Subtotaal koffieautomaten]]</f>
        <v>1113</v>
      </c>
    </row>
    <row r="55" spans="1:51" x14ac:dyDescent="0.25">
      <c r="A55" t="s">
        <v>50</v>
      </c>
      <c r="B55" t="s">
        <v>103</v>
      </c>
      <c r="C55" t="s">
        <v>47</v>
      </c>
      <c r="E55" s="25">
        <v>822</v>
      </c>
      <c r="F55">
        <f>Tabel2[[#This Row],[Coffee]]</f>
        <v>449</v>
      </c>
      <c r="G55" s="12">
        <f>Tabel24[[#This Row],[Stand Coffee einde maand]]-Tabel24[[#This Row],[Coffee vorige maand]]</f>
        <v>373</v>
      </c>
      <c r="H55" s="25">
        <v>722</v>
      </c>
      <c r="I55">
        <f>Tabel2[[#This Row],[Espresso]]</f>
        <v>441</v>
      </c>
      <c r="J55" s="12">
        <f>Tabel24[[#This Row],[Stand Espresso Einde maand]]-Tabel24[[#This Row],[Espresso vorige maand]]</f>
        <v>281</v>
      </c>
      <c r="K55" s="25">
        <v>52</v>
      </c>
      <c r="L55">
        <f>Tabel2[[#This Row],[Latte Macchiato]]</f>
        <v>39</v>
      </c>
      <c r="M55">
        <f>Tabel24[[#This Row],[Stand Latte Macchiato einde maand]]-Tabel24[[#This Row],[Latte Macchiato vorige maand]]</f>
        <v>13</v>
      </c>
      <c r="N55" s="25">
        <v>19</v>
      </c>
      <c r="O55">
        <f>Tabel2[[#This Row],[Coffee Latte]]</f>
        <v>11</v>
      </c>
      <c r="P55">
        <f>Tabel24[[#This Row],[Stand Coffee Latte einde maand]]-Tabel24[[#This Row],[Coffee Latte vorige maand]]</f>
        <v>8</v>
      </c>
      <c r="Q55" s="25">
        <v>1</v>
      </c>
      <c r="R55">
        <f>Tabel2[[#This Row],[Hot Water]]</f>
        <v>0</v>
      </c>
      <c r="S55">
        <f>Tabel24[[#This Row],[Stand Hot Water einde maand]]-Tabel24[[#This Row],[Hot Water vorige maand]]</f>
        <v>1</v>
      </c>
      <c r="T55" s="25">
        <v>928</v>
      </c>
      <c r="U55">
        <f>Tabel2[[#This Row],[Cappucino]]</f>
        <v>484</v>
      </c>
      <c r="V55">
        <f>Tabel24[[#This Row],[Stand Cappucino einde maand]]-Tabel24[[#This Row],[Stand Cappucino vorige maand]]</f>
        <v>444</v>
      </c>
      <c r="W55" s="25">
        <v>124</v>
      </c>
      <c r="X55">
        <f>Tabel2[[#This Row],[Cappucino Plantaardig]]</f>
        <v>91</v>
      </c>
      <c r="Y55">
        <f>Tabel24[[#This Row],[Stand Cappucino Plantaardig einde maand]]-Tabel24[[#This Row],[Stand Cappucino Plantaardig vorige maand]]</f>
        <v>33</v>
      </c>
      <c r="Z55" s="25">
        <v>24</v>
      </c>
      <c r="AA55">
        <f>Tabel2[[#This Row],[Latte Macchiato Plantaardig]]</f>
        <v>18</v>
      </c>
      <c r="AB55" s="12">
        <f>Tabel24[[#This Row],[Stand Latte Macchiato Plantaardig einde maand]]-Tabel24[[#This Row],[Stand Latte Macchiato Plantaardig vorige maand]]</f>
        <v>6</v>
      </c>
      <c r="AC55" s="3">
        <f>Tabel24[[#This Row],[Verbruik Stand Latte Macchiato Plantaardig deze maand]]+Tabel24[[#This Row],[Verbruik  Cappucino Plantaardig deze maand]]+Tabel24[[#This Row],[Verbruik Cappucino deze maand]]+Tabel24[[#This Row],[Verbruik Hot Water deze maand]]+Tabel24[[#This Row],[Verbruik Coffee Latte deze maand]]+Tabel24[[#This Row],[Verbruik Latte Macchiato deze maand]]+Tabel24[[#This Row],[Verbruik Espresso deze maand]]+Tabel24[[#This Row],[Verbruik Coffee deze maand]]</f>
        <v>1159</v>
      </c>
      <c r="AD55" s="25">
        <v>42.3</v>
      </c>
      <c r="AE55">
        <f>Tabel2[[#This Row],[kamertemp liter]]</f>
        <v>29.6</v>
      </c>
      <c r="AF55">
        <f>Tabel24[[#This Row],[Stand Kamertemp liter einde maand]]-Tabel24[[#This Row],[Stand Kamertemp liter vorige maand]]</f>
        <v>12.699999999999996</v>
      </c>
      <c r="AG55" s="2">
        <f>Tabel24[[#This Row],[Verbruik Kamertemp liter deze maand]]/0.15</f>
        <v>84.666666666666643</v>
      </c>
      <c r="AH55" s="25">
        <v>81</v>
      </c>
      <c r="AI55">
        <f>Tabel2[[#This Row],[gekoeld liter]]</f>
        <v>55.6</v>
      </c>
      <c r="AJ55">
        <f>Tabel24[[#This Row],[Stand Gekoeld liter einde maand]]-Tabel24[[#This Row],[Stand Gekoeld liter vorige maand]]</f>
        <v>25.4</v>
      </c>
      <c r="AK55" s="2">
        <f>Tabel24[[#This Row],[Verbruik Gekoeld liter deze maand]]/0.15</f>
        <v>169.33333333333334</v>
      </c>
      <c r="AL55" s="25">
        <v>185.8</v>
      </c>
      <c r="AM55">
        <f>Tabel2[[#This Row],[bruisend liter]]</f>
        <v>124.1</v>
      </c>
      <c r="AN55">
        <f>Tabel24[[#This Row],[Stand Bruisend liter einde maand]]-Tabel24[[#This Row],[Stand Bruisend liter vorige maand]]</f>
        <v>61.700000000000017</v>
      </c>
      <c r="AO55" s="2">
        <f>Tabel24[[#This Row],[Verbruik Bruisend liter deze maand]]/0.15</f>
        <v>411.33333333333348</v>
      </c>
      <c r="AP55" s="25">
        <v>54.9</v>
      </c>
      <c r="AQ55">
        <f>Tabel2[[#This Row],[licht bruisend liter]]</f>
        <v>38.200000000000003</v>
      </c>
      <c r="AR55">
        <f>Tabel24[[#This Row],[Stand licht bruisend liter einde maand]]-Tabel24[[#This Row],[Stand licht bruisend liter vorige maand]]</f>
        <v>16.699999999999996</v>
      </c>
      <c r="AS55" s="2">
        <f>Tabel24[[#This Row],[Verbruik licht bruisend liter deze maand]]/0.15</f>
        <v>111.33333333333331</v>
      </c>
      <c r="AT55" s="25">
        <v>564.70000000000005</v>
      </c>
      <c r="AU55">
        <f>Tabel2[[#This Row],[heet water liter]]</f>
        <v>396</v>
      </c>
      <c r="AV55">
        <f>Tabel24[[#This Row],[Stand heet water liter einde maand]]-Tabel24[[#This Row],[Stand heet water liter vorige maand]]</f>
        <v>168.70000000000005</v>
      </c>
      <c r="AW55" s="20">
        <f>Tabel24[[#This Row],[Verbruik heet Water liter deze maand ]]/0.15</f>
        <v>1124.666666666667</v>
      </c>
      <c r="AX55" s="4">
        <f>Tabel24[[#This Row],[Aantal consumpties heet water deze maand]]+Tabel24[[#This Row],[Aantal consumpties licht bruisend water deze maand]]+Tabel24[[#This Row],[aantal consumpties Bruisend water deze maand]]+Tabel24[[#This Row],[Aantal consumpties gekoeld water deze maand]]+Tabel24[[#This Row],[Aantal consumpties Kamertemp deze maand]]</f>
        <v>1901.3333333333337</v>
      </c>
      <c r="AY55" s="4">
        <f>Tabel24[[#This Row],[Subtotaal waterbar in consumpties]]+Tabel24[[#This Row],[Subtotaal koffieautomaten]]</f>
        <v>3060.3333333333339</v>
      </c>
    </row>
    <row r="56" spans="1:51" x14ac:dyDescent="0.25">
      <c r="A56" t="s">
        <v>52</v>
      </c>
      <c r="B56" t="s">
        <v>104</v>
      </c>
      <c r="C56" t="s">
        <v>36</v>
      </c>
      <c r="E56" s="26"/>
      <c r="F56" s="5"/>
      <c r="G56" s="16"/>
      <c r="H56" s="26"/>
      <c r="I56" s="5"/>
      <c r="J56" s="16"/>
      <c r="K56" s="26"/>
      <c r="L56" s="5"/>
      <c r="M56" s="5"/>
      <c r="N56" s="26"/>
      <c r="O56" s="5"/>
      <c r="P56" s="5"/>
      <c r="Q56" s="26"/>
      <c r="R56" s="5"/>
      <c r="S56" s="5"/>
      <c r="T56" s="26"/>
      <c r="U56" s="5"/>
      <c r="V56" s="5"/>
      <c r="W56" s="26"/>
      <c r="X56" s="5"/>
      <c r="Y56" s="5"/>
      <c r="Z56" s="26"/>
      <c r="AA56" s="5"/>
      <c r="AB56" s="16"/>
      <c r="AC56" s="3">
        <f>Tabel24[[#This Row],[Verbruik Stand Latte Macchiato Plantaardig deze maand]]+Tabel24[[#This Row],[Verbruik  Cappucino Plantaardig deze maand]]+Tabel24[[#This Row],[Verbruik Cappucino deze maand]]+Tabel24[[#This Row],[Verbruik Hot Water deze maand]]+Tabel24[[#This Row],[Verbruik Coffee Latte deze maand]]+Tabel24[[#This Row],[Verbruik Latte Macchiato deze maand]]+Tabel24[[#This Row],[Verbruik Espresso deze maand]]+Tabel24[[#This Row],[Verbruik Coffee deze maand]]</f>
        <v>0</v>
      </c>
      <c r="AD56" s="25">
        <v>22.4</v>
      </c>
      <c r="AE56">
        <f>Tabel2[[#This Row],[kamertemp liter]]</f>
        <v>12.3</v>
      </c>
      <c r="AF56">
        <f>Tabel24[[#This Row],[Stand Kamertemp liter einde maand]]-Tabel24[[#This Row],[Stand Kamertemp liter vorige maand]]</f>
        <v>10.099999999999998</v>
      </c>
      <c r="AG56" s="2">
        <f>Tabel24[[#This Row],[Verbruik Kamertemp liter deze maand]]/0.15</f>
        <v>67.333333333333329</v>
      </c>
      <c r="AH56" s="25">
        <v>75.400000000000006</v>
      </c>
      <c r="AI56">
        <f>Tabel2[[#This Row],[gekoeld liter]]</f>
        <v>46.9</v>
      </c>
      <c r="AJ56">
        <f>Tabel24[[#This Row],[Stand Gekoeld liter einde maand]]-Tabel24[[#This Row],[Stand Gekoeld liter vorige maand]]</f>
        <v>28.500000000000007</v>
      </c>
      <c r="AK56" s="2">
        <f>Tabel24[[#This Row],[Verbruik Gekoeld liter deze maand]]/0.15</f>
        <v>190.00000000000006</v>
      </c>
      <c r="AL56" s="25">
        <v>97.1</v>
      </c>
      <c r="AM56">
        <f>Tabel2[[#This Row],[bruisend liter]]</f>
        <v>55.7</v>
      </c>
      <c r="AN56">
        <f>Tabel24[[#This Row],[Stand Bruisend liter einde maand]]-Tabel24[[#This Row],[Stand Bruisend liter vorige maand]]</f>
        <v>41.399999999999991</v>
      </c>
      <c r="AO56" s="2">
        <f>Tabel24[[#This Row],[Verbruik Bruisend liter deze maand]]/0.15</f>
        <v>275.99999999999994</v>
      </c>
      <c r="AP56" s="25">
        <v>90</v>
      </c>
      <c r="AQ56">
        <f>Tabel2[[#This Row],[licht bruisend liter]]</f>
        <v>55.3</v>
      </c>
      <c r="AR56">
        <f>Tabel24[[#This Row],[Stand licht bruisend liter einde maand]]-Tabel24[[#This Row],[Stand licht bruisend liter vorige maand]]</f>
        <v>34.700000000000003</v>
      </c>
      <c r="AS56" s="2">
        <f>Tabel24[[#This Row],[Verbruik licht bruisend liter deze maand]]/0.15</f>
        <v>231.33333333333337</v>
      </c>
      <c r="AT56" s="25">
        <v>810.3</v>
      </c>
      <c r="AU56">
        <f>Tabel2[[#This Row],[heet water liter]]</f>
        <v>520.20000000000005</v>
      </c>
      <c r="AV56">
        <f>Tabel24[[#This Row],[Stand heet water liter einde maand]]-Tabel24[[#This Row],[Stand heet water liter vorige maand]]</f>
        <v>290.09999999999991</v>
      </c>
      <c r="AW56" s="20">
        <f>Tabel24[[#This Row],[Verbruik heet Water liter deze maand ]]/0.15</f>
        <v>1933.9999999999995</v>
      </c>
      <c r="AX56" s="4">
        <f>Tabel24[[#This Row],[Aantal consumpties heet water deze maand]]+Tabel24[[#This Row],[Aantal consumpties licht bruisend water deze maand]]+Tabel24[[#This Row],[aantal consumpties Bruisend water deze maand]]+Tabel24[[#This Row],[Aantal consumpties gekoeld water deze maand]]+Tabel24[[#This Row],[Aantal consumpties Kamertemp deze maand]]</f>
        <v>2698.6666666666665</v>
      </c>
      <c r="AY56" s="4">
        <f>Tabel24[[#This Row],[Subtotaal waterbar in consumpties]]+Tabel24[[#This Row],[Subtotaal koffieautomaten]]</f>
        <v>2698.6666666666665</v>
      </c>
    </row>
    <row r="57" spans="1:51" x14ac:dyDescent="0.25">
      <c r="A57" t="s">
        <v>54</v>
      </c>
      <c r="B57" t="s">
        <v>105</v>
      </c>
      <c r="C57" t="s">
        <v>31</v>
      </c>
      <c r="E57" s="25">
        <v>602</v>
      </c>
      <c r="F57">
        <f>Tabel2[[#This Row],[Coffee]]</f>
        <v>200</v>
      </c>
      <c r="G57" s="12">
        <f>Tabel24[[#This Row],[Stand Coffee einde maand]]-Tabel24[[#This Row],[Coffee vorige maand]]</f>
        <v>402</v>
      </c>
      <c r="H57" s="25">
        <v>277</v>
      </c>
      <c r="I57">
        <f>Tabel2[[#This Row],[Espresso]]</f>
        <v>92</v>
      </c>
      <c r="J57" s="12">
        <f>Tabel24[[#This Row],[Stand Espresso Einde maand]]-Tabel24[[#This Row],[Espresso vorige maand]]</f>
        <v>185</v>
      </c>
      <c r="K57" s="25">
        <v>85</v>
      </c>
      <c r="L57">
        <f>Tabel2[[#This Row],[Latte Macchiato]]</f>
        <v>21</v>
      </c>
      <c r="M57">
        <f>Tabel24[[#This Row],[Stand Latte Macchiato einde maand]]-Tabel24[[#This Row],[Latte Macchiato vorige maand]]</f>
        <v>64</v>
      </c>
      <c r="N57" s="25">
        <v>23</v>
      </c>
      <c r="O57">
        <f>Tabel2[[#This Row],[Coffee Latte]]</f>
        <v>7</v>
      </c>
      <c r="P57">
        <f>Tabel24[[#This Row],[Stand Coffee Latte einde maand]]-Tabel24[[#This Row],[Coffee Latte vorige maand]]</f>
        <v>16</v>
      </c>
      <c r="Q57" s="25">
        <v>1791</v>
      </c>
      <c r="R57">
        <f>Tabel2[[#This Row],[Hot Water]]</f>
        <v>561</v>
      </c>
      <c r="S57">
        <f>Tabel24[[#This Row],[Stand Hot Water einde maand]]-Tabel24[[#This Row],[Hot Water vorige maand]]</f>
        <v>1230</v>
      </c>
      <c r="T57" s="25">
        <v>413</v>
      </c>
      <c r="U57">
        <f>Tabel2[[#This Row],[Cappucino]]</f>
        <v>151</v>
      </c>
      <c r="V57">
        <f>Tabel24[[#This Row],[Stand Cappucino einde maand]]-Tabel24[[#This Row],[Stand Cappucino vorige maand]]</f>
        <v>262</v>
      </c>
      <c r="W57" s="25">
        <v>93</v>
      </c>
      <c r="X57">
        <f>Tabel2[[#This Row],[Cappucino Plantaardig]]</f>
        <v>22</v>
      </c>
      <c r="Y57">
        <f>Tabel24[[#This Row],[Stand Cappucino Plantaardig einde maand]]-Tabel24[[#This Row],[Stand Cappucino Plantaardig vorige maand]]</f>
        <v>71</v>
      </c>
      <c r="Z57" s="25">
        <v>14</v>
      </c>
      <c r="AA57">
        <f>Tabel2[[#This Row],[Latte Macchiato Plantaardig]]</f>
        <v>3</v>
      </c>
      <c r="AB57" s="12">
        <f>Tabel24[[#This Row],[Stand Latte Macchiato Plantaardig einde maand]]-Tabel24[[#This Row],[Stand Latte Macchiato Plantaardig vorige maand]]</f>
        <v>11</v>
      </c>
      <c r="AC57" s="3">
        <f>Tabel24[[#This Row],[Verbruik Stand Latte Macchiato Plantaardig deze maand]]+Tabel24[[#This Row],[Verbruik  Cappucino Plantaardig deze maand]]+Tabel24[[#This Row],[Verbruik Cappucino deze maand]]+Tabel24[[#This Row],[Verbruik Hot Water deze maand]]+Tabel24[[#This Row],[Verbruik Coffee Latte deze maand]]+Tabel24[[#This Row],[Verbruik Latte Macchiato deze maand]]+Tabel24[[#This Row],[Verbruik Espresso deze maand]]+Tabel24[[#This Row],[Verbruik Coffee deze maand]]</f>
        <v>2241</v>
      </c>
      <c r="AD57" s="26"/>
      <c r="AE57" s="5"/>
      <c r="AF57" s="5"/>
      <c r="AG57" s="7"/>
      <c r="AH57" s="26"/>
      <c r="AI57" s="5"/>
      <c r="AJ57" s="5"/>
      <c r="AK57" s="7"/>
      <c r="AL57" s="26"/>
      <c r="AM57" s="5"/>
      <c r="AN57" s="5"/>
      <c r="AO57" s="7"/>
      <c r="AP57" s="26"/>
      <c r="AQ57" s="5"/>
      <c r="AR57" s="5"/>
      <c r="AS57" s="7"/>
      <c r="AT57" s="26"/>
      <c r="AU57" s="5"/>
      <c r="AV57" s="5"/>
      <c r="AW57" s="21"/>
      <c r="AX57" s="8"/>
      <c r="AY57" s="4">
        <f>Tabel24[[#This Row],[Subtotaal waterbar in consumpties]]+Tabel24[[#This Row],[Subtotaal koffieautomaten]]</f>
        <v>2241</v>
      </c>
    </row>
    <row r="58" spans="1:51" x14ac:dyDescent="0.25">
      <c r="A58" t="s">
        <v>56</v>
      </c>
      <c r="B58" t="s">
        <v>106</v>
      </c>
      <c r="C58" t="s">
        <v>47</v>
      </c>
      <c r="E58" s="25">
        <v>1045</v>
      </c>
      <c r="F58">
        <f>Tabel2[[#This Row],[Coffee]]</f>
        <v>590</v>
      </c>
      <c r="G58" s="12">
        <f>Tabel24[[#This Row],[Stand Coffee einde maand]]-Tabel24[[#This Row],[Coffee vorige maand]]</f>
        <v>455</v>
      </c>
      <c r="H58" s="25">
        <v>330</v>
      </c>
      <c r="I58">
        <f>Tabel2[[#This Row],[Espresso]]</f>
        <v>193</v>
      </c>
      <c r="J58" s="12">
        <f>Tabel24[[#This Row],[Stand Espresso Einde maand]]-Tabel24[[#This Row],[Espresso vorige maand]]</f>
        <v>137</v>
      </c>
      <c r="K58" s="25">
        <v>241</v>
      </c>
      <c r="L58">
        <f>Tabel2[[#This Row],[Latte Macchiato]]</f>
        <v>115</v>
      </c>
      <c r="M58">
        <f>Tabel24[[#This Row],[Stand Latte Macchiato einde maand]]-Tabel24[[#This Row],[Latte Macchiato vorige maand]]</f>
        <v>126</v>
      </c>
      <c r="N58" s="25">
        <v>27</v>
      </c>
      <c r="O58">
        <f>Tabel2[[#This Row],[Coffee Latte]]</f>
        <v>14</v>
      </c>
      <c r="P58">
        <f>Tabel24[[#This Row],[Stand Coffee Latte einde maand]]-Tabel24[[#This Row],[Coffee Latte vorige maand]]</f>
        <v>13</v>
      </c>
      <c r="Q58" s="25">
        <v>1</v>
      </c>
      <c r="R58">
        <f>Tabel2[[#This Row],[Hot Water]]</f>
        <v>0</v>
      </c>
      <c r="S58">
        <f>Tabel24[[#This Row],[Stand Hot Water einde maand]]-Tabel24[[#This Row],[Hot Water vorige maand]]</f>
        <v>1</v>
      </c>
      <c r="T58" s="25">
        <v>511</v>
      </c>
      <c r="U58">
        <f>Tabel2[[#This Row],[Cappucino]]</f>
        <v>287</v>
      </c>
      <c r="V58">
        <f>Tabel24[[#This Row],[Stand Cappucino einde maand]]-Tabel24[[#This Row],[Stand Cappucino vorige maand]]</f>
        <v>224</v>
      </c>
      <c r="W58" s="25">
        <v>189</v>
      </c>
      <c r="X58">
        <f>Tabel2[[#This Row],[Cappucino Plantaardig]]</f>
        <v>125</v>
      </c>
      <c r="Y58">
        <f>Tabel24[[#This Row],[Stand Cappucino Plantaardig einde maand]]-Tabel24[[#This Row],[Stand Cappucino Plantaardig vorige maand]]</f>
        <v>64</v>
      </c>
      <c r="Z58" s="25">
        <v>29</v>
      </c>
      <c r="AA58">
        <f>Tabel2[[#This Row],[Latte Macchiato Plantaardig]]</f>
        <v>22</v>
      </c>
      <c r="AB58" s="12">
        <f>Tabel24[[#This Row],[Stand Latte Macchiato Plantaardig einde maand]]-Tabel24[[#This Row],[Stand Latte Macchiato Plantaardig vorige maand]]</f>
        <v>7</v>
      </c>
      <c r="AC58" s="3">
        <f>Tabel24[[#This Row],[Verbruik Stand Latte Macchiato Plantaardig deze maand]]+Tabel24[[#This Row],[Verbruik  Cappucino Plantaardig deze maand]]+Tabel24[[#This Row],[Verbruik Cappucino deze maand]]+Tabel24[[#This Row],[Verbruik Hot Water deze maand]]+Tabel24[[#This Row],[Verbruik Coffee Latte deze maand]]+Tabel24[[#This Row],[Verbruik Latte Macchiato deze maand]]+Tabel24[[#This Row],[Verbruik Espresso deze maand]]+Tabel24[[#This Row],[Verbruik Coffee deze maand]]</f>
        <v>1027</v>
      </c>
      <c r="AD58" s="25">
        <v>24.1</v>
      </c>
      <c r="AE58">
        <f>Tabel2[[#This Row],[kamertemp liter]]</f>
        <v>16.8</v>
      </c>
      <c r="AF58">
        <f>Tabel24[[#This Row],[Stand Kamertemp liter einde maand]]-Tabel24[[#This Row],[Stand Kamertemp liter vorige maand]]</f>
        <v>7.3000000000000007</v>
      </c>
      <c r="AG58" s="2">
        <f>Tabel24[[#This Row],[Verbruik Kamertemp liter deze maand]]/0.15</f>
        <v>48.666666666666671</v>
      </c>
      <c r="AH58" s="25">
        <v>149</v>
      </c>
      <c r="AI58">
        <f>Tabel2[[#This Row],[gekoeld liter]]</f>
        <v>101</v>
      </c>
      <c r="AJ58">
        <f>Tabel24[[#This Row],[Stand Gekoeld liter einde maand]]-Tabel24[[#This Row],[Stand Gekoeld liter vorige maand]]</f>
        <v>48</v>
      </c>
      <c r="AK58" s="2">
        <f>Tabel24[[#This Row],[Verbruik Gekoeld liter deze maand]]/0.15</f>
        <v>320</v>
      </c>
      <c r="AL58" s="25">
        <v>120.1</v>
      </c>
      <c r="AM58">
        <f>Tabel2[[#This Row],[bruisend liter]]</f>
        <v>76.7</v>
      </c>
      <c r="AN58">
        <f>Tabel24[[#This Row],[Stand Bruisend liter einde maand]]-Tabel24[[#This Row],[Stand Bruisend liter vorige maand]]</f>
        <v>43.399999999999991</v>
      </c>
      <c r="AO58" s="2">
        <f>Tabel24[[#This Row],[Verbruik Bruisend liter deze maand]]/0.15</f>
        <v>289.33333333333331</v>
      </c>
      <c r="AP58" s="25">
        <v>82.6</v>
      </c>
      <c r="AQ58">
        <f>Tabel2[[#This Row],[licht bruisend liter]]</f>
        <v>59.7</v>
      </c>
      <c r="AR58">
        <f>Tabel24[[#This Row],[Stand licht bruisend liter einde maand]]-Tabel24[[#This Row],[Stand licht bruisend liter vorige maand]]</f>
        <v>22.899999999999991</v>
      </c>
      <c r="AS58" s="2">
        <f>Tabel24[[#This Row],[Verbruik licht bruisend liter deze maand]]/0.15</f>
        <v>152.66666666666663</v>
      </c>
      <c r="AT58" s="25">
        <v>774.7</v>
      </c>
      <c r="AU58">
        <f>Tabel2[[#This Row],[heet water liter]]</f>
        <v>510.1</v>
      </c>
      <c r="AV58">
        <f>Tabel24[[#This Row],[Stand heet water liter einde maand]]-Tabel24[[#This Row],[Stand heet water liter vorige maand]]</f>
        <v>264.60000000000002</v>
      </c>
      <c r="AW58" s="20">
        <f>Tabel24[[#This Row],[Verbruik heet Water liter deze maand ]]/0.15</f>
        <v>1764.0000000000002</v>
      </c>
      <c r="AX58" s="4">
        <f>Tabel24[[#This Row],[Aantal consumpties heet water deze maand]]+Tabel24[[#This Row],[Aantal consumpties licht bruisend water deze maand]]+Tabel24[[#This Row],[aantal consumpties Bruisend water deze maand]]+Tabel24[[#This Row],[Aantal consumpties gekoeld water deze maand]]+Tabel24[[#This Row],[Aantal consumpties Kamertemp deze maand]]</f>
        <v>2574.666666666667</v>
      </c>
      <c r="AY58" s="4">
        <f>Tabel24[[#This Row],[Subtotaal waterbar in consumpties]]+Tabel24[[#This Row],[Subtotaal koffieautomaten]]</f>
        <v>3601.666666666667</v>
      </c>
    </row>
    <row r="59" spans="1:51" x14ac:dyDescent="0.25">
      <c r="A59" t="s">
        <v>58</v>
      </c>
      <c r="B59" t="s">
        <v>107</v>
      </c>
      <c r="C59" t="s">
        <v>31</v>
      </c>
      <c r="E59" s="25">
        <v>476</v>
      </c>
      <c r="F59">
        <f>Tabel2[[#This Row],[Coffee]]</f>
        <v>145</v>
      </c>
      <c r="G59" s="12">
        <f>Tabel24[[#This Row],[Stand Coffee einde maand]]-Tabel24[[#This Row],[Coffee vorige maand]]</f>
        <v>331</v>
      </c>
      <c r="H59" s="25"/>
      <c r="I59">
        <f>Tabel2[[#This Row],[Espresso]]</f>
        <v>58</v>
      </c>
      <c r="J59" s="12">
        <f>Tabel24[[#This Row],[Stand Espresso Einde maand]]-Tabel24[[#This Row],[Espresso vorige maand]]</f>
        <v>-58</v>
      </c>
      <c r="K59" s="25">
        <v>130</v>
      </c>
      <c r="L59">
        <f>Tabel2[[#This Row],[Latte Macchiato]]</f>
        <v>8</v>
      </c>
      <c r="M59">
        <f>Tabel24[[#This Row],[Stand Latte Macchiato einde maand]]-Tabel24[[#This Row],[Latte Macchiato vorige maand]]</f>
        <v>122</v>
      </c>
      <c r="N59" s="25">
        <v>27</v>
      </c>
      <c r="O59">
        <f>Tabel2[[#This Row],[Coffee Latte]]</f>
        <v>14</v>
      </c>
      <c r="P59">
        <f>Tabel24[[#This Row],[Stand Coffee Latte einde maand]]-Tabel24[[#This Row],[Coffee Latte vorige maand]]</f>
        <v>13</v>
      </c>
      <c r="Q59" s="25">
        <v>1305</v>
      </c>
      <c r="R59">
        <f>Tabel2[[#This Row],[Hot Water]]</f>
        <v>479</v>
      </c>
      <c r="S59">
        <f>Tabel24[[#This Row],[Stand Hot Water einde maand]]-Tabel24[[#This Row],[Hot Water vorige maand]]</f>
        <v>826</v>
      </c>
      <c r="T59" s="25">
        <v>155</v>
      </c>
      <c r="U59">
        <f>Tabel2[[#This Row],[Cappucino]]</f>
        <v>71</v>
      </c>
      <c r="V59">
        <f>Tabel24[[#This Row],[Stand Cappucino einde maand]]-Tabel24[[#This Row],[Stand Cappucino vorige maand]]</f>
        <v>84</v>
      </c>
      <c r="W59" s="25">
        <v>155</v>
      </c>
      <c r="X59">
        <f>Tabel2[[#This Row],[Cappucino Plantaardig]]</f>
        <v>59</v>
      </c>
      <c r="Y59">
        <f>Tabel24[[#This Row],[Stand Cappucino Plantaardig einde maand]]-Tabel24[[#This Row],[Stand Cappucino Plantaardig vorige maand]]</f>
        <v>96</v>
      </c>
      <c r="Z59" s="25">
        <v>74</v>
      </c>
      <c r="AA59">
        <f>Tabel2[[#This Row],[Latte Macchiato Plantaardig]]</f>
        <v>15</v>
      </c>
      <c r="AB59" s="12">
        <f>Tabel24[[#This Row],[Stand Latte Macchiato Plantaardig einde maand]]-Tabel24[[#This Row],[Stand Latte Macchiato Plantaardig vorige maand]]</f>
        <v>59</v>
      </c>
      <c r="AC59" s="3">
        <f>Tabel24[[#This Row],[Verbruik Stand Latte Macchiato Plantaardig deze maand]]+Tabel24[[#This Row],[Verbruik  Cappucino Plantaardig deze maand]]+Tabel24[[#This Row],[Verbruik Cappucino deze maand]]+Tabel24[[#This Row],[Verbruik Hot Water deze maand]]+Tabel24[[#This Row],[Verbruik Coffee Latte deze maand]]+Tabel24[[#This Row],[Verbruik Latte Macchiato deze maand]]+Tabel24[[#This Row],[Verbruik Espresso deze maand]]+Tabel24[[#This Row],[Verbruik Coffee deze maand]]</f>
        <v>1473</v>
      </c>
      <c r="AD59" s="26"/>
      <c r="AE59" s="5"/>
      <c r="AF59" s="5"/>
      <c r="AG59" s="7"/>
      <c r="AH59" s="26"/>
      <c r="AI59" s="5"/>
      <c r="AJ59" s="5"/>
      <c r="AK59" s="7"/>
      <c r="AL59" s="26"/>
      <c r="AM59" s="5"/>
      <c r="AN59" s="5"/>
      <c r="AO59" s="7"/>
      <c r="AP59" s="26"/>
      <c r="AQ59" s="5"/>
      <c r="AR59" s="5"/>
      <c r="AS59" s="7"/>
      <c r="AT59" s="26"/>
      <c r="AU59" s="5"/>
      <c r="AV59" s="5"/>
      <c r="AW59" s="21"/>
      <c r="AX59" s="8"/>
      <c r="AY59" s="4">
        <f>Tabel24[[#This Row],[Subtotaal waterbar in consumpties]]+Tabel24[[#This Row],[Subtotaal koffieautomaten]]</f>
        <v>1473</v>
      </c>
    </row>
    <row r="60" spans="1:51" x14ac:dyDescent="0.25">
      <c r="A60" t="s">
        <v>60</v>
      </c>
      <c r="B60" t="s">
        <v>108</v>
      </c>
      <c r="C60" t="s">
        <v>36</v>
      </c>
      <c r="E60" s="26"/>
      <c r="F60" s="5"/>
      <c r="G60" s="16"/>
      <c r="H60" s="26"/>
      <c r="I60" s="5"/>
      <c r="J60" s="16"/>
      <c r="K60" s="26"/>
      <c r="L60" s="5"/>
      <c r="M60" s="5"/>
      <c r="N60" s="26"/>
      <c r="O60" s="5"/>
      <c r="P60" s="5"/>
      <c r="Q60" s="26"/>
      <c r="R60" s="5"/>
      <c r="S60" s="5"/>
      <c r="T60" s="26"/>
      <c r="U60" s="5"/>
      <c r="V60" s="5"/>
      <c r="W60" s="26"/>
      <c r="X60" s="5"/>
      <c r="Y60" s="5"/>
      <c r="Z60" s="26"/>
      <c r="AA60" s="5"/>
      <c r="AB60" s="16"/>
      <c r="AC60" s="3">
        <f>Tabel24[[#This Row],[Verbruik Stand Latte Macchiato Plantaardig deze maand]]+Tabel24[[#This Row],[Verbruik  Cappucino Plantaardig deze maand]]+Tabel24[[#This Row],[Verbruik Cappucino deze maand]]+Tabel24[[#This Row],[Verbruik Hot Water deze maand]]+Tabel24[[#This Row],[Verbruik Coffee Latte deze maand]]+Tabel24[[#This Row],[Verbruik Latte Macchiato deze maand]]+Tabel24[[#This Row],[Verbruik Espresso deze maand]]+Tabel24[[#This Row],[Verbruik Coffee deze maand]]</f>
        <v>0</v>
      </c>
      <c r="AD60" s="25">
        <v>54.5</v>
      </c>
      <c r="AE60">
        <f>Tabel2[[#This Row],[kamertemp liter]]</f>
        <v>45.1</v>
      </c>
      <c r="AF60">
        <f>Tabel24[[#This Row],[Stand Kamertemp liter einde maand]]-Tabel24[[#This Row],[Stand Kamertemp liter vorige maand]]</f>
        <v>9.3999999999999986</v>
      </c>
      <c r="AG60" s="2">
        <f>Tabel24[[#This Row],[Verbruik Kamertemp liter deze maand]]/0.15</f>
        <v>62.666666666666657</v>
      </c>
      <c r="AH60" s="25">
        <v>142.1</v>
      </c>
      <c r="AI60">
        <f>Tabel2[[#This Row],[gekoeld liter]]</f>
        <v>96.2</v>
      </c>
      <c r="AJ60">
        <f>Tabel24[[#This Row],[Stand Gekoeld liter einde maand]]-Tabel24[[#This Row],[Stand Gekoeld liter vorige maand]]</f>
        <v>45.899999999999991</v>
      </c>
      <c r="AK60" s="2">
        <f>Tabel24[[#This Row],[Verbruik Gekoeld liter deze maand]]/0.15</f>
        <v>305.99999999999994</v>
      </c>
      <c r="AL60" s="25">
        <v>93.3</v>
      </c>
      <c r="AM60">
        <f>Tabel2[[#This Row],[bruisend liter]]</f>
        <v>66.5</v>
      </c>
      <c r="AN60">
        <f>Tabel24[[#This Row],[Stand Bruisend liter einde maand]]-Tabel24[[#This Row],[Stand Bruisend liter vorige maand]]</f>
        <v>26.799999999999997</v>
      </c>
      <c r="AO60" s="2">
        <f>Tabel24[[#This Row],[Verbruik Bruisend liter deze maand]]/0.15</f>
        <v>178.66666666666666</v>
      </c>
      <c r="AP60" s="25">
        <v>67.900000000000006</v>
      </c>
      <c r="AQ60">
        <f>Tabel2[[#This Row],[licht bruisend liter]]</f>
        <v>42.4</v>
      </c>
      <c r="AR60">
        <f>Tabel24[[#This Row],[Stand licht bruisend liter einde maand]]-Tabel24[[#This Row],[Stand licht bruisend liter vorige maand]]</f>
        <v>25.500000000000007</v>
      </c>
      <c r="AS60" s="2">
        <f>Tabel24[[#This Row],[Verbruik licht bruisend liter deze maand]]/0.15</f>
        <v>170.00000000000006</v>
      </c>
      <c r="AT60" s="25">
        <v>482.3</v>
      </c>
      <c r="AU60">
        <f>Tabel2[[#This Row],[heet water liter]]</f>
        <v>343.1</v>
      </c>
      <c r="AV60">
        <f>Tabel24[[#This Row],[Stand heet water liter einde maand]]-Tabel24[[#This Row],[Stand heet water liter vorige maand]]</f>
        <v>139.19999999999999</v>
      </c>
      <c r="AW60" s="20">
        <f>Tabel24[[#This Row],[Verbruik heet Water liter deze maand ]]/0.15</f>
        <v>928</v>
      </c>
      <c r="AX60" s="4">
        <f>Tabel24[[#This Row],[Aantal consumpties heet water deze maand]]+Tabel24[[#This Row],[Aantal consumpties licht bruisend water deze maand]]+Tabel24[[#This Row],[aantal consumpties Bruisend water deze maand]]+Tabel24[[#This Row],[Aantal consumpties gekoeld water deze maand]]+Tabel24[[#This Row],[Aantal consumpties Kamertemp deze maand]]</f>
        <v>1645.3333333333335</v>
      </c>
      <c r="AY60" s="4">
        <f>Tabel24[[#This Row],[Subtotaal waterbar in consumpties]]+Tabel24[[#This Row],[Subtotaal koffieautomaten]]</f>
        <v>1645.3333333333335</v>
      </c>
    </row>
    <row r="61" spans="1:51" x14ac:dyDescent="0.25">
      <c r="A61" s="3" t="s">
        <v>109</v>
      </c>
      <c r="E61" s="25"/>
      <c r="H61" s="25"/>
      <c r="J61" s="12"/>
      <c r="K61" s="25"/>
      <c r="L61">
        <f>Tabel2[[#This Row],[Latte Macchiato]]</f>
        <v>0</v>
      </c>
      <c r="M61">
        <f>Tabel24[[#This Row],[Stand Latte Macchiato einde maand]]-Tabel24[[#This Row],[Latte Macchiato vorige maand]]</f>
        <v>0</v>
      </c>
      <c r="N61" s="25"/>
      <c r="O61">
        <f>Tabel2[[#This Row],[Coffee Latte]]</f>
        <v>0</v>
      </c>
      <c r="P61">
        <f>Tabel24[[#This Row],[Stand Coffee Latte einde maand]]-Tabel24[[#This Row],[Coffee Latte vorige maand]]</f>
        <v>0</v>
      </c>
      <c r="Q61" s="25"/>
      <c r="R61">
        <f>Tabel2[[#This Row],[Hot Water]]</f>
        <v>0</v>
      </c>
      <c r="S61">
        <f>Tabel24[[#This Row],[Stand Hot Water einde maand]]-Tabel24[[#This Row],[Hot Water vorige maand]]</f>
        <v>0</v>
      </c>
      <c r="T61" s="25"/>
      <c r="U61">
        <f>Tabel2[[#This Row],[Cappucino]]</f>
        <v>0</v>
      </c>
      <c r="V61">
        <f>Tabel24[[#This Row],[Stand Cappucino einde maand]]-Tabel24[[#This Row],[Stand Cappucino vorige maand]]</f>
        <v>0</v>
      </c>
      <c r="W61" s="25"/>
      <c r="X61">
        <f>Tabel2[[#This Row],[Cappucino Plantaardig]]</f>
        <v>0</v>
      </c>
      <c r="Y61">
        <f>Tabel24[[#This Row],[Stand Cappucino Plantaardig einde maand]]-Tabel24[[#This Row],[Stand Cappucino Plantaardig vorige maand]]</f>
        <v>0</v>
      </c>
      <c r="Z61" s="25"/>
      <c r="AA61">
        <f>Tabel2[[#This Row],[Latte Macchiato Plantaardig]]</f>
        <v>0</v>
      </c>
      <c r="AB61" s="12">
        <f>Tabel24[[#This Row],[Stand Latte Macchiato Plantaardig einde maand]]-Tabel24[[#This Row],[Stand Latte Macchiato Plantaardig vorige maand]]</f>
        <v>0</v>
      </c>
      <c r="AC61" s="3">
        <f>Tabel24[[#This Row],[Verbruik Stand Latte Macchiato Plantaardig deze maand]]+Tabel24[[#This Row],[Verbruik  Cappucino Plantaardig deze maand]]+Tabel24[[#This Row],[Verbruik Cappucino deze maand]]+Tabel24[[#This Row],[Verbruik Hot Water deze maand]]+Tabel24[[#This Row],[Verbruik Coffee Latte deze maand]]+Tabel24[[#This Row],[Verbruik Latte Macchiato deze maand]]+Tabel24[[#This Row],[Verbruik Espresso deze maand]]+Tabel24[[#This Row],[Verbruik Coffee deze maand]]</f>
        <v>0</v>
      </c>
      <c r="AD61" s="25"/>
      <c r="AG61" s="2"/>
      <c r="AH61" s="25"/>
      <c r="AK61" s="2"/>
      <c r="AL61" s="25"/>
      <c r="AO61" s="2"/>
      <c r="AP61" s="25"/>
      <c r="AS61" s="2"/>
      <c r="AT61" s="25"/>
      <c r="AW61" s="20"/>
      <c r="AX61" s="4"/>
      <c r="AY61" s="4">
        <f>Tabel24[[#This Row],[Subtotaal waterbar in consumpties]]+Tabel24[[#This Row],[Subtotaal koffieautomaten]]</f>
        <v>0</v>
      </c>
    </row>
    <row r="62" spans="1:51" x14ac:dyDescent="0.25">
      <c r="A62">
        <v>1</v>
      </c>
      <c r="B62" t="s">
        <v>110</v>
      </c>
      <c r="C62" t="s">
        <v>31</v>
      </c>
      <c r="E62" s="25">
        <v>1005</v>
      </c>
      <c r="F62">
        <f>Tabel2[[#This Row],[Coffee]]</f>
        <v>258</v>
      </c>
      <c r="G62" s="12">
        <f>Tabel24[[#This Row],[Stand Coffee einde maand]]-Tabel24[[#This Row],[Coffee vorige maand]]</f>
        <v>747</v>
      </c>
      <c r="H62" s="25">
        <v>60</v>
      </c>
      <c r="I62">
        <f>Tabel2[[#This Row],[Espresso]]</f>
        <v>17</v>
      </c>
      <c r="J62" s="12">
        <f>Tabel24[[#This Row],[Stand Espresso Einde maand]]-Tabel24[[#This Row],[Espresso vorige maand]]</f>
        <v>43</v>
      </c>
      <c r="K62" s="25">
        <v>80</v>
      </c>
      <c r="L62">
        <f>Tabel2[[#This Row],[Latte Macchiato]]</f>
        <v>31</v>
      </c>
      <c r="M62">
        <f>Tabel24[[#This Row],[Stand Latte Macchiato einde maand]]-Tabel24[[#This Row],[Latte Macchiato vorige maand]]</f>
        <v>49</v>
      </c>
      <c r="N62" s="25">
        <v>84</v>
      </c>
      <c r="O62">
        <f>Tabel2[[#This Row],[Coffee Latte]]</f>
        <v>23</v>
      </c>
      <c r="P62">
        <f>Tabel24[[#This Row],[Stand Coffee Latte einde maand]]-Tabel24[[#This Row],[Coffee Latte vorige maand]]</f>
        <v>61</v>
      </c>
      <c r="Q62" s="25">
        <v>514</v>
      </c>
      <c r="R62">
        <f>Tabel2[[#This Row],[Hot Water]]</f>
        <v>159</v>
      </c>
      <c r="S62">
        <f>Tabel24[[#This Row],[Stand Hot Water einde maand]]-Tabel24[[#This Row],[Hot Water vorige maand]]</f>
        <v>355</v>
      </c>
      <c r="T62" s="25">
        <v>262</v>
      </c>
      <c r="U62">
        <f>Tabel2[[#This Row],[Cappucino]]</f>
        <v>65</v>
      </c>
      <c r="V62">
        <f>Tabel24[[#This Row],[Stand Cappucino einde maand]]-Tabel24[[#This Row],[Stand Cappucino vorige maand]]</f>
        <v>197</v>
      </c>
      <c r="W62" s="25">
        <v>10</v>
      </c>
      <c r="X62">
        <f>Tabel2[[#This Row],[Cappucino Plantaardig]]</f>
        <v>2</v>
      </c>
      <c r="Y62">
        <f>Tabel24[[#This Row],[Stand Cappucino Plantaardig einde maand]]-Tabel24[[#This Row],[Stand Cappucino Plantaardig vorige maand]]</f>
        <v>8</v>
      </c>
      <c r="Z62" s="25">
        <v>24</v>
      </c>
      <c r="AA62">
        <f>Tabel2[[#This Row],[Latte Macchiato Plantaardig]]</f>
        <v>10</v>
      </c>
      <c r="AB62" s="12">
        <f>Tabel24[[#This Row],[Stand Latte Macchiato Plantaardig einde maand]]-Tabel24[[#This Row],[Stand Latte Macchiato Plantaardig vorige maand]]</f>
        <v>14</v>
      </c>
      <c r="AC62" s="3">
        <f>Tabel24[[#This Row],[Verbruik Stand Latte Macchiato Plantaardig deze maand]]+Tabel24[[#This Row],[Verbruik  Cappucino Plantaardig deze maand]]+Tabel24[[#This Row],[Verbruik Cappucino deze maand]]+Tabel24[[#This Row],[Verbruik Hot Water deze maand]]+Tabel24[[#This Row],[Verbruik Coffee Latte deze maand]]+Tabel24[[#This Row],[Verbruik Latte Macchiato deze maand]]+Tabel24[[#This Row],[Verbruik Espresso deze maand]]+Tabel24[[#This Row],[Verbruik Coffee deze maand]]</f>
        <v>1474</v>
      </c>
      <c r="AD62" s="26"/>
      <c r="AE62" s="5"/>
      <c r="AF62" s="5"/>
      <c r="AG62" s="5"/>
      <c r="AH62" s="26"/>
      <c r="AI62" s="5"/>
      <c r="AJ62" s="5"/>
      <c r="AK62" s="5"/>
      <c r="AL62" s="26"/>
      <c r="AM62" s="5"/>
      <c r="AN62" s="5"/>
      <c r="AO62" s="5"/>
      <c r="AP62" s="26"/>
      <c r="AQ62" s="5"/>
      <c r="AR62" s="5"/>
      <c r="AS62" s="5"/>
      <c r="AT62" s="26"/>
      <c r="AU62" s="5"/>
      <c r="AV62" s="5"/>
      <c r="AW62" s="21"/>
      <c r="AX62" s="8"/>
      <c r="AY62" s="4">
        <f>Tabel24[[#This Row],[Subtotaal waterbar in consumpties]]+Tabel24[[#This Row],[Subtotaal koffieautomaten]]</f>
        <v>1474</v>
      </c>
    </row>
    <row r="63" spans="1:51" x14ac:dyDescent="0.25">
      <c r="A63">
        <v>1</v>
      </c>
      <c r="B63" t="s">
        <v>111</v>
      </c>
      <c r="C63" t="s">
        <v>31</v>
      </c>
      <c r="E63" s="25">
        <v>608</v>
      </c>
      <c r="F63">
        <f>Tabel2[[#This Row],[Coffee]]</f>
        <v>0</v>
      </c>
      <c r="G63" s="12">
        <f>Tabel24[[#This Row],[Stand Coffee einde maand]]-Tabel24[[#This Row],[Coffee vorige maand]]</f>
        <v>608</v>
      </c>
      <c r="H63" s="25">
        <v>34</v>
      </c>
      <c r="I63">
        <f>Tabel2[[#This Row],[Espresso]]</f>
        <v>0</v>
      </c>
      <c r="J63" s="12">
        <f>Tabel24[[#This Row],[Stand Espresso Einde maand]]-Tabel24[[#This Row],[Espresso vorige maand]]</f>
        <v>34</v>
      </c>
      <c r="K63" s="25">
        <v>187</v>
      </c>
      <c r="L63">
        <f>Tabel2[[#This Row],[Latte Macchiato]]</f>
        <v>0</v>
      </c>
      <c r="M63">
        <f>Tabel24[[#This Row],[Stand Latte Macchiato einde maand]]-Tabel24[[#This Row],[Latte Macchiato vorige maand]]</f>
        <v>187</v>
      </c>
      <c r="N63" s="25">
        <v>69</v>
      </c>
      <c r="O63">
        <f>Tabel2[[#This Row],[Coffee Latte]]</f>
        <v>32</v>
      </c>
      <c r="P63">
        <f>Tabel24[[#This Row],[Stand Coffee Latte einde maand]]-Tabel24[[#This Row],[Coffee Latte vorige maand]]</f>
        <v>37</v>
      </c>
      <c r="Q63" s="25">
        <v>456</v>
      </c>
      <c r="R63">
        <f>Tabel2[[#This Row],[Hot Water]]</f>
        <v>146</v>
      </c>
      <c r="S63">
        <f>Tabel24[[#This Row],[Stand Hot Water einde maand]]-Tabel24[[#This Row],[Hot Water vorige maand]]</f>
        <v>310</v>
      </c>
      <c r="T63" s="25">
        <v>168</v>
      </c>
      <c r="U63">
        <f>Tabel2[[#This Row],[Cappucino]]</f>
        <v>53</v>
      </c>
      <c r="V63">
        <f>Tabel24[[#This Row],[Stand Cappucino einde maand]]-Tabel24[[#This Row],[Stand Cappucino vorige maand]]</f>
        <v>115</v>
      </c>
      <c r="W63" s="25">
        <v>31</v>
      </c>
      <c r="X63">
        <f>Tabel2[[#This Row],[Cappucino Plantaardig]]</f>
        <v>11</v>
      </c>
      <c r="Y63">
        <f>Tabel24[[#This Row],[Stand Cappucino Plantaardig einde maand]]-Tabel24[[#This Row],[Stand Cappucino Plantaardig vorige maand]]</f>
        <v>20</v>
      </c>
      <c r="Z63" s="25">
        <v>33</v>
      </c>
      <c r="AA63">
        <f>Tabel2[[#This Row],[Latte Macchiato Plantaardig]]</f>
        <v>5</v>
      </c>
      <c r="AB63" s="12">
        <f>Tabel24[[#This Row],[Stand Latte Macchiato Plantaardig einde maand]]-Tabel24[[#This Row],[Stand Latte Macchiato Plantaardig vorige maand]]</f>
        <v>28</v>
      </c>
      <c r="AC63" s="3">
        <f>Tabel24[[#This Row],[Verbruik Stand Latte Macchiato Plantaardig deze maand]]+Tabel24[[#This Row],[Verbruik  Cappucino Plantaardig deze maand]]+Tabel24[[#This Row],[Verbruik Cappucino deze maand]]+Tabel24[[#This Row],[Verbruik Hot Water deze maand]]+Tabel24[[#This Row],[Verbruik Coffee Latte deze maand]]+Tabel24[[#This Row],[Verbruik Latte Macchiato deze maand]]+Tabel24[[#This Row],[Verbruik Espresso deze maand]]+Tabel24[[#This Row],[Verbruik Coffee deze maand]]</f>
        <v>1339</v>
      </c>
      <c r="AD63" s="26"/>
      <c r="AE63" s="5"/>
      <c r="AF63" s="5"/>
      <c r="AG63" s="5"/>
      <c r="AH63" s="26"/>
      <c r="AI63" s="5"/>
      <c r="AJ63" s="5"/>
      <c r="AK63" s="5"/>
      <c r="AL63" s="26"/>
      <c r="AM63" s="5"/>
      <c r="AN63" s="5"/>
      <c r="AO63" s="5"/>
      <c r="AP63" s="26"/>
      <c r="AQ63" s="5"/>
      <c r="AR63" s="5"/>
      <c r="AS63" s="5"/>
      <c r="AT63" s="26"/>
      <c r="AU63" s="5"/>
      <c r="AV63" s="5"/>
      <c r="AW63" s="21"/>
      <c r="AX63" s="8"/>
      <c r="AY63" s="4">
        <f>Tabel24[[#This Row],[Subtotaal waterbar in consumpties]]+Tabel24[[#This Row],[Subtotaal koffieautomaten]]</f>
        <v>1339</v>
      </c>
    </row>
    <row r="64" spans="1:51" x14ac:dyDescent="0.25">
      <c r="A64" s="3" t="s">
        <v>112</v>
      </c>
      <c r="E64" s="24">
        <f t="shared" ref="E64:W64" si="0">SUM(E3:E63)</f>
        <v>45236</v>
      </c>
      <c r="F64" s="3">
        <f>Tabel2[[#This Row],[Coffee]]</f>
        <v>23006</v>
      </c>
      <c r="G64" s="17">
        <f>Tabel24[[#This Row],[Stand Coffee einde maand]]-Tabel24[[#This Row],[Coffee vorige maand]]</f>
        <v>22230</v>
      </c>
      <c r="H64" s="24">
        <f t="shared" si="0"/>
        <v>12226</v>
      </c>
      <c r="I64" s="3">
        <f>Tabel2[[#This Row],[Espresso]]</f>
        <v>6549</v>
      </c>
      <c r="J64" s="17">
        <f>Tabel24[[#This Row],[Stand Espresso Einde maand]]-Tabel24[[#This Row],[Espresso vorige maand]]</f>
        <v>5677</v>
      </c>
      <c r="K64" s="24">
        <f t="shared" si="0"/>
        <v>6258</v>
      </c>
      <c r="L64" s="3">
        <f>Tabel2[[#This Row],[Latte Macchiato]]</f>
        <v>3039</v>
      </c>
      <c r="M64" s="3">
        <f>Tabel24[[#This Row],[Stand Latte Macchiato einde maand]]-Tabel24[[#This Row],[Latte Macchiato vorige maand]]</f>
        <v>3219</v>
      </c>
      <c r="N64" s="24">
        <f t="shared" si="0"/>
        <v>3298</v>
      </c>
      <c r="O64" s="3">
        <f>Tabel2[[#This Row],[Coffee Latte]]</f>
        <v>1600</v>
      </c>
      <c r="P64" s="3">
        <f>Tabel24[[#This Row],[Stand Coffee Latte einde maand]]-Tabel24[[#This Row],[Coffee Latte vorige maand]]</f>
        <v>1698</v>
      </c>
      <c r="Q64" s="24">
        <f t="shared" si="0"/>
        <v>53283</v>
      </c>
      <c r="R64" s="3">
        <f>Tabel2[[#This Row],[Hot Water]]</f>
        <v>25847</v>
      </c>
      <c r="S64" s="3">
        <f>Tabel24[[#This Row],[Stand Hot Water einde maand]]-Tabel24[[#This Row],[Hot Water vorige maand]]</f>
        <v>27436</v>
      </c>
      <c r="T64" s="24">
        <f t="shared" si="0"/>
        <v>26172</v>
      </c>
      <c r="U64" s="3">
        <f>Tabel2[[#This Row],[Cappucino]]</f>
        <v>13251</v>
      </c>
      <c r="V64" s="3">
        <f>Tabel24[[#This Row],[Stand Cappucino einde maand]]-Tabel24[[#This Row],[Stand Cappucino vorige maand]]</f>
        <v>12921</v>
      </c>
      <c r="W64" s="24">
        <f t="shared" si="0"/>
        <v>7563</v>
      </c>
      <c r="X64" s="3">
        <f>Tabel2[[#This Row],[Cappucino Plantaardig]]</f>
        <v>3831</v>
      </c>
      <c r="Y64" s="3">
        <f>Tabel24[[#This Row],[Stand Cappucino Plantaardig einde maand]]-Tabel24[[#This Row],[Stand Cappucino Plantaardig vorige maand]]</f>
        <v>3732</v>
      </c>
      <c r="Z64" s="24">
        <f>SUM(Z3:Z63)</f>
        <v>2619</v>
      </c>
      <c r="AA64" s="3">
        <f>Tabel2[[#This Row],[Latte Macchiato Plantaardig]]</f>
        <v>1302</v>
      </c>
      <c r="AB64" s="17">
        <f>Tabel24[[#This Row],[Stand Latte Macchiato Plantaardig einde maand]]-Tabel24[[#This Row],[Stand Latte Macchiato Plantaardig vorige maand]]</f>
        <v>1317</v>
      </c>
      <c r="AC64" s="3">
        <f>SUM(AC3:AC63)</f>
        <v>78230</v>
      </c>
      <c r="AD64" s="24">
        <f>SUM(AD3:AD63)</f>
        <v>769.59999999999991</v>
      </c>
      <c r="AE64" s="3">
        <f>Tabel2[[#This Row],[kamertemp liter]]</f>
        <v>510.50000000000006</v>
      </c>
      <c r="AF64" s="3">
        <f>Tabel24[[#This Row],[Stand Kamertemp liter einde maand]]-Tabel24[[#This Row],[Stand Kamertemp liter vorige maand]]</f>
        <v>259.09999999999985</v>
      </c>
      <c r="AG64" s="4">
        <f>SUM(AG3:AG63)</f>
        <v>1727.3333333333335</v>
      </c>
      <c r="AH64" s="23">
        <f t="shared" ref="AH64:AW64" si="1">SUM(AH3:AH63)</f>
        <v>3714.58</v>
      </c>
      <c r="AI64" s="4">
        <f>Tabel2[[#This Row],[gekoeld liter]]</f>
        <v>2112.8999999999996</v>
      </c>
      <c r="AJ64" s="4">
        <f>Tabel24[[#This Row],[Stand Gekoeld liter einde maand]]-Tabel24[[#This Row],[Stand Gekoeld liter vorige maand]]</f>
        <v>1601.6800000000003</v>
      </c>
      <c r="AK64" s="4">
        <f t="shared" si="1"/>
        <v>10677.866666666669</v>
      </c>
      <c r="AL64" s="23">
        <f t="shared" si="1"/>
        <v>3970.3</v>
      </c>
      <c r="AM64" s="4">
        <f>Tabel2[[#This Row],[bruisend liter]]</f>
        <v>2469.8999999999992</v>
      </c>
      <c r="AN64" s="4">
        <f>Tabel24[[#This Row],[Stand Bruisend liter einde maand]]-Tabel24[[#This Row],[Stand Bruisend liter vorige maand]]</f>
        <v>1500.400000000001</v>
      </c>
      <c r="AO64" s="4">
        <f t="shared" si="1"/>
        <v>10002.666666666666</v>
      </c>
      <c r="AP64" s="23">
        <f t="shared" si="1"/>
        <v>2121.7000000000003</v>
      </c>
      <c r="AQ64" s="4">
        <f>Tabel2[[#This Row],[licht bruisend liter]]</f>
        <v>1370.6</v>
      </c>
      <c r="AR64" s="4">
        <f>Tabel24[[#This Row],[Stand licht bruisend liter einde maand]]-Tabel24[[#This Row],[Stand licht bruisend liter vorige maand]]</f>
        <v>751.10000000000036</v>
      </c>
      <c r="AS64" s="4">
        <f t="shared" si="1"/>
        <v>5007.333333333333</v>
      </c>
      <c r="AT64" s="23">
        <f t="shared" si="1"/>
        <v>15369.400000000001</v>
      </c>
      <c r="AU64" s="4">
        <f>Tabel2[[#This Row],[heet water liter]]</f>
        <v>10651.1</v>
      </c>
      <c r="AV64" s="4">
        <f>Tabel24[[#This Row],[Stand heet water liter einde maand]]-Tabel24[[#This Row],[Stand heet water liter vorige maand]]</f>
        <v>4718.3000000000011</v>
      </c>
      <c r="AW64" s="22">
        <f t="shared" si="1"/>
        <v>31455.333333333336</v>
      </c>
      <c r="AX64" s="4">
        <f>SUM(AX3:AX63)</f>
        <v>58870.53333333334</v>
      </c>
      <c r="AY64" s="4">
        <f>Tabel24[[#This Row],[Subtotaal waterbar in consumpties]]+Tabel24[[#This Row],[Subtotaal koffieautomaten]]</f>
        <v>137100.53333333333</v>
      </c>
    </row>
    <row r="65" spans="8:51" x14ac:dyDescent="0.25">
      <c r="H65" s="13"/>
      <c r="I65" s="14"/>
      <c r="J65" s="15"/>
      <c r="K65" s="13"/>
      <c r="L65" s="14"/>
      <c r="M65" s="14"/>
      <c r="AQ65">
        <f>Tabel2[[#This Row],[licht bruisend liter]]</f>
        <v>0</v>
      </c>
      <c r="AR65">
        <f>Tabel24[[#This Row],[Stand licht bruisend liter einde maand]]-Tabel24[[#This Row],[Stand licht bruisend liter vorige maand]]</f>
        <v>0</v>
      </c>
      <c r="AU65">
        <f>Tabel2[[#This Row],[heet water liter]]</f>
        <v>0</v>
      </c>
      <c r="AV65">
        <f>Tabel24[[#This Row],[Stand heet water liter einde maand]]-Tabel24[[#This Row],[Stand heet water liter vorige maand]]</f>
        <v>0</v>
      </c>
      <c r="AX65" s="3"/>
      <c r="AY65" s="3"/>
    </row>
  </sheetData>
  <sheetProtection sheet="1" objects="1" scenarios="1"/>
  <mergeCells count="3">
    <mergeCell ref="A1:D1"/>
    <mergeCell ref="E1:AC1"/>
    <mergeCell ref="AD1:AY1"/>
  </mergeCells>
  <phoneticPr fontId="3" type="noConversion"/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8D475-8CDD-4EF0-B961-2104984AB208}">
  <dimension ref="A1:DZ147"/>
  <sheetViews>
    <sheetView topLeftCell="X1" zoomScale="120" zoomScaleNormal="120" workbookViewId="0">
      <pane ySplit="2" topLeftCell="A46" activePane="bottomLeft" state="frozen"/>
      <selection pane="bottomLeft" activeCell="A3" sqref="A3:XFD3"/>
    </sheetView>
  </sheetViews>
  <sheetFormatPr defaultRowHeight="15" x14ac:dyDescent="0.25"/>
  <cols>
    <col min="1" max="1" width="32.140625" style="65" bestFit="1" customWidth="1"/>
    <col min="2" max="2" width="21.42578125" bestFit="1" customWidth="1"/>
    <col min="3" max="3" width="25.42578125" bestFit="1" customWidth="1"/>
    <col min="4" max="4" width="18.5703125" style="52" customWidth="1"/>
    <col min="5" max="5" width="10.140625" customWidth="1"/>
    <col min="6" max="6" width="10.42578125" customWidth="1"/>
    <col min="7" max="7" width="10.5703125" customWidth="1"/>
    <col min="8" max="8" width="11.85546875" customWidth="1"/>
    <col min="9" max="9" width="11.7109375" customWidth="1"/>
    <col min="10" max="10" width="12.42578125" customWidth="1"/>
    <col min="11" max="11" width="17.140625" style="53" customWidth="1"/>
    <col min="12" max="12" width="13.5703125" customWidth="1"/>
    <col min="13" max="13" width="13.42578125" bestFit="1" customWidth="1"/>
    <col min="14" max="14" width="14" style="53" customWidth="1"/>
    <col min="15" max="16" width="14" customWidth="1"/>
    <col min="17" max="17" width="14.140625" style="53" customWidth="1"/>
    <col min="18" max="19" width="12.28515625" customWidth="1"/>
    <col min="20" max="20" width="12.42578125" style="53" customWidth="1"/>
    <col min="21" max="22" width="12.42578125" customWidth="1"/>
    <col min="23" max="23" width="17" style="53" customWidth="1"/>
    <col min="24" max="25" width="17" customWidth="1"/>
    <col min="26" max="26" width="20.7109375" style="53" customWidth="1"/>
    <col min="27" max="28" width="20.7109375" customWidth="1"/>
    <col min="29" max="29" width="14.7109375" style="74" customWidth="1"/>
    <col min="30" max="30" width="17.5703125" style="53" customWidth="1"/>
    <col min="31" max="32" width="17.5703125" customWidth="1"/>
    <col min="33" max="33" width="20.28515625" customWidth="1"/>
    <col min="34" max="34" width="14.42578125" style="53" customWidth="1"/>
    <col min="35" max="36" width="14.42578125" customWidth="1"/>
    <col min="37" max="37" width="21.28515625" customWidth="1"/>
    <col min="38" max="38" width="15.140625" style="53" customWidth="1"/>
    <col min="39" max="40" width="15.140625" customWidth="1"/>
    <col min="41" max="41" width="21.28515625" customWidth="1"/>
    <col min="42" max="42" width="19.42578125" style="53" customWidth="1"/>
    <col min="43" max="44" width="19.42578125" customWidth="1"/>
    <col min="45" max="45" width="21.28515625" customWidth="1"/>
    <col min="46" max="46" width="17" style="53" customWidth="1"/>
    <col min="47" max="48" width="17" customWidth="1"/>
    <col min="49" max="49" width="21.28515625" customWidth="1"/>
    <col min="50" max="50" width="20" style="74" customWidth="1"/>
    <col min="51" max="51" width="23.5703125" style="68" bestFit="1" customWidth="1"/>
    <col min="52" max="52" width="10" bestFit="1" customWidth="1"/>
    <col min="53" max="53" width="14.28515625" bestFit="1" customWidth="1"/>
  </cols>
  <sheetData>
    <row r="1" spans="1:130" ht="14.45" customHeight="1" x14ac:dyDescent="0.25">
      <c r="A1" s="61" t="s">
        <v>0</v>
      </c>
      <c r="B1" s="62"/>
      <c r="C1" s="62"/>
      <c r="D1" s="63"/>
      <c r="E1" s="174" t="s">
        <v>1</v>
      </c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3" t="s">
        <v>2</v>
      </c>
      <c r="AE1" s="174"/>
      <c r="AF1" s="174"/>
      <c r="AG1" s="174"/>
      <c r="AH1" s="174"/>
      <c r="AI1" s="174"/>
      <c r="AJ1" s="174"/>
      <c r="AK1" s="174"/>
      <c r="AL1" s="174"/>
      <c r="AM1" s="174"/>
      <c r="AN1" s="174"/>
      <c r="AO1" s="174"/>
      <c r="AP1" s="174"/>
      <c r="AQ1" s="174"/>
      <c r="AR1" s="174"/>
      <c r="AS1" s="174"/>
      <c r="AT1" s="174"/>
      <c r="AU1" s="174"/>
      <c r="AV1" s="174"/>
      <c r="AW1" s="174"/>
      <c r="AX1" s="174"/>
      <c r="AY1" s="174"/>
    </row>
    <row r="2" spans="1:130" ht="120" customHeight="1" x14ac:dyDescent="0.25">
      <c r="A2" s="65" t="s">
        <v>3</v>
      </c>
      <c r="B2" t="s">
        <v>4</v>
      </c>
      <c r="C2" t="s">
        <v>5</v>
      </c>
      <c r="D2" s="52" t="s">
        <v>6</v>
      </c>
      <c r="E2" s="1" t="s">
        <v>113</v>
      </c>
      <c r="F2" s="1" t="s">
        <v>114</v>
      </c>
      <c r="G2" s="60" t="s">
        <v>115</v>
      </c>
      <c r="H2" s="1" t="s">
        <v>116</v>
      </c>
      <c r="I2" s="1" t="s">
        <v>117</v>
      </c>
      <c r="J2" s="1" t="s">
        <v>118</v>
      </c>
      <c r="K2" s="59" t="s">
        <v>119</v>
      </c>
      <c r="L2" s="1" t="s">
        <v>120</v>
      </c>
      <c r="M2" s="1" t="s">
        <v>121</v>
      </c>
      <c r="N2" s="59" t="s">
        <v>122</v>
      </c>
      <c r="O2" s="1" t="s">
        <v>123</v>
      </c>
      <c r="P2" s="1" t="s">
        <v>124</v>
      </c>
      <c r="Q2" s="59" t="s">
        <v>125</v>
      </c>
      <c r="R2" s="1" t="s">
        <v>126</v>
      </c>
      <c r="S2" s="1" t="s">
        <v>127</v>
      </c>
      <c r="T2" s="59" t="s">
        <v>128</v>
      </c>
      <c r="U2" s="1" t="s">
        <v>129</v>
      </c>
      <c r="V2" s="1" t="s">
        <v>130</v>
      </c>
      <c r="W2" s="59" t="s">
        <v>131</v>
      </c>
      <c r="X2" s="1" t="s">
        <v>132</v>
      </c>
      <c r="Y2" s="1" t="s">
        <v>133</v>
      </c>
      <c r="Z2" s="59" t="s">
        <v>134</v>
      </c>
      <c r="AA2" s="1" t="s">
        <v>135</v>
      </c>
      <c r="AB2" s="1" t="s">
        <v>136</v>
      </c>
      <c r="AC2" s="70" t="s">
        <v>15</v>
      </c>
      <c r="AD2" s="59" t="s">
        <v>137</v>
      </c>
      <c r="AE2" s="1" t="s">
        <v>138</v>
      </c>
      <c r="AF2" s="1" t="s">
        <v>139</v>
      </c>
      <c r="AG2" s="1" t="s">
        <v>140</v>
      </c>
      <c r="AH2" s="59" t="s">
        <v>141</v>
      </c>
      <c r="AI2" s="1" t="s">
        <v>142</v>
      </c>
      <c r="AJ2" s="1" t="s">
        <v>143</v>
      </c>
      <c r="AK2" s="1" t="s">
        <v>144</v>
      </c>
      <c r="AL2" s="59" t="s">
        <v>145</v>
      </c>
      <c r="AM2" s="1" t="s">
        <v>146</v>
      </c>
      <c r="AN2" s="1" t="s">
        <v>147</v>
      </c>
      <c r="AO2" s="1" t="s">
        <v>148</v>
      </c>
      <c r="AP2" s="59" t="s">
        <v>149</v>
      </c>
      <c r="AQ2" s="1" t="s">
        <v>150</v>
      </c>
      <c r="AR2" s="1" t="s">
        <v>151</v>
      </c>
      <c r="AS2" s="1" t="s">
        <v>152</v>
      </c>
      <c r="AT2" s="59" t="s">
        <v>153</v>
      </c>
      <c r="AU2" s="1" t="s">
        <v>154</v>
      </c>
      <c r="AV2" s="1" t="s">
        <v>155</v>
      </c>
      <c r="AW2" s="1" t="s">
        <v>156</v>
      </c>
      <c r="AX2" s="70" t="s">
        <v>157</v>
      </c>
      <c r="AY2" s="93" t="s">
        <v>27</v>
      </c>
    </row>
    <row r="3" spans="1:130" s="146" customFormat="1" x14ac:dyDescent="0.25">
      <c r="A3" s="158" t="s">
        <v>168</v>
      </c>
      <c r="B3" s="147"/>
      <c r="C3" s="147"/>
      <c r="D3" s="159"/>
      <c r="E3" s="149"/>
      <c r="F3" s="147"/>
      <c r="G3" s="147"/>
      <c r="H3" s="149"/>
      <c r="I3" s="147"/>
      <c r="J3" s="147"/>
      <c r="K3" s="160"/>
      <c r="L3" s="147"/>
      <c r="M3" s="147"/>
      <c r="N3" s="160"/>
      <c r="O3" s="147"/>
      <c r="P3" s="147"/>
      <c r="Q3" s="160"/>
      <c r="R3" s="147"/>
      <c r="S3" s="147"/>
      <c r="T3" s="160"/>
      <c r="U3" s="147"/>
      <c r="V3" s="147"/>
      <c r="W3" s="160"/>
      <c r="X3" s="147"/>
      <c r="Y3" s="147"/>
      <c r="Z3" s="160"/>
      <c r="AA3" s="147"/>
      <c r="AB3" s="147"/>
      <c r="AC3" s="161"/>
      <c r="AD3" s="162"/>
      <c r="AE3" s="147"/>
      <c r="AF3" s="147"/>
      <c r="AG3" s="148"/>
      <c r="AH3" s="160"/>
      <c r="AI3" s="147"/>
      <c r="AJ3" s="147"/>
      <c r="AK3" s="148"/>
      <c r="AL3" s="160"/>
      <c r="AM3" s="147"/>
      <c r="AN3" s="147"/>
      <c r="AO3" s="148"/>
      <c r="AP3" s="160"/>
      <c r="AQ3" s="147"/>
      <c r="AR3" s="147"/>
      <c r="AS3" s="148"/>
      <c r="AT3" s="160"/>
      <c r="AU3" s="147"/>
      <c r="AV3" s="147"/>
      <c r="AW3" s="148"/>
      <c r="AX3" s="163"/>
      <c r="AY3" s="164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</row>
    <row r="4" spans="1:130" s="81" customFormat="1" ht="14.45" customHeight="1" x14ac:dyDescent="0.25">
      <c r="A4" s="80" t="s">
        <v>28</v>
      </c>
      <c r="D4" s="82"/>
      <c r="E4" s="83"/>
      <c r="H4" s="84"/>
      <c r="K4" s="84"/>
      <c r="N4" s="84"/>
      <c r="Q4" s="84"/>
      <c r="T4" s="84"/>
      <c r="W4" s="84"/>
      <c r="Z4" s="84"/>
      <c r="AC4" s="85"/>
      <c r="AD4" s="86"/>
      <c r="AG4" s="87"/>
      <c r="AH4" s="84"/>
      <c r="AK4" s="87"/>
      <c r="AL4" s="84"/>
      <c r="AO4" s="87"/>
      <c r="AP4" s="84"/>
      <c r="AS4" s="87"/>
      <c r="AT4" s="84"/>
      <c r="AW4" s="87"/>
      <c r="AX4" s="88"/>
      <c r="AY4" s="9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</row>
    <row r="5" spans="1:130" ht="14.45" customHeight="1" x14ac:dyDescent="0.25">
      <c r="A5" s="65" t="s">
        <v>29</v>
      </c>
      <c r="B5" t="s">
        <v>30</v>
      </c>
      <c r="C5" t="s">
        <v>31</v>
      </c>
      <c r="E5">
        <v>9412</v>
      </c>
      <c r="F5">
        <f>juli2025!E5</f>
        <v>9030</v>
      </c>
      <c r="G5">
        <f>Tabel2425678910111213141517161819212022232614151819[[#This Row],[Stand Coffee einde maand]]-Tabel2425678910111213141517161819212022232614151819[[#This Row],[Coffee vorige maand]]</f>
        <v>382</v>
      </c>
      <c r="H5" s="53">
        <v>4220</v>
      </c>
      <c r="I5">
        <f>juli2025!H5</f>
        <v>4060</v>
      </c>
      <c r="J5">
        <f>Tabel2425678910111213141517161819212022232614151819[[#This Row],[Stand Espresso Einde maand]]-Tabel2425678910111213141517161819212022232614151819[[#This Row],[Espresso vorige maand]]</f>
        <v>160</v>
      </c>
      <c r="K5" s="53">
        <v>2540</v>
      </c>
      <c r="L5">
        <f>juli2025!K5</f>
        <v>2506</v>
      </c>
      <c r="M5">
        <f>Tabel2425678910111213141517161819212022232614151819[[#This Row],[Stand Latte Macchiato einde maand]]-Tabel2425678910111213141517161819212022232614151819[[#This Row],[Latte Macchiato vorige maand]]</f>
        <v>34</v>
      </c>
      <c r="N5" s="53">
        <v>1291</v>
      </c>
      <c r="O5">
        <f>juli2025!N5</f>
        <v>1273</v>
      </c>
      <c r="P5">
        <f>Tabel2425678910111213141517161819212022232614151819[[#This Row],[Stand Coffee Latte einde maand]]-Tabel2425678910111213141517161819212022232614151819[[#This Row],[Coffee Latte vorige maand]]</f>
        <v>18</v>
      </c>
      <c r="Q5" s="53">
        <v>7734</v>
      </c>
      <c r="R5">
        <f>juli2025!Q5</f>
        <v>7514</v>
      </c>
      <c r="S5">
        <f>Tabel2425678910111213141517161819212022232614151819[[#This Row],[Stand Hot Water einde maand]]-Tabel2425678910111213141517161819212022232614151819[[#This Row],[Hot Water vorige maand]]</f>
        <v>220</v>
      </c>
      <c r="T5" s="53">
        <v>9861</v>
      </c>
      <c r="U5">
        <f>juli2025!T5</f>
        <v>9629</v>
      </c>
      <c r="V5">
        <f>Tabel2425678910111213141517161819212022232614151819[[#This Row],[Stand Cappucino einde maand]]-Tabel2425678910111213141517161819212022232614151819[[#This Row],[Stand Cappucino vorige maand]]</f>
        <v>232</v>
      </c>
      <c r="W5" s="53">
        <v>218</v>
      </c>
      <c r="X5">
        <f>juli2025!W5</f>
        <v>208</v>
      </c>
      <c r="Y5">
        <f>Tabel2425678910111213141517161819212022232614151819[[#This Row],[Stand Cappucino Plantaardig einde maand]]-Tabel2425678910111213141517161819212022232614151819[[#This Row],[Stand Cappucino Plantaardig vorige maand]]</f>
        <v>10</v>
      </c>
      <c r="Z5" s="53">
        <v>370</v>
      </c>
      <c r="AA5">
        <f>juli2025!Z5</f>
        <v>370</v>
      </c>
      <c r="AB5">
        <f>Tabel2425678910111213141517161819212022232614151819[[#This Row],[Stand Latte Macchiato Plantaardig einde maand]]-Tabel2425678910111213141517161819212022232614151819[[#This Row],[Stand Latte Macchiato Plantaardig vorige maand]]</f>
        <v>0</v>
      </c>
      <c r="AC5" s="71">
        <f>Tabel2425678910111213141517161819212022232614151819[[#This Row],[Verbruik Stand Latte Macchiato Plantaardig deze maand]]+Tabel2425678910111213141517161819212022232614151819[[#This Row],[Verbruik  Cappucino Plantaardig deze maand]]+Tabel2425678910111213141517161819212022232614151819[[#This Row],[Verbruik Cappucino deze maand]]+Tabel2425678910111213141517161819212022232614151819[[#This Row],[Verbruik Hot Water deze maand]]+Tabel2425678910111213141517161819212022232614151819[[#This Row],[Verbruik Coffee Latte deze maand]]+Tabel2425678910111213141517161819212022232614151819[[#This Row],[Verbruik Latte Macchiato deze maand]]+Tabel2425678910111213141517161819212022232614151819[[#This Row],[Verbruik Espresso deze maand]]+Tabel2425678910111213141517161819212022232614151819[[#This Row],[Verbruik Coffee deze maand]]</f>
        <v>1056</v>
      </c>
      <c r="AD5" s="69"/>
      <c r="AE5" s="41"/>
      <c r="AF5" s="5"/>
      <c r="AG5" s="5"/>
      <c r="AH5" s="69"/>
      <c r="AI5" s="41"/>
      <c r="AJ5" s="5"/>
      <c r="AK5" s="5"/>
      <c r="AL5" s="69"/>
      <c r="AM5" s="41"/>
      <c r="AN5" s="5"/>
      <c r="AO5" s="5"/>
      <c r="AP5" s="69"/>
      <c r="AQ5" s="41"/>
      <c r="AR5" s="5"/>
      <c r="AS5" s="5"/>
      <c r="AT5" s="69"/>
      <c r="AU5" s="41"/>
      <c r="AV5" s="5"/>
      <c r="AW5" s="7"/>
      <c r="AX5" s="78"/>
      <c r="AY5" s="95">
        <f>Tabel2425678910111213141517161819212022232614151819[[#This Row],[Subtotaal waterbar in consumpties]]+Tabel2425678910111213141517161819212022232614151819[[#This Row],[Subtotaal koffieautomaten]]</f>
        <v>1056</v>
      </c>
    </row>
    <row r="6" spans="1:130" ht="14.45" customHeight="1" x14ac:dyDescent="0.25">
      <c r="A6" s="65" t="s">
        <v>32</v>
      </c>
      <c r="B6" t="s">
        <v>33</v>
      </c>
      <c r="C6" t="s">
        <v>31</v>
      </c>
      <c r="E6">
        <v>13933</v>
      </c>
      <c r="F6">
        <f>juli2025!E6</f>
        <v>13723</v>
      </c>
      <c r="G6">
        <f>Tabel2425678910111213141517161819212022232614151819[[#This Row],[Stand Coffee einde maand]]-Tabel2425678910111213141517161819212022232614151819[[#This Row],[Coffee vorige maand]]</f>
        <v>210</v>
      </c>
      <c r="H6" s="53">
        <v>3899</v>
      </c>
      <c r="I6">
        <f>juli2025!H6</f>
        <v>3847</v>
      </c>
      <c r="J6">
        <f>Tabel2425678910111213141517161819212022232614151819[[#This Row],[Stand Espresso Einde maand]]-Tabel2425678910111213141517161819212022232614151819[[#This Row],[Espresso vorige maand]]</f>
        <v>52</v>
      </c>
      <c r="K6" s="53">
        <v>2637</v>
      </c>
      <c r="L6">
        <f>juli2025!K6</f>
        <v>2590</v>
      </c>
      <c r="M6">
        <f>Tabel2425678910111213141517161819212022232614151819[[#This Row],[Stand Latte Macchiato einde maand]]-Tabel2425678910111213141517161819212022232614151819[[#This Row],[Latte Macchiato vorige maand]]</f>
        <v>47</v>
      </c>
      <c r="N6" s="53">
        <v>2123</v>
      </c>
      <c r="O6">
        <f>juli2025!N6</f>
        <v>2101</v>
      </c>
      <c r="P6">
        <f>Tabel2425678910111213141517161819212022232614151819[[#This Row],[Stand Coffee Latte einde maand]]-Tabel2425678910111213141517161819212022232614151819[[#This Row],[Coffee Latte vorige maand]]</f>
        <v>22</v>
      </c>
      <c r="Q6" s="53">
        <v>30399</v>
      </c>
      <c r="R6">
        <f>juli2025!Q6</f>
        <v>29910</v>
      </c>
      <c r="S6">
        <f>Tabel2425678910111213141517161819212022232614151819[[#This Row],[Stand Hot Water einde maand]]-Tabel2425678910111213141517161819212022232614151819[[#This Row],[Hot Water vorige maand]]</f>
        <v>489</v>
      </c>
      <c r="T6" s="53">
        <v>12874</v>
      </c>
      <c r="U6">
        <f>juli2025!T6</f>
        <v>12691</v>
      </c>
      <c r="V6">
        <f>Tabel2425678910111213141517161819212022232614151819[[#This Row],[Stand Cappucino einde maand]]-Tabel2425678910111213141517161819212022232614151819[[#This Row],[Stand Cappucino vorige maand]]</f>
        <v>183</v>
      </c>
      <c r="W6" s="53">
        <v>1821</v>
      </c>
      <c r="X6">
        <f>juli2025!W6</f>
        <v>1784</v>
      </c>
      <c r="Y6">
        <f>Tabel2425678910111213141517161819212022232614151819[[#This Row],[Stand Cappucino Plantaardig einde maand]]-Tabel2425678910111213141517161819212022232614151819[[#This Row],[Stand Cappucino Plantaardig vorige maand]]</f>
        <v>37</v>
      </c>
      <c r="Z6" s="53">
        <v>797</v>
      </c>
      <c r="AA6">
        <f>juli2025!Z6</f>
        <v>778</v>
      </c>
      <c r="AB6">
        <f>Tabel2425678910111213141517161819212022232614151819[[#This Row],[Stand Latte Macchiato Plantaardig einde maand]]-Tabel2425678910111213141517161819212022232614151819[[#This Row],[Stand Latte Macchiato Plantaardig vorige maand]]</f>
        <v>19</v>
      </c>
      <c r="AC6" s="71">
        <f>Tabel2425678910111213141517161819212022232614151819[[#This Row],[Verbruik Stand Latte Macchiato Plantaardig deze maand]]+Tabel2425678910111213141517161819212022232614151819[[#This Row],[Verbruik  Cappucino Plantaardig deze maand]]+Tabel2425678910111213141517161819212022232614151819[[#This Row],[Verbruik Cappucino deze maand]]+Tabel2425678910111213141517161819212022232614151819[[#This Row],[Verbruik Hot Water deze maand]]+Tabel2425678910111213141517161819212022232614151819[[#This Row],[Verbruik Coffee Latte deze maand]]+Tabel2425678910111213141517161819212022232614151819[[#This Row],[Verbruik Latte Macchiato deze maand]]+Tabel2425678910111213141517161819212022232614151819[[#This Row],[Verbruik Espresso deze maand]]+Tabel2425678910111213141517161819212022232614151819[[#This Row],[Verbruik Coffee deze maand]]</f>
        <v>1059</v>
      </c>
      <c r="AD6" s="69"/>
      <c r="AE6" s="41"/>
      <c r="AF6" s="5"/>
      <c r="AG6" s="5"/>
      <c r="AH6" s="69"/>
      <c r="AI6" s="41"/>
      <c r="AJ6" s="5"/>
      <c r="AK6" s="5"/>
      <c r="AL6" s="69"/>
      <c r="AM6" s="41"/>
      <c r="AN6" s="5"/>
      <c r="AO6" s="5"/>
      <c r="AP6" s="69"/>
      <c r="AQ6" s="41"/>
      <c r="AR6" s="5"/>
      <c r="AS6" s="5"/>
      <c r="AT6" s="69"/>
      <c r="AU6" s="41"/>
      <c r="AV6" s="5"/>
      <c r="AW6" s="7"/>
      <c r="AX6" s="78"/>
      <c r="AY6" s="95">
        <f>Tabel2425678910111213141517161819212022232614151819[[#This Row],[Subtotaal waterbar in consumpties]]+Tabel2425678910111213141517161819212022232614151819[[#This Row],[Subtotaal koffieautomaten]]</f>
        <v>1059</v>
      </c>
    </row>
    <row r="7" spans="1:130" ht="14.45" customHeight="1" x14ac:dyDescent="0.25">
      <c r="A7" s="65" t="s">
        <v>34</v>
      </c>
      <c r="B7" t="s">
        <v>35</v>
      </c>
      <c r="C7" t="s">
        <v>47</v>
      </c>
      <c r="E7">
        <v>13718</v>
      </c>
      <c r="F7">
        <f>juli2025!E7</f>
        <v>13408</v>
      </c>
      <c r="G7">
        <f>Tabel2425678910111213141517161819212022232614151819[[#This Row],[Stand Coffee einde maand]]-Tabel2425678910111213141517161819212022232614151819[[#This Row],[Coffee vorige maand]]</f>
        <v>310</v>
      </c>
      <c r="H7" s="53">
        <v>3750</v>
      </c>
      <c r="I7">
        <f>juli2025!H7</f>
        <v>3611</v>
      </c>
      <c r="J7">
        <f>Tabel2425678910111213141517161819212022232614151819[[#This Row],[Stand Espresso Einde maand]]-Tabel2425678910111213141517161819212022232614151819[[#This Row],[Espresso vorige maand]]</f>
        <v>139</v>
      </c>
      <c r="K7" s="53">
        <v>3380</v>
      </c>
      <c r="L7">
        <f>juli2025!K7</f>
        <v>3286</v>
      </c>
      <c r="M7">
        <f>Tabel2425678910111213141517161819212022232614151819[[#This Row],[Stand Latte Macchiato einde maand]]-Tabel2425678910111213141517161819212022232614151819[[#This Row],[Latte Macchiato vorige maand]]</f>
        <v>94</v>
      </c>
      <c r="N7" s="53">
        <v>1547</v>
      </c>
      <c r="O7">
        <f>juli2025!N7</f>
        <v>1490</v>
      </c>
      <c r="P7">
        <f>Tabel2425678910111213141517161819212022232614151819[[#This Row],[Stand Coffee Latte einde maand]]-Tabel2425678910111213141517161819212022232614151819[[#This Row],[Coffee Latte vorige maand]]</f>
        <v>57</v>
      </c>
      <c r="Q7" s="53">
        <v>12376</v>
      </c>
      <c r="R7">
        <f>juli2025!Q7</f>
        <v>12113</v>
      </c>
      <c r="S7">
        <f>Tabel2425678910111213141517161819212022232614151819[[#This Row],[Stand Hot Water einde maand]]-Tabel2425678910111213141517161819212022232614151819[[#This Row],[Hot Water vorige maand]]</f>
        <v>263</v>
      </c>
      <c r="T7" s="53">
        <v>12946</v>
      </c>
      <c r="U7">
        <f>juli2025!T7</f>
        <v>12690</v>
      </c>
      <c r="V7">
        <f>Tabel2425678910111213141517161819212022232614151819[[#This Row],[Stand Cappucino einde maand]]-Tabel2425678910111213141517161819212022232614151819[[#This Row],[Stand Cappucino vorige maand]]</f>
        <v>256</v>
      </c>
      <c r="W7" s="53">
        <v>1223</v>
      </c>
      <c r="X7">
        <f>juli2025!W7</f>
        <v>1165</v>
      </c>
      <c r="Y7">
        <f>Tabel2425678910111213141517161819212022232614151819[[#This Row],[Stand Cappucino Plantaardig einde maand]]-Tabel2425678910111213141517161819212022232614151819[[#This Row],[Stand Cappucino Plantaardig vorige maand]]</f>
        <v>58</v>
      </c>
      <c r="Z7" s="53">
        <v>502</v>
      </c>
      <c r="AA7">
        <f>juli2025!Z7</f>
        <v>489</v>
      </c>
      <c r="AB7">
        <f>Tabel2425678910111213141517161819212022232614151819[[#This Row],[Stand Latte Macchiato Plantaardig einde maand]]-Tabel2425678910111213141517161819212022232614151819[[#This Row],[Stand Latte Macchiato Plantaardig vorige maand]]</f>
        <v>13</v>
      </c>
      <c r="AC7" s="71">
        <f>Tabel2425678910111213141517161819212022232614151819[[#This Row],[Verbruik Stand Latte Macchiato Plantaardig deze maand]]+Tabel2425678910111213141517161819212022232614151819[[#This Row],[Verbruik  Cappucino Plantaardig deze maand]]+Tabel2425678910111213141517161819212022232614151819[[#This Row],[Verbruik Cappucino deze maand]]+Tabel2425678910111213141517161819212022232614151819[[#This Row],[Verbruik Hot Water deze maand]]+Tabel2425678910111213141517161819212022232614151819[[#This Row],[Verbruik Coffee Latte deze maand]]+Tabel2425678910111213141517161819212022232614151819[[#This Row],[Verbruik Latte Macchiato deze maand]]+Tabel2425678910111213141517161819212022232614151819[[#This Row],[Verbruik Espresso deze maand]]+Tabel2425678910111213141517161819212022232614151819[[#This Row],[Verbruik Coffee deze maand]]</f>
        <v>1190</v>
      </c>
      <c r="AD7" s="53">
        <v>446.8</v>
      </c>
      <c r="AE7">
        <f>juli2025!AD7</f>
        <v>401.1</v>
      </c>
      <c r="AF7">
        <f>Tabel2425678910111213141517161819212022232614151819[[#This Row],[Stand Kamertemp liter einde maand]]-Tabel2425678910111213141517161819212022232614151819[[#This Row],[Stand Kamertemp liter vorige maand]]</f>
        <v>45.699999999999989</v>
      </c>
      <c r="AG7" s="2">
        <f>Tabel2425678910111213141517161819212022232614151819[[#This Row],[Verbruik Kamertemp liter deze maand]]/0.15</f>
        <v>304.66666666666663</v>
      </c>
      <c r="AH7" s="53">
        <v>1256.9000000000001</v>
      </c>
      <c r="AI7">
        <f>juli2025!AH7</f>
        <v>1095.4000000000001</v>
      </c>
      <c r="AJ7">
        <f>Tabel2425678910111213141517161819212022232614151819[[#This Row],[Stand Gekoeld liter einde maand]]-Tabel2425678910111213141517161819212022232614151819[[#This Row],[Stand Gekoeld liter vorige maand]]</f>
        <v>161.5</v>
      </c>
      <c r="AK7" s="2">
        <f>Tabel2425678910111213141517161819212022232614151819[[#This Row],[Verbruik Gekoeld liter deze maand]]/0.15</f>
        <v>1076.6666666666667</v>
      </c>
      <c r="AL7" s="53">
        <v>627.6</v>
      </c>
      <c r="AM7">
        <f>juli2025!AL7</f>
        <v>577.79999999999995</v>
      </c>
      <c r="AN7">
        <f>Tabel2425678910111213141517161819212022232614151819[[#This Row],[Stand Bruisend liter einde maand]]-Tabel2425678910111213141517161819212022232614151819[[#This Row],[Stand Bruisend liter vorige maand]]</f>
        <v>49.800000000000068</v>
      </c>
      <c r="AO7" s="2">
        <f>Tabel2425678910111213141517161819212022232614151819[[#This Row],[Verbruik Bruisend liter deze maand]]/0.15</f>
        <v>332.00000000000045</v>
      </c>
      <c r="AP7" s="53">
        <v>496.5</v>
      </c>
      <c r="AQ7">
        <f>juli2025!AP7</f>
        <v>452.6</v>
      </c>
      <c r="AR7">
        <f>Tabel2425678910111213141517161819212022232614151819[[#This Row],[Stand licht bruisend liter einde maand]]-Tabel2425678910111213141517161819212022232614151819[[#This Row],[Stand licht bruisend liter vorige maand]]</f>
        <v>43.899999999999977</v>
      </c>
      <c r="AS7" s="2">
        <f>Tabel2425678910111213141517161819212022232614151819[[#This Row],[Verbruik licht bruisend liter deze maand]]/0.15</f>
        <v>292.66666666666652</v>
      </c>
      <c r="AT7" s="53">
        <v>1789.7</v>
      </c>
      <c r="AU7">
        <f>juli2025!AT7</f>
        <v>1669.2</v>
      </c>
      <c r="AV7">
        <f>Tabel2425678910111213141517161819212022232614151819[[#This Row],[Stand heet water liter einde maand]]-Tabel2425678910111213141517161819212022232614151819[[#This Row],[Stand heet water liter vorige maand]]</f>
        <v>120.5</v>
      </c>
      <c r="AW7" s="2">
        <f>Tabel2425678910111213141517161819212022232614151819[[#This Row],[Verbruik heet Water liter deze maand ]]/0.15</f>
        <v>803.33333333333337</v>
      </c>
      <c r="AX7" s="77">
        <f>Tabel2425678910111213141517161819212022232614151819[[#This Row],[Aantal consumpties heet water deze maand]]+Tabel2425678910111213141517161819212022232614151819[[#This Row],[Aantal consumpties licht bruisend water deze maand]]+Tabel2425678910111213141517161819212022232614151819[[#This Row],[aantal consumpties Bruisend water deze maand]]+Tabel2425678910111213141517161819212022232614151819[[#This Row],[Aantal consumpties gekoeld water deze maand]]+Tabel2425678910111213141517161819212022232614151819[[#This Row],[Aantal consumpties Kamertemp deze maand]]</f>
        <v>2809.3333333333335</v>
      </c>
      <c r="AY7" s="95">
        <f>Tabel2425678910111213141517161819212022232614151819[[#This Row],[Subtotaal waterbar in consumpties]]+Tabel2425678910111213141517161819212022232614151819[[#This Row],[Subtotaal koffieautomaten]]</f>
        <v>3999.3333333333335</v>
      </c>
    </row>
    <row r="8" spans="1:130" ht="14.45" customHeight="1" x14ac:dyDescent="0.25">
      <c r="A8" s="65" t="s">
        <v>37</v>
      </c>
      <c r="B8" t="s">
        <v>38</v>
      </c>
      <c r="C8" t="s">
        <v>31</v>
      </c>
      <c r="E8">
        <v>21392</v>
      </c>
      <c r="F8">
        <f>juli2025!E8</f>
        <v>20758</v>
      </c>
      <c r="G8">
        <f>Tabel2425678910111213141517161819212022232614151819[[#This Row],[Stand Coffee einde maand]]-Tabel2425678910111213141517161819212022232614151819[[#This Row],[Coffee vorige maand]]</f>
        <v>634</v>
      </c>
      <c r="H8" s="53">
        <v>4636</v>
      </c>
      <c r="I8">
        <f>juli2025!H8</f>
        <v>4487</v>
      </c>
      <c r="J8">
        <f>Tabel2425678910111213141517161819212022232614151819[[#This Row],[Stand Espresso Einde maand]]-Tabel2425678910111213141517161819212022232614151819[[#This Row],[Espresso vorige maand]]</f>
        <v>149</v>
      </c>
      <c r="K8" s="53">
        <v>2370</v>
      </c>
      <c r="L8">
        <f>juli2025!K8</f>
        <v>2338</v>
      </c>
      <c r="M8">
        <f>Tabel2425678910111213141517161819212022232614151819[[#This Row],[Stand Latte Macchiato einde maand]]-Tabel2425678910111213141517161819212022232614151819[[#This Row],[Latte Macchiato vorige maand]]</f>
        <v>32</v>
      </c>
      <c r="N8" s="53">
        <v>3350</v>
      </c>
      <c r="O8">
        <f>juli2025!N8</f>
        <v>3244</v>
      </c>
      <c r="P8">
        <f>Tabel2425678910111213141517161819212022232614151819[[#This Row],[Stand Coffee Latte einde maand]]-Tabel2425678910111213141517161819212022232614151819[[#This Row],[Coffee Latte vorige maand]]</f>
        <v>106</v>
      </c>
      <c r="Q8" s="53">
        <v>47139</v>
      </c>
      <c r="R8">
        <f>juli2025!Q8</f>
        <v>45978</v>
      </c>
      <c r="S8">
        <f>Tabel2425678910111213141517161819212022232614151819[[#This Row],[Stand Hot Water einde maand]]-Tabel2425678910111213141517161819212022232614151819[[#This Row],[Hot Water vorige maand]]</f>
        <v>1161</v>
      </c>
      <c r="T8" s="53">
        <v>12481</v>
      </c>
      <c r="U8">
        <f>juli2025!T8</f>
        <v>12251</v>
      </c>
      <c r="V8">
        <f>Tabel2425678910111213141517161819212022232614151819[[#This Row],[Stand Cappucino einde maand]]-Tabel2425678910111213141517161819212022232614151819[[#This Row],[Stand Cappucino vorige maand]]</f>
        <v>230</v>
      </c>
      <c r="W8" s="53">
        <v>1135</v>
      </c>
      <c r="X8">
        <f>juli2025!W8</f>
        <v>1102</v>
      </c>
      <c r="Y8">
        <f>Tabel2425678910111213141517161819212022232614151819[[#This Row],[Stand Cappucino Plantaardig einde maand]]-Tabel2425678910111213141517161819212022232614151819[[#This Row],[Stand Cappucino Plantaardig vorige maand]]</f>
        <v>33</v>
      </c>
      <c r="Z8" s="53">
        <v>628</v>
      </c>
      <c r="AA8">
        <f>juli2025!Z8</f>
        <v>611</v>
      </c>
      <c r="AB8">
        <f>Tabel2425678910111213141517161819212022232614151819[[#This Row],[Stand Latte Macchiato Plantaardig einde maand]]-Tabel2425678910111213141517161819212022232614151819[[#This Row],[Stand Latte Macchiato Plantaardig vorige maand]]</f>
        <v>17</v>
      </c>
      <c r="AC8" s="71">
        <f>Tabel2425678910111213141517161819212022232614151819[[#This Row],[Verbruik Stand Latte Macchiato Plantaardig deze maand]]+Tabel2425678910111213141517161819212022232614151819[[#This Row],[Verbruik  Cappucino Plantaardig deze maand]]+Tabel2425678910111213141517161819212022232614151819[[#This Row],[Verbruik Cappucino deze maand]]+Tabel2425678910111213141517161819212022232614151819[[#This Row],[Verbruik Hot Water deze maand]]+Tabel2425678910111213141517161819212022232614151819[[#This Row],[Verbruik Coffee Latte deze maand]]+Tabel2425678910111213141517161819212022232614151819[[#This Row],[Verbruik Latte Macchiato deze maand]]+Tabel2425678910111213141517161819212022232614151819[[#This Row],[Verbruik Espresso deze maand]]+Tabel2425678910111213141517161819212022232614151819[[#This Row],[Verbruik Coffee deze maand]]</f>
        <v>2362</v>
      </c>
      <c r="AD8" s="69"/>
      <c r="AE8" s="41"/>
      <c r="AF8" s="5"/>
      <c r="AG8" s="41"/>
      <c r="AH8" s="69"/>
      <c r="AI8" s="41"/>
      <c r="AJ8" s="41"/>
      <c r="AK8" s="41"/>
      <c r="AL8" s="75"/>
      <c r="AM8" s="41"/>
      <c r="AN8" s="41"/>
      <c r="AO8" s="5"/>
      <c r="AP8" s="69"/>
      <c r="AQ8" s="41"/>
      <c r="AR8" s="5"/>
      <c r="AS8" s="41"/>
      <c r="AT8" s="69"/>
      <c r="AU8" s="41"/>
      <c r="AV8" s="41"/>
      <c r="AW8" s="41"/>
      <c r="AX8" s="79"/>
      <c r="AY8" s="95">
        <f>Tabel2425678910111213141517161819212022232614151819[[#This Row],[Subtotaal waterbar in consumpties]]+Tabel2425678910111213141517161819212022232614151819[[#This Row],[Subtotaal koffieautomaten]]</f>
        <v>2362</v>
      </c>
    </row>
    <row r="9" spans="1:130" ht="14.45" customHeight="1" x14ac:dyDescent="0.25">
      <c r="A9" s="65" t="s">
        <v>39</v>
      </c>
      <c r="B9" t="s">
        <v>40</v>
      </c>
      <c r="C9" t="s">
        <v>31</v>
      </c>
      <c r="E9">
        <v>25876</v>
      </c>
      <c r="F9">
        <f>juli2025!E9</f>
        <v>25500</v>
      </c>
      <c r="G9">
        <f>Tabel2425678910111213141517161819212022232614151819[[#This Row],[Stand Coffee einde maand]]-Tabel2425678910111213141517161819212022232614151819[[#This Row],[Coffee vorige maand]]</f>
        <v>376</v>
      </c>
      <c r="H9" s="53">
        <v>4420</v>
      </c>
      <c r="I9">
        <f>juli2025!H9</f>
        <v>4343</v>
      </c>
      <c r="J9">
        <f>Tabel2425678910111213141517161819212022232614151819[[#This Row],[Stand Espresso Einde maand]]-Tabel2425678910111213141517161819212022232614151819[[#This Row],[Espresso vorige maand]]</f>
        <v>77</v>
      </c>
      <c r="K9" s="53">
        <v>3045</v>
      </c>
      <c r="L9">
        <f>juli2025!K9</f>
        <v>3007</v>
      </c>
      <c r="M9">
        <f>Tabel2425678910111213141517161819212022232614151819[[#This Row],[Stand Latte Macchiato einde maand]]-Tabel2425678910111213141517161819212022232614151819[[#This Row],[Latte Macchiato vorige maand]]</f>
        <v>38</v>
      </c>
      <c r="N9" s="53">
        <v>2189</v>
      </c>
      <c r="O9">
        <f>juli2025!N9</f>
        <v>2124</v>
      </c>
      <c r="P9">
        <f>Tabel2425678910111213141517161819212022232614151819[[#This Row],[Stand Coffee Latte einde maand]]-Tabel2425678910111213141517161819212022232614151819[[#This Row],[Coffee Latte vorige maand]]</f>
        <v>65</v>
      </c>
      <c r="Q9" s="53">
        <v>36560</v>
      </c>
      <c r="R9">
        <f>juli2025!Q9</f>
        <v>35675</v>
      </c>
      <c r="S9">
        <f>Tabel2425678910111213141517161819212022232614151819[[#This Row],[Stand Hot Water einde maand]]-Tabel2425678910111213141517161819212022232614151819[[#This Row],[Hot Water vorige maand]]</f>
        <v>885</v>
      </c>
      <c r="T9" s="53">
        <v>20075</v>
      </c>
      <c r="U9">
        <f>juli2025!T9</f>
        <v>19584</v>
      </c>
      <c r="V9">
        <f>Tabel2425678910111213141517161819212022232614151819[[#This Row],[Stand Cappucino einde maand]]-Tabel2425678910111213141517161819212022232614151819[[#This Row],[Stand Cappucino vorige maand]]</f>
        <v>491</v>
      </c>
      <c r="W9" s="53">
        <v>809</v>
      </c>
      <c r="X9">
        <f>juli2025!W9</f>
        <v>806</v>
      </c>
      <c r="Y9">
        <f>Tabel2425678910111213141517161819212022232614151819[[#This Row],[Stand Cappucino Plantaardig einde maand]]-Tabel2425678910111213141517161819212022232614151819[[#This Row],[Stand Cappucino Plantaardig vorige maand]]</f>
        <v>3</v>
      </c>
      <c r="Z9" s="53">
        <v>228</v>
      </c>
      <c r="AA9">
        <f>juli2025!Z9</f>
        <v>223</v>
      </c>
      <c r="AB9">
        <f>Tabel2425678910111213141517161819212022232614151819[[#This Row],[Stand Latte Macchiato Plantaardig einde maand]]-Tabel2425678910111213141517161819212022232614151819[[#This Row],[Stand Latte Macchiato Plantaardig vorige maand]]</f>
        <v>5</v>
      </c>
      <c r="AC9" s="71">
        <f>Tabel2425678910111213141517161819212022232614151819[[#This Row],[Verbruik Stand Latte Macchiato Plantaardig deze maand]]+Tabel2425678910111213141517161819212022232614151819[[#This Row],[Verbruik  Cappucino Plantaardig deze maand]]+Tabel2425678910111213141517161819212022232614151819[[#This Row],[Verbruik Cappucino deze maand]]+Tabel2425678910111213141517161819212022232614151819[[#This Row],[Verbruik Hot Water deze maand]]+Tabel2425678910111213141517161819212022232614151819[[#This Row],[Verbruik Coffee Latte deze maand]]+Tabel2425678910111213141517161819212022232614151819[[#This Row],[Verbruik Latte Macchiato deze maand]]+Tabel2425678910111213141517161819212022232614151819[[#This Row],[Verbruik Espresso deze maand]]+Tabel2425678910111213141517161819212022232614151819[[#This Row],[Verbruik Coffee deze maand]]</f>
        <v>1940</v>
      </c>
      <c r="AD9" s="69"/>
      <c r="AE9" s="41"/>
      <c r="AF9" s="5"/>
      <c r="AG9" s="41"/>
      <c r="AH9" s="69"/>
      <c r="AI9" s="41"/>
      <c r="AJ9" s="41"/>
      <c r="AK9" s="41"/>
      <c r="AL9" s="75"/>
      <c r="AM9" s="41"/>
      <c r="AN9" s="41"/>
      <c r="AO9" s="5"/>
      <c r="AP9" s="69"/>
      <c r="AQ9" s="41"/>
      <c r="AR9" s="5"/>
      <c r="AS9" s="41"/>
      <c r="AT9" s="69"/>
      <c r="AU9" s="41"/>
      <c r="AV9" s="41"/>
      <c r="AW9" s="41"/>
      <c r="AX9" s="79"/>
      <c r="AY9" s="95">
        <f>Tabel2425678910111213141517161819212022232614151819[[#This Row],[Subtotaal waterbar in consumpties]]+Tabel2425678910111213141517161819212022232614151819[[#This Row],[Subtotaal koffieautomaten]]</f>
        <v>1940</v>
      </c>
    </row>
    <row r="10" spans="1:130" ht="14.45" customHeight="1" x14ac:dyDescent="0.25">
      <c r="A10" s="65" t="s">
        <v>41</v>
      </c>
      <c r="B10" t="s">
        <v>42</v>
      </c>
      <c r="C10" t="s">
        <v>31</v>
      </c>
      <c r="E10">
        <v>14818</v>
      </c>
      <c r="F10">
        <f>juli2025!E10</f>
        <v>14395</v>
      </c>
      <c r="G10">
        <f>Tabel2425678910111213141517161819212022232614151819[[#This Row],[Stand Coffee einde maand]]-Tabel2425678910111213141517161819212022232614151819[[#This Row],[Coffee vorige maand]]</f>
        <v>423</v>
      </c>
      <c r="H10" s="53">
        <v>3321</v>
      </c>
      <c r="I10">
        <f>juli2025!H10</f>
        <v>3160</v>
      </c>
      <c r="J10">
        <f>Tabel2425678910111213141517161819212022232614151819[[#This Row],[Stand Espresso Einde maand]]-Tabel2425678910111213141517161819212022232614151819[[#This Row],[Espresso vorige maand]]</f>
        <v>161</v>
      </c>
      <c r="K10" s="53">
        <v>2418</v>
      </c>
      <c r="L10">
        <f>juli2025!K10</f>
        <v>2396</v>
      </c>
      <c r="M10">
        <f>Tabel2425678910111213141517161819212022232614151819[[#This Row],[Stand Latte Macchiato einde maand]]-Tabel2425678910111213141517161819212022232614151819[[#This Row],[Latte Macchiato vorige maand]]</f>
        <v>22</v>
      </c>
      <c r="N10" s="53">
        <v>1378</v>
      </c>
      <c r="O10">
        <f>juli2025!N10</f>
        <v>1359</v>
      </c>
      <c r="P10">
        <f>Tabel2425678910111213141517161819212022232614151819[[#This Row],[Stand Coffee Latte einde maand]]-Tabel2425678910111213141517161819212022232614151819[[#This Row],[Coffee Latte vorige maand]]</f>
        <v>19</v>
      </c>
      <c r="Q10" s="53">
        <v>41172</v>
      </c>
      <c r="R10">
        <f>juli2025!Q10</f>
        <v>40329</v>
      </c>
      <c r="S10">
        <f>Tabel2425678910111213141517161819212022232614151819[[#This Row],[Stand Hot Water einde maand]]-Tabel2425678910111213141517161819212022232614151819[[#This Row],[Hot Water vorige maand]]</f>
        <v>843</v>
      </c>
      <c r="T10" s="53">
        <v>9643</v>
      </c>
      <c r="U10">
        <f>juli2025!T10</f>
        <v>9404</v>
      </c>
      <c r="V10">
        <f>Tabel2425678910111213141517161819212022232614151819[[#This Row],[Stand Cappucino einde maand]]-Tabel2425678910111213141517161819212022232614151819[[#This Row],[Stand Cappucino vorige maand]]</f>
        <v>239</v>
      </c>
      <c r="W10" s="53">
        <v>2179</v>
      </c>
      <c r="X10">
        <f>juli2025!W10</f>
        <v>2119</v>
      </c>
      <c r="Y10">
        <f>Tabel2425678910111213141517161819212022232614151819[[#This Row],[Stand Cappucino Plantaardig einde maand]]-Tabel2425678910111213141517161819212022232614151819[[#This Row],[Stand Cappucino Plantaardig vorige maand]]</f>
        <v>60</v>
      </c>
      <c r="Z10" s="53">
        <v>745</v>
      </c>
      <c r="AA10">
        <f>juli2025!Z10</f>
        <v>744</v>
      </c>
      <c r="AB10">
        <f>Tabel2425678910111213141517161819212022232614151819[[#This Row],[Stand Latte Macchiato Plantaardig einde maand]]-Tabel2425678910111213141517161819212022232614151819[[#This Row],[Stand Latte Macchiato Plantaardig vorige maand]]</f>
        <v>1</v>
      </c>
      <c r="AC10" s="71">
        <f>Tabel2425678910111213141517161819212022232614151819[[#This Row],[Verbruik Stand Latte Macchiato Plantaardig deze maand]]+Tabel2425678910111213141517161819212022232614151819[[#This Row],[Verbruik  Cappucino Plantaardig deze maand]]+Tabel2425678910111213141517161819212022232614151819[[#This Row],[Verbruik Cappucino deze maand]]+Tabel2425678910111213141517161819212022232614151819[[#This Row],[Verbruik Hot Water deze maand]]+Tabel2425678910111213141517161819212022232614151819[[#This Row],[Verbruik Coffee Latte deze maand]]+Tabel2425678910111213141517161819212022232614151819[[#This Row],[Verbruik Latte Macchiato deze maand]]+Tabel2425678910111213141517161819212022232614151819[[#This Row],[Verbruik Espresso deze maand]]+Tabel2425678910111213141517161819212022232614151819[[#This Row],[Verbruik Coffee deze maand]]</f>
        <v>1768</v>
      </c>
      <c r="AD10" s="69"/>
      <c r="AE10" s="41"/>
      <c r="AF10" s="5"/>
      <c r="AG10" s="41"/>
      <c r="AH10" s="69"/>
      <c r="AI10" s="41"/>
      <c r="AJ10" s="41"/>
      <c r="AK10" s="41"/>
      <c r="AL10" s="75"/>
      <c r="AM10" s="41"/>
      <c r="AN10" s="41"/>
      <c r="AO10" s="5"/>
      <c r="AP10" s="69"/>
      <c r="AQ10" s="41"/>
      <c r="AR10" s="5"/>
      <c r="AS10" s="41"/>
      <c r="AT10" s="69"/>
      <c r="AU10" s="41"/>
      <c r="AV10" s="41"/>
      <c r="AW10" s="41"/>
      <c r="AX10" s="79"/>
      <c r="AY10" s="95">
        <f>Tabel2425678910111213141517161819212022232614151819[[#This Row],[Subtotaal waterbar in consumpties]]+Tabel2425678910111213141517161819212022232614151819[[#This Row],[Subtotaal koffieautomaten]]</f>
        <v>1768</v>
      </c>
    </row>
    <row r="11" spans="1:130" ht="14.45" customHeight="1" x14ac:dyDescent="0.25">
      <c r="A11" s="65" t="s">
        <v>43</v>
      </c>
      <c r="B11" t="s">
        <v>44</v>
      </c>
      <c r="C11" t="s">
        <v>31</v>
      </c>
      <c r="E11">
        <v>17628</v>
      </c>
      <c r="F11">
        <f>juli2025!E11</f>
        <v>17222</v>
      </c>
      <c r="G11">
        <f>Tabel2425678910111213141517161819212022232614151819[[#This Row],[Stand Coffee einde maand]]-Tabel2425678910111213141517161819212022232614151819[[#This Row],[Coffee vorige maand]]</f>
        <v>406</v>
      </c>
      <c r="H11" s="53">
        <v>3950</v>
      </c>
      <c r="I11">
        <f>juli2025!H11</f>
        <v>3828</v>
      </c>
      <c r="J11">
        <f>Tabel2425678910111213141517161819212022232614151819[[#This Row],[Stand Espresso Einde maand]]-Tabel2425678910111213141517161819212022232614151819[[#This Row],[Espresso vorige maand]]</f>
        <v>122</v>
      </c>
      <c r="K11" s="53">
        <v>1008</v>
      </c>
      <c r="L11">
        <f>juli2025!K11</f>
        <v>1003</v>
      </c>
      <c r="M11">
        <f>Tabel2425678910111213141517161819212022232614151819[[#This Row],[Stand Latte Macchiato einde maand]]-Tabel2425678910111213141517161819212022232614151819[[#This Row],[Latte Macchiato vorige maand]]</f>
        <v>5</v>
      </c>
      <c r="N11" s="53">
        <v>1348</v>
      </c>
      <c r="O11">
        <f>juli2025!N11</f>
        <v>1337</v>
      </c>
      <c r="P11">
        <f>Tabel2425678910111213141517161819212022232614151819[[#This Row],[Stand Coffee Latte einde maand]]-Tabel2425678910111213141517161819212022232614151819[[#This Row],[Coffee Latte vorige maand]]</f>
        <v>11</v>
      </c>
      <c r="Q11" s="53">
        <v>29834</v>
      </c>
      <c r="R11">
        <f>juli2025!Q11</f>
        <v>29181</v>
      </c>
      <c r="S11">
        <f>Tabel2425678910111213141517161819212022232614151819[[#This Row],[Stand Hot Water einde maand]]-Tabel2425678910111213141517161819212022232614151819[[#This Row],[Hot Water vorige maand]]</f>
        <v>653</v>
      </c>
      <c r="T11" s="53">
        <v>9417</v>
      </c>
      <c r="U11">
        <f>juli2025!T11</f>
        <v>9241</v>
      </c>
      <c r="V11">
        <f>Tabel2425678910111213141517161819212022232614151819[[#This Row],[Stand Cappucino einde maand]]-Tabel2425678910111213141517161819212022232614151819[[#This Row],[Stand Cappucino vorige maand]]</f>
        <v>176</v>
      </c>
      <c r="W11" s="53">
        <v>1641</v>
      </c>
      <c r="X11">
        <f>juli2025!W11</f>
        <v>1617</v>
      </c>
      <c r="Y11">
        <f>Tabel2425678910111213141517161819212022232614151819[[#This Row],[Stand Cappucino Plantaardig einde maand]]-Tabel2425678910111213141517161819212022232614151819[[#This Row],[Stand Cappucino Plantaardig vorige maand]]</f>
        <v>24</v>
      </c>
      <c r="Z11" s="53">
        <v>1398</v>
      </c>
      <c r="AA11">
        <f>juli2025!Z11</f>
        <v>1363</v>
      </c>
      <c r="AB11">
        <f>Tabel2425678910111213141517161819212022232614151819[[#This Row],[Stand Latte Macchiato Plantaardig einde maand]]-Tabel2425678910111213141517161819212022232614151819[[#This Row],[Stand Latte Macchiato Plantaardig vorige maand]]</f>
        <v>35</v>
      </c>
      <c r="AC11" s="71">
        <f>Tabel2425678910111213141517161819212022232614151819[[#This Row],[Verbruik Stand Latte Macchiato Plantaardig deze maand]]+Tabel2425678910111213141517161819212022232614151819[[#This Row],[Verbruik  Cappucino Plantaardig deze maand]]+Tabel2425678910111213141517161819212022232614151819[[#This Row],[Verbruik Cappucino deze maand]]+Tabel2425678910111213141517161819212022232614151819[[#This Row],[Verbruik Hot Water deze maand]]+Tabel2425678910111213141517161819212022232614151819[[#This Row],[Verbruik Coffee Latte deze maand]]+Tabel2425678910111213141517161819212022232614151819[[#This Row],[Verbruik Latte Macchiato deze maand]]+Tabel2425678910111213141517161819212022232614151819[[#This Row],[Verbruik Espresso deze maand]]+Tabel2425678910111213141517161819212022232614151819[[#This Row],[Verbruik Coffee deze maand]]</f>
        <v>1432</v>
      </c>
      <c r="AD11" s="69"/>
      <c r="AE11" s="41"/>
      <c r="AF11" s="5"/>
      <c r="AG11" s="41"/>
      <c r="AH11" s="69"/>
      <c r="AI11" s="41"/>
      <c r="AJ11" s="41"/>
      <c r="AK11" s="41"/>
      <c r="AL11" s="75"/>
      <c r="AM11" s="41"/>
      <c r="AN11" s="41"/>
      <c r="AO11" s="5"/>
      <c r="AP11" s="69"/>
      <c r="AQ11" s="41"/>
      <c r="AR11" s="5"/>
      <c r="AS11" s="41"/>
      <c r="AT11" s="69"/>
      <c r="AU11" s="41"/>
      <c r="AV11" s="41"/>
      <c r="AW11" s="41"/>
      <c r="AX11" s="79"/>
      <c r="AY11" s="95">
        <f>Tabel2425678910111213141517161819212022232614151819[[#This Row],[Subtotaal waterbar in consumpties]]+Tabel2425678910111213141517161819212022232614151819[[#This Row],[Subtotaal koffieautomaten]]</f>
        <v>1432</v>
      </c>
    </row>
    <row r="12" spans="1:130" ht="14.45" customHeight="1" x14ac:dyDescent="0.25">
      <c r="A12" s="65" t="s">
        <v>45</v>
      </c>
      <c r="B12" t="s">
        <v>46</v>
      </c>
      <c r="C12" t="s">
        <v>47</v>
      </c>
      <c r="E12">
        <v>30591</v>
      </c>
      <c r="F12">
        <f>juli2025!E12</f>
        <v>29667</v>
      </c>
      <c r="G12">
        <f>Tabel2425678910111213141517161819212022232614151819[[#This Row],[Stand Coffee einde maand]]-Tabel2425678910111213141517161819212022232614151819[[#This Row],[Coffee vorige maand]]</f>
        <v>924</v>
      </c>
      <c r="H12" s="53">
        <v>3196</v>
      </c>
      <c r="I12">
        <f>juli2025!H12</f>
        <v>3061</v>
      </c>
      <c r="J12">
        <f>Tabel2425678910111213141517161819212022232614151819[[#This Row],[Stand Espresso Einde maand]]-Tabel2425678910111213141517161819212022232614151819[[#This Row],[Espresso vorige maand]]</f>
        <v>135</v>
      </c>
      <c r="K12" s="53">
        <v>1867</v>
      </c>
      <c r="L12">
        <f>juli2025!K12</f>
        <v>1839</v>
      </c>
      <c r="M12">
        <f>Tabel2425678910111213141517161819212022232614151819[[#This Row],[Stand Latte Macchiato einde maand]]-Tabel2425678910111213141517161819212022232614151819[[#This Row],[Latte Macchiato vorige maand]]</f>
        <v>28</v>
      </c>
      <c r="N12" s="53">
        <v>1050</v>
      </c>
      <c r="O12">
        <f>juli2025!N12</f>
        <v>1031</v>
      </c>
      <c r="P12">
        <f>Tabel2425678910111213141517161819212022232614151819[[#This Row],[Stand Coffee Latte einde maand]]-Tabel2425678910111213141517161819212022232614151819[[#This Row],[Coffee Latte vorige maand]]</f>
        <v>19</v>
      </c>
      <c r="Q12" s="53">
        <v>1</v>
      </c>
      <c r="R12">
        <f>juli2025!Q12</f>
        <v>1</v>
      </c>
      <c r="S12">
        <f>Tabel2425678910111213141517161819212022232614151819[[#This Row],[Stand Hot Water einde maand]]-Tabel2425678910111213141517161819212022232614151819[[#This Row],[Hot Water vorige maand]]</f>
        <v>0</v>
      </c>
      <c r="T12" s="53">
        <v>9403</v>
      </c>
      <c r="U12">
        <f>juli2025!T12</f>
        <v>9175</v>
      </c>
      <c r="V12">
        <f>Tabel2425678910111213141517161819212022232614151819[[#This Row],[Stand Cappucino einde maand]]-Tabel2425678910111213141517161819212022232614151819[[#This Row],[Stand Cappucino vorige maand]]</f>
        <v>228</v>
      </c>
      <c r="W12" s="53">
        <v>3929</v>
      </c>
      <c r="X12">
        <f>juli2025!W12</f>
        <v>3826</v>
      </c>
      <c r="Y12">
        <f>Tabel2425678910111213141517161819212022232614151819[[#This Row],[Stand Cappucino Plantaardig einde maand]]-Tabel2425678910111213141517161819212022232614151819[[#This Row],[Stand Cappucino Plantaardig vorige maand]]</f>
        <v>103</v>
      </c>
      <c r="Z12" s="53">
        <v>841</v>
      </c>
      <c r="AA12">
        <f>juli2025!Z12</f>
        <v>835</v>
      </c>
      <c r="AB12">
        <f>Tabel2425678910111213141517161819212022232614151819[[#This Row],[Stand Latte Macchiato Plantaardig einde maand]]-Tabel2425678910111213141517161819212022232614151819[[#This Row],[Stand Latte Macchiato Plantaardig vorige maand]]</f>
        <v>6</v>
      </c>
      <c r="AC12" s="71">
        <f>Tabel2425678910111213141517161819212022232614151819[[#This Row],[Verbruik Stand Latte Macchiato Plantaardig deze maand]]+Tabel2425678910111213141517161819212022232614151819[[#This Row],[Verbruik  Cappucino Plantaardig deze maand]]+Tabel2425678910111213141517161819212022232614151819[[#This Row],[Verbruik Cappucino deze maand]]+Tabel2425678910111213141517161819212022232614151819[[#This Row],[Verbruik Hot Water deze maand]]+Tabel2425678910111213141517161819212022232614151819[[#This Row],[Verbruik Coffee Latte deze maand]]+Tabel2425678910111213141517161819212022232614151819[[#This Row],[Verbruik Latte Macchiato deze maand]]+Tabel2425678910111213141517161819212022232614151819[[#This Row],[Verbruik Espresso deze maand]]+Tabel2425678910111213141517161819212022232614151819[[#This Row],[Verbruik Coffee deze maand]]</f>
        <v>1443</v>
      </c>
      <c r="AD12" s="53">
        <v>737.2</v>
      </c>
      <c r="AE12">
        <f>juli2025!AD12</f>
        <v>702.2</v>
      </c>
      <c r="AF12">
        <f>Tabel2425678910111213141517161819212022232614151819[[#This Row],[Stand Kamertemp liter einde maand]]-Tabel2425678910111213141517161819212022232614151819[[#This Row],[Stand Kamertemp liter vorige maand]]</f>
        <v>35</v>
      </c>
      <c r="AG12" s="2">
        <f>Tabel2425678910111213141517161819212022232614151819[[#This Row],[Verbruik Kamertemp liter deze maand]]/0.15</f>
        <v>233.33333333333334</v>
      </c>
      <c r="AH12" s="53">
        <v>3105.2</v>
      </c>
      <c r="AI12">
        <f>juli2025!AH12</f>
        <v>2892.7</v>
      </c>
      <c r="AJ12">
        <f>Tabel2425678910111213141517161819212022232614151819[[#This Row],[Stand Gekoeld liter einde maand]]-Tabel2425678910111213141517161819212022232614151819[[#This Row],[Stand Gekoeld liter vorige maand]]</f>
        <v>212.5</v>
      </c>
      <c r="AK12" s="2">
        <f>Tabel2425678910111213141517161819212022232614151819[[#This Row],[Verbruik Gekoeld liter deze maand]]/0.15</f>
        <v>1416.6666666666667</v>
      </c>
      <c r="AL12" s="53">
        <v>2330.1999999999998</v>
      </c>
      <c r="AM12">
        <f>juli2025!AL12</f>
        <v>2177.1</v>
      </c>
      <c r="AN12">
        <f>Tabel2425678910111213141517161819212022232614151819[[#This Row],[Stand Bruisend liter einde maand]]-Tabel2425678910111213141517161819212022232614151819[[#This Row],[Stand Bruisend liter vorige maand]]</f>
        <v>153.09999999999991</v>
      </c>
      <c r="AO12" s="2">
        <f>Tabel2425678910111213141517161819212022232614151819[[#This Row],[Verbruik Bruisend liter deze maand]]/0.15</f>
        <v>1020.6666666666661</v>
      </c>
      <c r="AP12" s="53">
        <v>797.1</v>
      </c>
      <c r="AQ12">
        <f>juli2025!AP12</f>
        <v>762.2</v>
      </c>
      <c r="AR12">
        <f>Tabel2425678910111213141517161819212022232614151819[[#This Row],[Stand licht bruisend liter einde maand]]-Tabel2425678910111213141517161819212022232614151819[[#This Row],[Stand licht bruisend liter vorige maand]]</f>
        <v>34.899999999999977</v>
      </c>
      <c r="AS12" s="2">
        <f>Tabel2425678910111213141517161819212022232614151819[[#This Row],[Verbruik licht bruisend liter deze maand]]/0.15</f>
        <v>232.66666666666652</v>
      </c>
      <c r="AT12" s="53">
        <v>5484.2</v>
      </c>
      <c r="AU12">
        <f>juli2025!AT12</f>
        <v>5213.2</v>
      </c>
      <c r="AV12">
        <f>Tabel2425678910111213141517161819212022232614151819[[#This Row],[Stand heet water liter einde maand]]-Tabel2425678910111213141517161819212022232614151819[[#This Row],[Stand heet water liter vorige maand]]</f>
        <v>271</v>
      </c>
      <c r="AW12" s="2">
        <f>Tabel2425678910111213141517161819212022232614151819[[#This Row],[Verbruik heet Water liter deze maand ]]/0.15</f>
        <v>1806.6666666666667</v>
      </c>
      <c r="AX12" s="77">
        <f>Tabel2425678910111213141517161819212022232614151819[[#This Row],[Aantal consumpties heet water deze maand]]+Tabel2425678910111213141517161819212022232614151819[[#This Row],[Aantal consumpties licht bruisend water deze maand]]+Tabel2425678910111213141517161819212022232614151819[[#This Row],[aantal consumpties Bruisend water deze maand]]+Tabel2425678910111213141517161819212022232614151819[[#This Row],[Aantal consumpties gekoeld water deze maand]]+Tabel2425678910111213141517161819212022232614151819[[#This Row],[Aantal consumpties Kamertemp deze maand]]</f>
        <v>4709.9999999999991</v>
      </c>
      <c r="AY12" s="95">
        <f>Tabel2425678910111213141517161819212022232614151819[[#This Row],[Subtotaal waterbar in consumpties]]+Tabel2425678910111213141517161819212022232614151819[[#This Row],[Subtotaal koffieautomaten]]</f>
        <v>6152.9999999999991</v>
      </c>
    </row>
    <row r="13" spans="1:130" ht="14.45" customHeight="1" x14ac:dyDescent="0.25">
      <c r="A13" s="65" t="s">
        <v>48</v>
      </c>
      <c r="B13" t="s">
        <v>49</v>
      </c>
      <c r="C13" t="s">
        <v>31</v>
      </c>
      <c r="E13">
        <v>29061</v>
      </c>
      <c r="F13">
        <f>juli2025!E13</f>
        <v>28326</v>
      </c>
      <c r="G13">
        <f>Tabel2425678910111213141517161819212022232614151819[[#This Row],[Stand Coffee einde maand]]-Tabel2425678910111213141517161819212022232614151819[[#This Row],[Coffee vorige maand]]</f>
        <v>735</v>
      </c>
      <c r="H13" s="53">
        <v>8159</v>
      </c>
      <c r="I13">
        <f>juli2025!H13</f>
        <v>7917</v>
      </c>
      <c r="J13">
        <f>Tabel2425678910111213141517161819212022232614151819[[#This Row],[Stand Espresso Einde maand]]-Tabel2425678910111213141517161819212022232614151819[[#This Row],[Espresso vorige maand]]</f>
        <v>242</v>
      </c>
      <c r="K13" s="53">
        <v>1566</v>
      </c>
      <c r="L13">
        <f>juli2025!K13</f>
        <v>1556</v>
      </c>
      <c r="M13">
        <f>Tabel2425678910111213141517161819212022232614151819[[#This Row],[Stand Latte Macchiato einde maand]]-Tabel2425678910111213141517161819212022232614151819[[#This Row],[Latte Macchiato vorige maand]]</f>
        <v>10</v>
      </c>
      <c r="N13" s="53">
        <v>647</v>
      </c>
      <c r="O13">
        <f>juli2025!N13</f>
        <v>640</v>
      </c>
      <c r="P13">
        <f>Tabel2425678910111213141517161819212022232614151819[[#This Row],[Stand Coffee Latte einde maand]]-Tabel2425678910111213141517161819212022232614151819[[#This Row],[Coffee Latte vorige maand]]</f>
        <v>7</v>
      </c>
      <c r="Q13" s="53">
        <v>75161</v>
      </c>
      <c r="R13">
        <f>juli2025!Q13</f>
        <v>73215</v>
      </c>
      <c r="S13">
        <f>Tabel2425678910111213141517161819212022232614151819[[#This Row],[Stand Hot Water einde maand]]-Tabel2425678910111213141517161819212022232614151819[[#This Row],[Hot Water vorige maand]]</f>
        <v>1946</v>
      </c>
      <c r="T13" s="53">
        <v>15625</v>
      </c>
      <c r="U13">
        <f>juli2025!T13</f>
        <v>15241</v>
      </c>
      <c r="V13">
        <f>Tabel2425678910111213141517161819212022232614151819[[#This Row],[Stand Cappucino einde maand]]-Tabel2425678910111213141517161819212022232614151819[[#This Row],[Stand Cappucino vorige maand]]</f>
        <v>384</v>
      </c>
      <c r="W13" s="53">
        <v>2661</v>
      </c>
      <c r="X13">
        <f>juli2025!W13</f>
        <v>2590</v>
      </c>
      <c r="Y13">
        <f>Tabel2425678910111213141517161819212022232614151819[[#This Row],[Stand Cappucino Plantaardig einde maand]]-Tabel2425678910111213141517161819212022232614151819[[#This Row],[Stand Cappucino Plantaardig vorige maand]]</f>
        <v>71</v>
      </c>
      <c r="Z13" s="53">
        <v>979</v>
      </c>
      <c r="AA13">
        <f>juli2025!Z13</f>
        <v>960</v>
      </c>
      <c r="AB13">
        <f>Tabel2425678910111213141517161819212022232614151819[[#This Row],[Stand Latte Macchiato Plantaardig einde maand]]-Tabel2425678910111213141517161819212022232614151819[[#This Row],[Stand Latte Macchiato Plantaardig vorige maand]]</f>
        <v>19</v>
      </c>
      <c r="AC13" s="71">
        <f>Tabel2425678910111213141517161819212022232614151819[[#This Row],[Verbruik Stand Latte Macchiato Plantaardig deze maand]]+Tabel2425678910111213141517161819212022232614151819[[#This Row],[Verbruik  Cappucino Plantaardig deze maand]]+Tabel2425678910111213141517161819212022232614151819[[#This Row],[Verbruik Cappucino deze maand]]+Tabel2425678910111213141517161819212022232614151819[[#This Row],[Verbruik Hot Water deze maand]]+Tabel2425678910111213141517161819212022232614151819[[#This Row],[Verbruik Coffee Latte deze maand]]+Tabel2425678910111213141517161819212022232614151819[[#This Row],[Verbruik Latte Macchiato deze maand]]+Tabel2425678910111213141517161819212022232614151819[[#This Row],[Verbruik Espresso deze maand]]+Tabel2425678910111213141517161819212022232614151819[[#This Row],[Verbruik Coffee deze maand]]</f>
        <v>3414</v>
      </c>
      <c r="AD13" s="69"/>
      <c r="AE13" s="41"/>
      <c r="AF13" s="5"/>
      <c r="AG13" s="5"/>
      <c r="AH13" s="75"/>
      <c r="AI13" s="41"/>
      <c r="AJ13" s="5"/>
      <c r="AK13" s="5"/>
      <c r="AL13" s="75"/>
      <c r="AM13" s="41"/>
      <c r="AN13" s="5"/>
      <c r="AO13" s="5"/>
      <c r="AP13" s="75"/>
      <c r="AQ13" s="41"/>
      <c r="AR13" s="5"/>
      <c r="AS13" s="5"/>
      <c r="AT13" s="75"/>
      <c r="AU13" s="41"/>
      <c r="AV13" s="5"/>
      <c r="AW13" s="5"/>
      <c r="AX13" s="79"/>
      <c r="AY13" s="95">
        <f>Tabel2425678910111213141517161819212022232614151819[[#This Row],[Subtotaal waterbar in consumpties]]+Tabel2425678910111213141517161819212022232614151819[[#This Row],[Subtotaal koffieautomaten]]</f>
        <v>3414</v>
      </c>
    </row>
    <row r="14" spans="1:130" ht="14.45" customHeight="1" x14ac:dyDescent="0.25">
      <c r="A14" s="65" t="s">
        <v>50</v>
      </c>
      <c r="B14" t="s">
        <v>51</v>
      </c>
      <c r="C14" t="s">
        <v>47</v>
      </c>
      <c r="E14">
        <v>23860</v>
      </c>
      <c r="F14">
        <f>juli2025!E14</f>
        <v>23321</v>
      </c>
      <c r="G14">
        <f>Tabel2425678910111213141517161819212022232614151819[[#This Row],[Stand Coffee einde maand]]-Tabel2425678910111213141517161819212022232614151819[[#This Row],[Coffee vorige maand]]</f>
        <v>539</v>
      </c>
      <c r="H14" s="53">
        <v>6393</v>
      </c>
      <c r="I14">
        <f>juli2025!H14</f>
        <v>6200</v>
      </c>
      <c r="J14">
        <f>Tabel2425678910111213141517161819212022232614151819[[#This Row],[Stand Espresso Einde maand]]-Tabel2425678910111213141517161819212022232614151819[[#This Row],[Espresso vorige maand]]</f>
        <v>193</v>
      </c>
      <c r="K14" s="53">
        <v>2512</v>
      </c>
      <c r="L14">
        <f>juli2025!K14</f>
        <v>2448</v>
      </c>
      <c r="M14">
        <f>Tabel2425678910111213141517161819212022232614151819[[#This Row],[Stand Latte Macchiato einde maand]]-Tabel2425678910111213141517161819212022232614151819[[#This Row],[Latte Macchiato vorige maand]]</f>
        <v>64</v>
      </c>
      <c r="N14" s="53">
        <v>1263</v>
      </c>
      <c r="O14">
        <f>juli2025!N14</f>
        <v>1257</v>
      </c>
      <c r="P14">
        <f>Tabel2425678910111213141517161819212022232614151819[[#This Row],[Stand Coffee Latte einde maand]]-Tabel2425678910111213141517161819212022232614151819[[#This Row],[Coffee Latte vorige maand]]</f>
        <v>6</v>
      </c>
      <c r="Q14" s="53">
        <v>1</v>
      </c>
      <c r="R14">
        <f>juli2025!Q14</f>
        <v>1</v>
      </c>
      <c r="S14">
        <f>Tabel2425678910111213141517161819212022232614151819[[#This Row],[Stand Hot Water einde maand]]-Tabel2425678910111213141517161819212022232614151819[[#This Row],[Hot Water vorige maand]]</f>
        <v>0</v>
      </c>
      <c r="T14" s="53">
        <v>10664</v>
      </c>
      <c r="U14">
        <f>juli2025!T14</f>
        <v>10307</v>
      </c>
      <c r="V14">
        <f>Tabel2425678910111213141517161819212022232614151819[[#This Row],[Stand Cappucino einde maand]]-Tabel2425678910111213141517161819212022232614151819[[#This Row],[Stand Cappucino vorige maand]]</f>
        <v>357</v>
      </c>
      <c r="W14" s="53">
        <v>1302</v>
      </c>
      <c r="X14">
        <f>juli2025!W14</f>
        <v>1281</v>
      </c>
      <c r="Y14">
        <f>Tabel2425678910111213141517161819212022232614151819[[#This Row],[Stand Cappucino Plantaardig einde maand]]-Tabel2425678910111213141517161819212022232614151819[[#This Row],[Stand Cappucino Plantaardig vorige maand]]</f>
        <v>21</v>
      </c>
      <c r="Z14" s="53">
        <v>780</v>
      </c>
      <c r="AA14">
        <f>juli2025!Z14</f>
        <v>776</v>
      </c>
      <c r="AB14">
        <f>Tabel2425678910111213141517161819212022232614151819[[#This Row],[Stand Latte Macchiato Plantaardig einde maand]]-Tabel2425678910111213141517161819212022232614151819[[#This Row],[Stand Latte Macchiato Plantaardig vorige maand]]</f>
        <v>4</v>
      </c>
      <c r="AC14" s="71">
        <f>Tabel2425678910111213141517161819212022232614151819[[#This Row],[Verbruik Stand Latte Macchiato Plantaardig deze maand]]+Tabel2425678910111213141517161819212022232614151819[[#This Row],[Verbruik  Cappucino Plantaardig deze maand]]+Tabel2425678910111213141517161819212022232614151819[[#This Row],[Verbruik Cappucino deze maand]]+Tabel2425678910111213141517161819212022232614151819[[#This Row],[Verbruik Hot Water deze maand]]+Tabel2425678910111213141517161819212022232614151819[[#This Row],[Verbruik Coffee Latte deze maand]]+Tabel2425678910111213141517161819212022232614151819[[#This Row],[Verbruik Latte Macchiato deze maand]]+Tabel2425678910111213141517161819212022232614151819[[#This Row],[Verbruik Espresso deze maand]]+Tabel2425678910111213141517161819212022232614151819[[#This Row],[Verbruik Coffee deze maand]]</f>
        <v>1184</v>
      </c>
      <c r="AD14" s="53">
        <v>56.3</v>
      </c>
      <c r="AE14">
        <f>juli2025!AD14</f>
        <v>35.799999999999997</v>
      </c>
      <c r="AF14">
        <f>Tabel2425678910111213141517161819212022232614151819[[#This Row],[Stand Kamertemp liter einde maand]]-Tabel2425678910111213141517161819212022232614151819[[#This Row],[Stand Kamertemp liter vorige maand]]</f>
        <v>20.5</v>
      </c>
      <c r="AG14" s="2">
        <f>Tabel2425678910111213141517161819212022232614151819[[#This Row],[Verbruik Kamertemp liter deze maand]]/0.15</f>
        <v>136.66666666666669</v>
      </c>
      <c r="AH14" s="53">
        <v>799.1</v>
      </c>
      <c r="AI14">
        <f>juli2025!AH14</f>
        <v>571.70000000000005</v>
      </c>
      <c r="AJ14">
        <f>Tabel2425678910111213141517161819212022232614151819[[#This Row],[Stand Gekoeld liter einde maand]]-Tabel2425678910111213141517161819212022232614151819[[#This Row],[Stand Gekoeld liter vorige maand]]</f>
        <v>227.39999999999998</v>
      </c>
      <c r="AK14" s="2">
        <f>Tabel2425678910111213141517161819212022232614151819[[#This Row],[Verbruik Gekoeld liter deze maand]]/0.15</f>
        <v>1516</v>
      </c>
      <c r="AL14" s="53">
        <v>423.6</v>
      </c>
      <c r="AM14">
        <f>juli2025!AL14</f>
        <v>299.2</v>
      </c>
      <c r="AN14">
        <f>Tabel2425678910111213141517161819212022232614151819[[#This Row],[Stand Bruisend liter einde maand]]-Tabel2425678910111213141517161819212022232614151819[[#This Row],[Stand Bruisend liter vorige maand]]</f>
        <v>124.40000000000003</v>
      </c>
      <c r="AO14" s="2">
        <f>Tabel2425678910111213141517161819212022232614151819[[#This Row],[Verbruik Bruisend liter deze maand]]/0.15</f>
        <v>829.3333333333336</v>
      </c>
      <c r="AP14" s="53">
        <v>322.5</v>
      </c>
      <c r="AQ14">
        <f>juli2025!AP14</f>
        <v>233.5</v>
      </c>
      <c r="AR14">
        <f>Tabel2425678910111213141517161819212022232614151819[[#This Row],[Stand licht bruisend liter einde maand]]-Tabel2425678910111213141517161819212022232614151819[[#This Row],[Stand licht bruisend liter vorige maand]]</f>
        <v>89</v>
      </c>
      <c r="AS14" s="2">
        <f>Tabel2425678910111213141517161819212022232614151819[[#This Row],[Verbruik licht bruisend liter deze maand]]/0.15</f>
        <v>593.33333333333337</v>
      </c>
      <c r="AT14" s="53">
        <v>878.5</v>
      </c>
      <c r="AU14">
        <f>juli2025!AT14</f>
        <v>573.79999999999995</v>
      </c>
      <c r="AV14">
        <f>Tabel2425678910111213141517161819212022232614151819[[#This Row],[Stand heet water liter einde maand]]-Tabel2425678910111213141517161819212022232614151819[[#This Row],[Stand heet water liter vorige maand]]</f>
        <v>304.70000000000005</v>
      </c>
      <c r="AW14" s="2">
        <f>Tabel2425678910111213141517161819212022232614151819[[#This Row],[Verbruik heet Water liter deze maand ]]/0.15</f>
        <v>2031.3333333333337</v>
      </c>
      <c r="AX14" s="77">
        <f>Tabel2425678910111213141517161819212022232614151819[[#This Row],[Aantal consumpties heet water deze maand]]+Tabel2425678910111213141517161819212022232614151819[[#This Row],[Aantal consumpties licht bruisend water deze maand]]+Tabel2425678910111213141517161819212022232614151819[[#This Row],[aantal consumpties Bruisend water deze maand]]+Tabel2425678910111213141517161819212022232614151819[[#This Row],[Aantal consumpties gekoeld water deze maand]]+Tabel2425678910111213141517161819212022232614151819[[#This Row],[Aantal consumpties Kamertemp deze maand]]</f>
        <v>5106.666666666667</v>
      </c>
      <c r="AY14" s="95">
        <f>Tabel2425678910111213141517161819212022232614151819[[#This Row],[Subtotaal waterbar in consumpties]]+Tabel2425678910111213141517161819212022232614151819[[#This Row],[Subtotaal koffieautomaten]]</f>
        <v>6290.666666666667</v>
      </c>
    </row>
    <row r="15" spans="1:130" ht="14.45" customHeight="1" x14ac:dyDescent="0.25">
      <c r="A15" s="65" t="s">
        <v>52</v>
      </c>
      <c r="B15" t="s">
        <v>53</v>
      </c>
      <c r="C15" t="s">
        <v>31</v>
      </c>
      <c r="E15">
        <v>21317</v>
      </c>
      <c r="F15">
        <f>juli2025!E15</f>
        <v>20827</v>
      </c>
      <c r="G15">
        <f>Tabel2425678910111213141517161819212022232614151819[[#This Row],[Stand Coffee einde maand]]-Tabel2425678910111213141517161819212022232614151819[[#This Row],[Coffee vorige maand]]</f>
        <v>490</v>
      </c>
      <c r="H15" s="53">
        <v>5806</v>
      </c>
      <c r="I15">
        <f>juli2025!H15</f>
        <v>5730</v>
      </c>
      <c r="J15">
        <f>Tabel2425678910111213141517161819212022232614151819[[#This Row],[Stand Espresso Einde maand]]-Tabel2425678910111213141517161819212022232614151819[[#This Row],[Espresso vorige maand]]</f>
        <v>76</v>
      </c>
      <c r="K15" s="53">
        <v>1234</v>
      </c>
      <c r="L15">
        <f>juli2025!K15</f>
        <v>1205</v>
      </c>
      <c r="M15">
        <f>Tabel2425678910111213141517161819212022232614151819[[#This Row],[Stand Latte Macchiato einde maand]]-Tabel2425678910111213141517161819212022232614151819[[#This Row],[Latte Macchiato vorige maand]]</f>
        <v>29</v>
      </c>
      <c r="N15" s="53">
        <v>1329</v>
      </c>
      <c r="O15">
        <f>juli2025!N15</f>
        <v>1307</v>
      </c>
      <c r="P15">
        <f>Tabel2425678910111213141517161819212022232614151819[[#This Row],[Stand Coffee Latte einde maand]]-Tabel2425678910111213141517161819212022232614151819[[#This Row],[Coffee Latte vorige maand]]</f>
        <v>22</v>
      </c>
      <c r="Q15" s="53">
        <v>37524</v>
      </c>
      <c r="R15">
        <f>juli2025!Q15</f>
        <v>36713</v>
      </c>
      <c r="S15">
        <f>Tabel2425678910111213141517161819212022232614151819[[#This Row],[Stand Hot Water einde maand]]-Tabel2425678910111213141517161819212022232614151819[[#This Row],[Hot Water vorige maand]]</f>
        <v>811</v>
      </c>
      <c r="T15" s="53">
        <v>9273</v>
      </c>
      <c r="U15">
        <f>juli2025!T15</f>
        <v>9059</v>
      </c>
      <c r="V15">
        <f>Tabel2425678910111213141517161819212022232614151819[[#This Row],[Stand Cappucino einde maand]]-Tabel2425678910111213141517161819212022232614151819[[#This Row],[Stand Cappucino vorige maand]]</f>
        <v>214</v>
      </c>
      <c r="W15" s="53">
        <v>1928</v>
      </c>
      <c r="X15">
        <f>juli2025!W15</f>
        <v>1908</v>
      </c>
      <c r="Y15">
        <f>Tabel2425678910111213141517161819212022232614151819[[#This Row],[Stand Cappucino Plantaardig einde maand]]-Tabel2425678910111213141517161819212022232614151819[[#This Row],[Stand Cappucino Plantaardig vorige maand]]</f>
        <v>20</v>
      </c>
      <c r="Z15" s="53">
        <v>476</v>
      </c>
      <c r="AA15">
        <f>juli2025!Z15</f>
        <v>458</v>
      </c>
      <c r="AB15">
        <f>Tabel2425678910111213141517161819212022232614151819[[#This Row],[Stand Latte Macchiato Plantaardig einde maand]]-Tabel2425678910111213141517161819212022232614151819[[#This Row],[Stand Latte Macchiato Plantaardig vorige maand]]</f>
        <v>18</v>
      </c>
      <c r="AC15" s="71">
        <f>Tabel2425678910111213141517161819212022232614151819[[#This Row],[Verbruik Stand Latte Macchiato Plantaardig deze maand]]+Tabel2425678910111213141517161819212022232614151819[[#This Row],[Verbruik  Cappucino Plantaardig deze maand]]+Tabel2425678910111213141517161819212022232614151819[[#This Row],[Verbruik Cappucino deze maand]]+Tabel2425678910111213141517161819212022232614151819[[#This Row],[Verbruik Hot Water deze maand]]+Tabel2425678910111213141517161819212022232614151819[[#This Row],[Verbruik Coffee Latte deze maand]]+Tabel2425678910111213141517161819212022232614151819[[#This Row],[Verbruik Latte Macchiato deze maand]]+Tabel2425678910111213141517161819212022232614151819[[#This Row],[Verbruik Espresso deze maand]]+Tabel2425678910111213141517161819212022232614151819[[#This Row],[Verbruik Coffee deze maand]]</f>
        <v>1680</v>
      </c>
      <c r="AD15" s="69"/>
      <c r="AE15" s="41"/>
      <c r="AF15" s="5"/>
      <c r="AG15" s="5"/>
      <c r="AH15" s="75"/>
      <c r="AI15" s="41"/>
      <c r="AJ15" s="5"/>
      <c r="AK15" s="5"/>
      <c r="AL15" s="75"/>
      <c r="AM15" s="41"/>
      <c r="AN15" s="5"/>
      <c r="AO15" s="5"/>
      <c r="AP15" s="75"/>
      <c r="AQ15" s="41"/>
      <c r="AR15" s="5"/>
      <c r="AS15" s="5"/>
      <c r="AT15" s="75"/>
      <c r="AU15" s="41"/>
      <c r="AV15" s="5"/>
      <c r="AW15" s="5"/>
      <c r="AX15" s="79"/>
      <c r="AY15" s="95">
        <f>Tabel2425678910111213141517161819212022232614151819[[#This Row],[Subtotaal waterbar in consumpties]]+Tabel2425678910111213141517161819212022232614151819[[#This Row],[Subtotaal koffieautomaten]]</f>
        <v>1680</v>
      </c>
    </row>
    <row r="16" spans="1:130" ht="14.45" customHeight="1" x14ac:dyDescent="0.25">
      <c r="A16" s="65" t="s">
        <v>54</v>
      </c>
      <c r="B16" t="s">
        <v>55</v>
      </c>
      <c r="C16" t="s">
        <v>47</v>
      </c>
      <c r="E16">
        <v>3226</v>
      </c>
      <c r="F16">
        <f>juli2025!E16</f>
        <v>3007</v>
      </c>
      <c r="G16">
        <f>Tabel2425678910111213141517161819212022232614151819[[#This Row],[Stand Coffee einde maand]]-Tabel2425678910111213141517161819212022232614151819[[#This Row],[Coffee vorige maand]]</f>
        <v>219</v>
      </c>
      <c r="H16" s="53">
        <v>4037</v>
      </c>
      <c r="I16">
        <f>juli2025!H16</f>
        <v>3749</v>
      </c>
      <c r="J16">
        <f>Tabel2425678910111213141517161819212022232614151819[[#This Row],[Stand Espresso Einde maand]]-Tabel2425678910111213141517161819212022232614151819[[#This Row],[Espresso vorige maand]]</f>
        <v>288</v>
      </c>
      <c r="K16" s="53">
        <v>349</v>
      </c>
      <c r="L16">
        <f>juli2025!K16</f>
        <v>322</v>
      </c>
      <c r="M16">
        <f>Tabel2425678910111213141517161819212022232614151819[[#This Row],[Stand Latte Macchiato einde maand]]-Tabel2425678910111213141517161819212022232614151819[[#This Row],[Latte Macchiato vorige maand]]</f>
        <v>27</v>
      </c>
      <c r="N16" s="53">
        <v>194</v>
      </c>
      <c r="O16">
        <f>juli2025!N16</f>
        <v>189</v>
      </c>
      <c r="P16">
        <f>Tabel2425678910111213141517161819212022232614151819[[#This Row],[Stand Coffee Latte einde maand]]-Tabel2425678910111213141517161819212022232614151819[[#This Row],[Coffee Latte vorige maand]]</f>
        <v>5</v>
      </c>
      <c r="Q16" s="53">
        <v>981</v>
      </c>
      <c r="R16">
        <f>juli2025!Q16</f>
        <v>908</v>
      </c>
      <c r="S16">
        <f>Tabel2425678910111213141517161819212022232614151819[[#This Row],[Stand Hot Water einde maand]]-Tabel2425678910111213141517161819212022232614151819[[#This Row],[Hot Water vorige maand]]</f>
        <v>73</v>
      </c>
      <c r="T16" s="53">
        <v>4760</v>
      </c>
      <c r="U16">
        <f>juli2025!T16</f>
        <v>4509</v>
      </c>
      <c r="V16">
        <f>Tabel2425678910111213141517161819212022232614151819[[#This Row],[Stand Cappucino einde maand]]-Tabel2425678910111213141517161819212022232614151819[[#This Row],[Stand Cappucino vorige maand]]</f>
        <v>251</v>
      </c>
      <c r="W16" s="53">
        <v>428</v>
      </c>
      <c r="X16">
        <f>juli2025!W16</f>
        <v>407</v>
      </c>
      <c r="Y16">
        <f>Tabel2425678910111213141517161819212022232614151819[[#This Row],[Stand Cappucino Plantaardig einde maand]]-Tabel2425678910111213141517161819212022232614151819[[#This Row],[Stand Cappucino Plantaardig vorige maand]]</f>
        <v>21</v>
      </c>
      <c r="Z16" s="53">
        <v>58</v>
      </c>
      <c r="AA16">
        <f>juli2025!Z16</f>
        <v>58</v>
      </c>
      <c r="AB16">
        <f>Tabel2425678910111213141517161819212022232614151819[[#This Row],[Stand Latte Macchiato Plantaardig einde maand]]-Tabel2425678910111213141517161819212022232614151819[[#This Row],[Stand Latte Macchiato Plantaardig vorige maand]]</f>
        <v>0</v>
      </c>
      <c r="AC16" s="71">
        <f>Tabel2425678910111213141517161819212022232614151819[[#This Row],[Verbruik Stand Latte Macchiato Plantaardig deze maand]]+Tabel2425678910111213141517161819212022232614151819[[#This Row],[Verbruik  Cappucino Plantaardig deze maand]]+Tabel2425678910111213141517161819212022232614151819[[#This Row],[Verbruik Cappucino deze maand]]+Tabel2425678910111213141517161819212022232614151819[[#This Row],[Verbruik Hot Water deze maand]]+Tabel2425678910111213141517161819212022232614151819[[#This Row],[Verbruik Coffee Latte deze maand]]+Tabel2425678910111213141517161819212022232614151819[[#This Row],[Verbruik Latte Macchiato deze maand]]+Tabel2425678910111213141517161819212022232614151819[[#This Row],[Verbruik Espresso deze maand]]+Tabel2425678910111213141517161819212022232614151819[[#This Row],[Verbruik Coffee deze maand]]</f>
        <v>884</v>
      </c>
      <c r="AD16" s="53">
        <v>56.1</v>
      </c>
      <c r="AE16">
        <f>juli2025!AD16</f>
        <v>48.3</v>
      </c>
      <c r="AF16">
        <f>Tabel2425678910111213141517161819212022232614151819[[#This Row],[Stand Kamertemp liter einde maand]]-Tabel2425678910111213141517161819212022232614151819[[#This Row],[Stand Kamertemp liter vorige maand]]</f>
        <v>7.8000000000000043</v>
      </c>
      <c r="AG16" s="2">
        <f>Tabel2425678910111213141517161819212022232614151819[[#This Row],[Verbruik Kamertemp liter deze maand]]/0.15</f>
        <v>52.000000000000028</v>
      </c>
      <c r="AH16" s="51">
        <v>856.3</v>
      </c>
      <c r="AI16">
        <f>juli2025!AH16</f>
        <v>723.7</v>
      </c>
      <c r="AJ16">
        <f>Tabel2425678910111213141517161819212022232614151819[[#This Row],[Stand Gekoeld liter einde maand]]-Tabel2425678910111213141517161819212022232614151819[[#This Row],[Stand Gekoeld liter vorige maand]]</f>
        <v>132.59999999999991</v>
      </c>
      <c r="AK16" s="2">
        <f>Tabel2425678910111213141517161819212022232614151819[[#This Row],[Verbruik Gekoeld liter deze maand]]/0.15</f>
        <v>883.99999999999943</v>
      </c>
      <c r="AL16" s="51">
        <v>624.1</v>
      </c>
      <c r="AM16">
        <f>juli2025!AL16</f>
        <v>531.4</v>
      </c>
      <c r="AN16">
        <f>Tabel2425678910111213141517161819212022232614151819[[#This Row],[Stand Bruisend liter einde maand]]-Tabel2425678910111213141517161819212022232614151819[[#This Row],[Stand Bruisend liter vorige maand]]</f>
        <v>92.700000000000045</v>
      </c>
      <c r="AO16" s="2">
        <f>Tabel2425678910111213141517161819212022232614151819[[#This Row],[Verbruik Bruisend liter deze maand]]/0.15</f>
        <v>618.00000000000034</v>
      </c>
      <c r="AP16" s="51">
        <v>128.9</v>
      </c>
      <c r="AQ16">
        <f>juli2025!AP16</f>
        <v>114.3</v>
      </c>
      <c r="AR16">
        <f>Tabel2425678910111213141517161819212022232614151819[[#This Row],[Stand licht bruisend liter einde maand]]-Tabel2425678910111213141517161819212022232614151819[[#This Row],[Stand licht bruisend liter vorige maand]]</f>
        <v>14.600000000000009</v>
      </c>
      <c r="AS16" s="2">
        <f>Tabel2425678910111213141517161819212022232614151819[[#This Row],[Verbruik licht bruisend liter deze maand]]/0.15</f>
        <v>97.3333333333334</v>
      </c>
      <c r="AT16" s="51">
        <v>1530.6</v>
      </c>
      <c r="AU16">
        <f>juli2025!AT16</f>
        <v>1352.1</v>
      </c>
      <c r="AV16">
        <f>Tabel2425678910111213141517161819212022232614151819[[#This Row],[Stand heet water liter einde maand]]-Tabel2425678910111213141517161819212022232614151819[[#This Row],[Stand heet water liter vorige maand]]</f>
        <v>178.5</v>
      </c>
      <c r="AW16" s="2">
        <f>Tabel2425678910111213141517161819212022232614151819[[#This Row],[Verbruik heet Water liter deze maand ]]/0.15</f>
        <v>1190</v>
      </c>
      <c r="AX16" s="77">
        <f>Tabel2425678910111213141517161819212022232614151819[[#This Row],[Aantal consumpties heet water deze maand]]+Tabel2425678910111213141517161819212022232614151819[[#This Row],[Aantal consumpties licht bruisend water deze maand]]+Tabel2425678910111213141517161819212022232614151819[[#This Row],[aantal consumpties Bruisend water deze maand]]+Tabel2425678910111213141517161819212022232614151819[[#This Row],[Aantal consumpties gekoeld water deze maand]]+Tabel2425678910111213141517161819212022232614151819[[#This Row],[Aantal consumpties Kamertemp deze maand]]</f>
        <v>2841.3333333333335</v>
      </c>
      <c r="AY16" s="95">
        <f>Tabel2425678910111213141517161819212022232614151819[[#This Row],[Subtotaal waterbar in consumpties]]+Tabel2425678910111213141517161819212022232614151819[[#This Row],[Subtotaal koffieautomaten]]</f>
        <v>3725.3333333333335</v>
      </c>
    </row>
    <row r="17" spans="1:130" ht="14.45" customHeight="1" x14ac:dyDescent="0.25">
      <c r="A17" s="65" t="s">
        <v>56</v>
      </c>
      <c r="B17" t="s">
        <v>57</v>
      </c>
      <c r="C17" t="s">
        <v>31</v>
      </c>
      <c r="E17">
        <v>31223</v>
      </c>
      <c r="F17">
        <f>juli2025!E17</f>
        <v>30617</v>
      </c>
      <c r="G17">
        <f>Tabel2425678910111213141517161819212022232614151819[[#This Row],[Stand Coffee einde maand]]-Tabel2425678910111213141517161819212022232614151819[[#This Row],[Coffee vorige maand]]</f>
        <v>606</v>
      </c>
      <c r="H17" s="53">
        <v>6076</v>
      </c>
      <c r="I17">
        <f>juli2025!H17</f>
        <v>6002</v>
      </c>
      <c r="J17">
        <f>Tabel2425678910111213141517161819212022232614151819[[#This Row],[Stand Espresso Einde maand]]-Tabel2425678910111213141517161819212022232614151819[[#This Row],[Espresso vorige maand]]</f>
        <v>74</v>
      </c>
      <c r="K17" s="53">
        <v>853</v>
      </c>
      <c r="L17">
        <f>juli2025!K17</f>
        <v>840</v>
      </c>
      <c r="M17">
        <f>Tabel2425678910111213141517161819212022232614151819[[#This Row],[Stand Latte Macchiato einde maand]]-Tabel2425678910111213141517161819212022232614151819[[#This Row],[Latte Macchiato vorige maand]]</f>
        <v>13</v>
      </c>
      <c r="N17" s="53">
        <v>1779</v>
      </c>
      <c r="O17">
        <f>juli2025!N17</f>
        <v>1752</v>
      </c>
      <c r="P17">
        <f>Tabel2425678910111213141517161819212022232614151819[[#This Row],[Stand Coffee Latte einde maand]]-Tabel2425678910111213141517161819212022232614151819[[#This Row],[Coffee Latte vorige maand]]</f>
        <v>27</v>
      </c>
      <c r="Q17" s="53">
        <v>49285</v>
      </c>
      <c r="R17">
        <f>juli2025!Q17</f>
        <v>48223</v>
      </c>
      <c r="S17">
        <f>Tabel2425678910111213141517161819212022232614151819[[#This Row],[Stand Hot Water einde maand]]-Tabel2425678910111213141517161819212022232614151819[[#This Row],[Hot Water vorige maand]]</f>
        <v>1062</v>
      </c>
      <c r="T17" s="53">
        <v>12231</v>
      </c>
      <c r="U17">
        <f>juli2025!T17</f>
        <v>12104</v>
      </c>
      <c r="V17">
        <f>Tabel2425678910111213141517161819212022232614151819[[#This Row],[Stand Cappucino einde maand]]-Tabel2425678910111213141517161819212022232614151819[[#This Row],[Stand Cappucino vorige maand]]</f>
        <v>127</v>
      </c>
      <c r="W17" s="53">
        <v>3706</v>
      </c>
      <c r="X17">
        <f>juli2025!W17</f>
        <v>3650</v>
      </c>
      <c r="Y17">
        <f>Tabel2425678910111213141517161819212022232614151819[[#This Row],[Stand Cappucino Plantaardig einde maand]]-Tabel2425678910111213141517161819212022232614151819[[#This Row],[Stand Cappucino Plantaardig vorige maand]]</f>
        <v>56</v>
      </c>
      <c r="Z17" s="53">
        <v>1011</v>
      </c>
      <c r="AA17">
        <f>juli2025!Z17</f>
        <v>998</v>
      </c>
      <c r="AB17">
        <f>Tabel2425678910111213141517161819212022232614151819[[#This Row],[Stand Latte Macchiato Plantaardig einde maand]]-Tabel2425678910111213141517161819212022232614151819[[#This Row],[Stand Latte Macchiato Plantaardig vorige maand]]</f>
        <v>13</v>
      </c>
      <c r="AC17" s="71">
        <f>Tabel2425678910111213141517161819212022232614151819[[#This Row],[Verbruik Stand Latte Macchiato Plantaardig deze maand]]+Tabel2425678910111213141517161819212022232614151819[[#This Row],[Verbruik  Cappucino Plantaardig deze maand]]+Tabel2425678910111213141517161819212022232614151819[[#This Row],[Verbruik Cappucino deze maand]]+Tabel2425678910111213141517161819212022232614151819[[#This Row],[Verbruik Hot Water deze maand]]+Tabel2425678910111213141517161819212022232614151819[[#This Row],[Verbruik Coffee Latte deze maand]]+Tabel2425678910111213141517161819212022232614151819[[#This Row],[Verbruik Latte Macchiato deze maand]]+Tabel2425678910111213141517161819212022232614151819[[#This Row],[Verbruik Espresso deze maand]]+Tabel2425678910111213141517161819212022232614151819[[#This Row],[Verbruik Coffee deze maand]]</f>
        <v>1978</v>
      </c>
      <c r="AD17" s="69"/>
      <c r="AE17" s="41"/>
      <c r="AF17" s="5"/>
      <c r="AG17" s="5"/>
      <c r="AH17" s="75"/>
      <c r="AI17" s="41"/>
      <c r="AJ17" s="5"/>
      <c r="AK17" s="5"/>
      <c r="AL17" s="75"/>
      <c r="AM17" s="41"/>
      <c r="AN17" s="5"/>
      <c r="AO17" s="5"/>
      <c r="AP17" s="75"/>
      <c r="AQ17" s="41"/>
      <c r="AR17" s="5"/>
      <c r="AS17" s="5"/>
      <c r="AT17" s="75"/>
      <c r="AU17" s="41"/>
      <c r="AV17" s="5"/>
      <c r="AW17" s="5"/>
      <c r="AX17" s="79"/>
      <c r="AY17" s="95">
        <f>Tabel2425678910111213141517161819212022232614151819[[#This Row],[Subtotaal waterbar in consumpties]]+Tabel2425678910111213141517161819212022232614151819[[#This Row],[Subtotaal koffieautomaten]]</f>
        <v>1978</v>
      </c>
    </row>
    <row r="18" spans="1:130" ht="14.45" customHeight="1" x14ac:dyDescent="0.25">
      <c r="A18" s="65" t="s">
        <v>58</v>
      </c>
      <c r="B18" t="s">
        <v>59</v>
      </c>
      <c r="C18" t="s">
        <v>47</v>
      </c>
      <c r="E18">
        <v>21941</v>
      </c>
      <c r="F18">
        <f>juli2025!E18</f>
        <v>21498</v>
      </c>
      <c r="G18">
        <f>Tabel2425678910111213141517161819212022232614151819[[#This Row],[Stand Coffee einde maand]]-Tabel2425678910111213141517161819212022232614151819[[#This Row],[Coffee vorige maand]]</f>
        <v>443</v>
      </c>
      <c r="H18" s="53">
        <v>6126</v>
      </c>
      <c r="I18">
        <f>juli2025!H18</f>
        <v>5828</v>
      </c>
      <c r="J18">
        <f>Tabel2425678910111213141517161819212022232614151819[[#This Row],[Stand Espresso Einde maand]]-Tabel2425678910111213141517161819212022232614151819[[#This Row],[Espresso vorige maand]]</f>
        <v>298</v>
      </c>
      <c r="K18" s="53">
        <v>3058</v>
      </c>
      <c r="L18">
        <f>juli2025!K18</f>
        <v>3005</v>
      </c>
      <c r="M18">
        <f>Tabel2425678910111213141517161819212022232614151819[[#This Row],[Stand Latte Macchiato einde maand]]-Tabel2425678910111213141517161819212022232614151819[[#This Row],[Latte Macchiato vorige maand]]</f>
        <v>53</v>
      </c>
      <c r="N18" s="53">
        <v>801</v>
      </c>
      <c r="O18">
        <f>juli2025!N18</f>
        <v>777</v>
      </c>
      <c r="P18">
        <f>Tabel2425678910111213141517161819212022232614151819[[#This Row],[Stand Coffee Latte einde maand]]-Tabel2425678910111213141517161819212022232614151819[[#This Row],[Coffee Latte vorige maand]]</f>
        <v>24</v>
      </c>
      <c r="Q18" s="53">
        <v>1</v>
      </c>
      <c r="R18">
        <f>juli2025!Q18</f>
        <v>1</v>
      </c>
      <c r="S18">
        <f>Tabel2425678910111213141517161819212022232614151819[[#This Row],[Stand Hot Water einde maand]]-Tabel2425678910111213141517161819212022232614151819[[#This Row],[Hot Water vorige maand]]</f>
        <v>0</v>
      </c>
      <c r="T18" s="53">
        <v>11825</v>
      </c>
      <c r="U18">
        <f>juli2025!T18</f>
        <v>11594</v>
      </c>
      <c r="V18">
        <f>Tabel2425678910111213141517161819212022232614151819[[#This Row],[Stand Cappucino einde maand]]-Tabel2425678910111213141517161819212022232614151819[[#This Row],[Stand Cappucino vorige maand]]</f>
        <v>231</v>
      </c>
      <c r="W18" s="53">
        <v>4382</v>
      </c>
      <c r="X18">
        <f>juli2025!W18</f>
        <v>4287</v>
      </c>
      <c r="Y18">
        <f>Tabel2425678910111213141517161819212022232614151819[[#This Row],[Stand Cappucino Plantaardig einde maand]]-Tabel2425678910111213141517161819212022232614151819[[#This Row],[Stand Cappucino Plantaardig vorige maand]]</f>
        <v>95</v>
      </c>
      <c r="Z18" s="53">
        <v>493</v>
      </c>
      <c r="AA18">
        <f>juli2025!Z18</f>
        <v>479</v>
      </c>
      <c r="AB18">
        <f>Tabel2425678910111213141517161819212022232614151819[[#This Row],[Stand Latte Macchiato Plantaardig einde maand]]-Tabel2425678910111213141517161819212022232614151819[[#This Row],[Stand Latte Macchiato Plantaardig vorige maand]]</f>
        <v>14</v>
      </c>
      <c r="AC18" s="71">
        <f>Tabel2425678910111213141517161819212022232614151819[[#This Row],[Verbruik Stand Latte Macchiato Plantaardig deze maand]]+Tabel2425678910111213141517161819212022232614151819[[#This Row],[Verbruik  Cappucino Plantaardig deze maand]]+Tabel2425678910111213141517161819212022232614151819[[#This Row],[Verbruik Cappucino deze maand]]+Tabel2425678910111213141517161819212022232614151819[[#This Row],[Verbruik Hot Water deze maand]]+Tabel2425678910111213141517161819212022232614151819[[#This Row],[Verbruik Coffee Latte deze maand]]+Tabel2425678910111213141517161819212022232614151819[[#This Row],[Verbruik Latte Macchiato deze maand]]+Tabel2425678910111213141517161819212022232614151819[[#This Row],[Verbruik Espresso deze maand]]+Tabel2425678910111213141517161819212022232614151819[[#This Row],[Verbruik Coffee deze maand]]</f>
        <v>1158</v>
      </c>
      <c r="AD18" s="53">
        <v>649.1</v>
      </c>
      <c r="AE18">
        <f>juli2025!AD18</f>
        <v>611.70000000000005</v>
      </c>
      <c r="AF18">
        <f>Tabel2425678910111213141517161819212022232614151819[[#This Row],[Stand Kamertemp liter einde maand]]-Tabel2425678910111213141517161819212022232614151819[[#This Row],[Stand Kamertemp liter vorige maand]]</f>
        <v>37.399999999999977</v>
      </c>
      <c r="AG18" s="2">
        <f>Tabel2425678910111213141517161819212022232614151819[[#This Row],[Verbruik Kamertemp liter deze maand]]/0.15</f>
        <v>249.3333333333332</v>
      </c>
      <c r="AH18" s="53">
        <v>2850.6</v>
      </c>
      <c r="AI18">
        <f>juli2025!AH18</f>
        <v>2653.4</v>
      </c>
      <c r="AJ18">
        <f>Tabel2425678910111213141517161819212022232614151819[[#This Row],[Stand Gekoeld liter einde maand]]-Tabel2425678910111213141517161819212022232614151819[[#This Row],[Stand Gekoeld liter vorige maand]]</f>
        <v>197.19999999999982</v>
      </c>
      <c r="AK18" s="2">
        <f>Tabel2425678910111213141517161819212022232614151819[[#This Row],[Verbruik Gekoeld liter deze maand]]/0.15</f>
        <v>1314.6666666666656</v>
      </c>
      <c r="AL18" s="53">
        <v>2260.4</v>
      </c>
      <c r="AM18">
        <f>juli2025!AL18</f>
        <v>2127.8000000000002</v>
      </c>
      <c r="AN18">
        <f>Tabel2425678910111213141517161819212022232614151819[[#This Row],[Stand Bruisend liter einde maand]]-Tabel2425678910111213141517161819212022232614151819[[#This Row],[Stand Bruisend liter vorige maand]]</f>
        <v>132.59999999999991</v>
      </c>
      <c r="AO18" s="2">
        <f>Tabel2425678910111213141517161819212022232614151819[[#This Row],[Verbruik Bruisend liter deze maand]]/0.15</f>
        <v>883.99999999999943</v>
      </c>
      <c r="AP18" s="53">
        <v>847.8</v>
      </c>
      <c r="AQ18">
        <f>juli2025!AP18</f>
        <v>789.2</v>
      </c>
      <c r="AR18">
        <f>Tabel2425678910111213141517161819212022232614151819[[#This Row],[Stand licht bruisend liter einde maand]]-Tabel2425678910111213141517161819212022232614151819[[#This Row],[Stand licht bruisend liter vorige maand]]</f>
        <v>58.599999999999909</v>
      </c>
      <c r="AS18" s="2">
        <f>Tabel2425678910111213141517161819212022232614151819[[#This Row],[Verbruik licht bruisend liter deze maand]]/0.15</f>
        <v>390.66666666666606</v>
      </c>
      <c r="AT18" s="53">
        <v>5603.5</v>
      </c>
      <c r="AU18">
        <f>juli2025!AT18</f>
        <v>5341.9</v>
      </c>
      <c r="AV18">
        <f>Tabel2425678910111213141517161819212022232614151819[[#This Row],[Stand heet water liter einde maand]]-Tabel2425678910111213141517161819212022232614151819[[#This Row],[Stand heet water liter vorige maand]]</f>
        <v>261.60000000000036</v>
      </c>
      <c r="AW18" s="2">
        <f>Tabel2425678910111213141517161819212022232614151819[[#This Row],[Verbruik heet Water liter deze maand ]]/0.15</f>
        <v>1744.0000000000025</v>
      </c>
      <c r="AX18" s="77">
        <f>Tabel2425678910111213141517161819212022232614151819[[#This Row],[Aantal consumpties heet water deze maand]]+Tabel2425678910111213141517161819212022232614151819[[#This Row],[Aantal consumpties licht bruisend water deze maand]]+Tabel2425678910111213141517161819212022232614151819[[#This Row],[aantal consumpties Bruisend water deze maand]]+Tabel2425678910111213141517161819212022232614151819[[#This Row],[Aantal consumpties gekoeld water deze maand]]+Tabel2425678910111213141517161819212022232614151819[[#This Row],[Aantal consumpties Kamertemp deze maand]]</f>
        <v>4582.666666666667</v>
      </c>
      <c r="AY18" s="95">
        <f>Tabel2425678910111213141517161819212022232614151819[[#This Row],[Subtotaal waterbar in consumpties]]+Tabel2425678910111213141517161819212022232614151819[[#This Row],[Subtotaal koffieautomaten]]</f>
        <v>5740.666666666667</v>
      </c>
    </row>
    <row r="19" spans="1:130" ht="14.45" customHeight="1" x14ac:dyDescent="0.25">
      <c r="A19" s="65" t="s">
        <v>60</v>
      </c>
      <c r="B19" t="s">
        <v>61</v>
      </c>
      <c r="C19" t="s">
        <v>31</v>
      </c>
      <c r="E19">
        <v>23834</v>
      </c>
      <c r="F19">
        <f>juli2025!E19</f>
        <v>23106</v>
      </c>
      <c r="G19">
        <f>Tabel2425678910111213141517161819212022232614151819[[#This Row],[Stand Coffee einde maand]]-Tabel2425678910111213141517161819212022232614151819[[#This Row],[Coffee vorige maand]]</f>
        <v>728</v>
      </c>
      <c r="H19" s="53">
        <v>5267</v>
      </c>
      <c r="I19">
        <f>juli2025!H19</f>
        <v>5159</v>
      </c>
      <c r="J19">
        <f>Tabel2425678910111213141517161819212022232614151819[[#This Row],[Stand Espresso Einde maand]]-Tabel2425678910111213141517161819212022232614151819[[#This Row],[Espresso vorige maand]]</f>
        <v>108</v>
      </c>
      <c r="K19" s="53">
        <v>1776</v>
      </c>
      <c r="L19">
        <f>juli2025!K19</f>
        <v>1700</v>
      </c>
      <c r="M19">
        <f>Tabel2425678910111213141517161819212022232614151819[[#This Row],[Stand Latte Macchiato einde maand]]-Tabel2425678910111213141517161819212022232614151819[[#This Row],[Latte Macchiato vorige maand]]</f>
        <v>76</v>
      </c>
      <c r="N19" s="53">
        <v>1095</v>
      </c>
      <c r="O19">
        <f>juli2025!N19</f>
        <v>1074</v>
      </c>
      <c r="P19">
        <f>Tabel2425678910111213141517161819212022232614151819[[#This Row],[Stand Coffee Latte einde maand]]-Tabel2425678910111213141517161819212022232614151819[[#This Row],[Coffee Latte vorige maand]]</f>
        <v>21</v>
      </c>
      <c r="Q19" s="53">
        <v>53630</v>
      </c>
      <c r="R19">
        <f>juli2025!Q19</f>
        <v>52147</v>
      </c>
      <c r="S19">
        <f>Tabel2425678910111213141517161819212022232614151819[[#This Row],[Stand Hot Water einde maand]]-Tabel2425678910111213141517161819212022232614151819[[#This Row],[Hot Water vorige maand]]</f>
        <v>1483</v>
      </c>
      <c r="T19" s="53">
        <v>12504</v>
      </c>
      <c r="U19">
        <f>juli2025!T19</f>
        <v>12349</v>
      </c>
      <c r="V19">
        <f>Tabel2425678910111213141517161819212022232614151819[[#This Row],[Stand Cappucino einde maand]]-Tabel2425678910111213141517161819212022232614151819[[#This Row],[Stand Cappucino vorige maand]]</f>
        <v>155</v>
      </c>
      <c r="W19" s="53">
        <v>2076</v>
      </c>
      <c r="X19">
        <f>juli2025!W19</f>
        <v>2036</v>
      </c>
      <c r="Y19">
        <f>Tabel2425678910111213141517161819212022232614151819[[#This Row],[Stand Cappucino Plantaardig einde maand]]-Tabel2425678910111213141517161819212022232614151819[[#This Row],[Stand Cappucino Plantaardig vorige maand]]</f>
        <v>40</v>
      </c>
      <c r="Z19" s="53">
        <v>578</v>
      </c>
      <c r="AA19">
        <f>juli2025!Z19</f>
        <v>566</v>
      </c>
      <c r="AB19">
        <f>Tabel2425678910111213141517161819212022232614151819[[#This Row],[Stand Latte Macchiato Plantaardig einde maand]]-Tabel2425678910111213141517161819212022232614151819[[#This Row],[Stand Latte Macchiato Plantaardig vorige maand]]</f>
        <v>12</v>
      </c>
      <c r="AC19" s="71">
        <f>Tabel2425678910111213141517161819212022232614151819[[#This Row],[Verbruik Stand Latte Macchiato Plantaardig deze maand]]+Tabel2425678910111213141517161819212022232614151819[[#This Row],[Verbruik  Cappucino Plantaardig deze maand]]+Tabel2425678910111213141517161819212022232614151819[[#This Row],[Verbruik Cappucino deze maand]]+Tabel2425678910111213141517161819212022232614151819[[#This Row],[Verbruik Hot Water deze maand]]+Tabel2425678910111213141517161819212022232614151819[[#This Row],[Verbruik Coffee Latte deze maand]]+Tabel2425678910111213141517161819212022232614151819[[#This Row],[Verbruik Latte Macchiato deze maand]]+Tabel2425678910111213141517161819212022232614151819[[#This Row],[Verbruik Espresso deze maand]]+Tabel2425678910111213141517161819212022232614151819[[#This Row],[Verbruik Coffee deze maand]]</f>
        <v>2623</v>
      </c>
      <c r="AD19" s="69"/>
      <c r="AE19" s="41"/>
      <c r="AF19" s="5"/>
      <c r="AG19" s="5"/>
      <c r="AH19" s="75"/>
      <c r="AI19" s="41"/>
      <c r="AJ19" s="5"/>
      <c r="AK19" s="5"/>
      <c r="AL19" s="75"/>
      <c r="AM19" s="41"/>
      <c r="AN19" s="5"/>
      <c r="AO19" s="5"/>
      <c r="AP19" s="75"/>
      <c r="AQ19" s="41"/>
      <c r="AR19" s="5"/>
      <c r="AS19" s="5"/>
      <c r="AT19" s="75"/>
      <c r="AU19" s="41"/>
      <c r="AV19" s="5"/>
      <c r="AW19" s="5"/>
      <c r="AX19" s="79"/>
      <c r="AY19" s="95">
        <f>Tabel2425678910111213141517161819212022232614151819[[#This Row],[Subtotaal waterbar in consumpties]]+Tabel2425678910111213141517161819212022232614151819[[#This Row],[Subtotaal koffieautomaten]]</f>
        <v>2623</v>
      </c>
    </row>
    <row r="20" spans="1:130" ht="14.45" customHeight="1" x14ac:dyDescent="0.25">
      <c r="A20" s="65" t="s">
        <v>62</v>
      </c>
      <c r="B20" t="s">
        <v>63</v>
      </c>
      <c r="C20" t="s">
        <v>47</v>
      </c>
      <c r="E20">
        <v>9656</v>
      </c>
      <c r="F20">
        <f>juli2025!E20</f>
        <v>9180</v>
      </c>
      <c r="G20">
        <f>Tabel2425678910111213141517161819212022232614151819[[#This Row],[Stand Coffee einde maand]]-Tabel2425678910111213141517161819212022232614151819[[#This Row],[Coffee vorige maand]]</f>
        <v>476</v>
      </c>
      <c r="H20" s="53">
        <v>1825</v>
      </c>
      <c r="I20">
        <f>juli2025!H20</f>
        <v>1761</v>
      </c>
      <c r="J20">
        <f>Tabel2425678910111213141517161819212022232614151819[[#This Row],[Stand Espresso Einde maand]]-Tabel2425678910111213141517161819212022232614151819[[#This Row],[Espresso vorige maand]]</f>
        <v>64</v>
      </c>
      <c r="K20" s="53">
        <v>376</v>
      </c>
      <c r="L20">
        <f>juli2025!K20</f>
        <v>368</v>
      </c>
      <c r="M20">
        <f>Tabel2425678910111213141517161819212022232614151819[[#This Row],[Stand Latte Macchiato einde maand]]-Tabel2425678910111213141517161819212022232614151819[[#This Row],[Latte Macchiato vorige maand]]</f>
        <v>8</v>
      </c>
      <c r="N20" s="53">
        <v>735</v>
      </c>
      <c r="O20">
        <f>juli2025!N20</f>
        <v>680</v>
      </c>
      <c r="P20">
        <f>Tabel2425678910111213141517161819212022232614151819[[#This Row],[Stand Coffee Latte einde maand]]-Tabel2425678910111213141517161819212022232614151819[[#This Row],[Coffee Latte vorige maand]]</f>
        <v>55</v>
      </c>
      <c r="Q20" s="53">
        <v>3240</v>
      </c>
      <c r="R20">
        <f>juli2025!Q20</f>
        <v>3103</v>
      </c>
      <c r="S20">
        <f>Tabel2425678910111213141517161819212022232614151819[[#This Row],[Stand Hot Water einde maand]]-Tabel2425678910111213141517161819212022232614151819[[#This Row],[Hot Water vorige maand]]</f>
        <v>137</v>
      </c>
      <c r="T20" s="53">
        <v>3071</v>
      </c>
      <c r="U20">
        <f>juli2025!T20</f>
        <v>2934</v>
      </c>
      <c r="V20">
        <f>Tabel2425678910111213141517161819212022232614151819[[#This Row],[Stand Cappucino einde maand]]-Tabel2425678910111213141517161819212022232614151819[[#This Row],[Stand Cappucino vorige maand]]</f>
        <v>137</v>
      </c>
      <c r="W20" s="53">
        <v>998</v>
      </c>
      <c r="X20">
        <f>juli2025!W20</f>
        <v>962</v>
      </c>
      <c r="Y20">
        <f>Tabel2425678910111213141517161819212022232614151819[[#This Row],[Stand Cappucino Plantaardig einde maand]]-Tabel2425678910111213141517161819212022232614151819[[#This Row],[Stand Cappucino Plantaardig vorige maand]]</f>
        <v>36</v>
      </c>
      <c r="Z20" s="53">
        <v>368</v>
      </c>
      <c r="AA20">
        <f>juli2025!Z20</f>
        <v>356</v>
      </c>
      <c r="AB20">
        <f>Tabel2425678910111213141517161819212022232614151819[[#This Row],[Stand Latte Macchiato Plantaardig einde maand]]-Tabel2425678910111213141517161819212022232614151819[[#This Row],[Stand Latte Macchiato Plantaardig vorige maand]]</f>
        <v>12</v>
      </c>
      <c r="AC20" s="71">
        <f>Tabel2425678910111213141517161819212022232614151819[[#This Row],[Verbruik Stand Latte Macchiato Plantaardig deze maand]]+Tabel2425678910111213141517161819212022232614151819[[#This Row],[Verbruik  Cappucino Plantaardig deze maand]]+Tabel2425678910111213141517161819212022232614151819[[#This Row],[Verbruik Cappucino deze maand]]+Tabel2425678910111213141517161819212022232614151819[[#This Row],[Verbruik Hot Water deze maand]]+Tabel2425678910111213141517161819212022232614151819[[#This Row],[Verbruik Coffee Latte deze maand]]+Tabel2425678910111213141517161819212022232614151819[[#This Row],[Verbruik Latte Macchiato deze maand]]+Tabel2425678910111213141517161819212022232614151819[[#This Row],[Verbruik Espresso deze maand]]+Tabel2425678910111213141517161819212022232614151819[[#This Row],[Verbruik Coffee deze maand]]</f>
        <v>925</v>
      </c>
      <c r="AD20" s="53">
        <v>236.7</v>
      </c>
      <c r="AE20">
        <f>juli2025!AD20</f>
        <v>223.7</v>
      </c>
      <c r="AF20">
        <f>Tabel2425678910111213141517161819212022232614151819[[#This Row],[Stand Kamertemp liter einde maand]]-Tabel2425678910111213141517161819212022232614151819[[#This Row],[Stand Kamertemp liter vorige maand]]</f>
        <v>13</v>
      </c>
      <c r="AG20" s="2">
        <f>Tabel2425678910111213141517161819212022232614151819[[#This Row],[Verbruik Kamertemp liter deze maand]]/0.15</f>
        <v>86.666666666666671</v>
      </c>
      <c r="AH20" s="51">
        <v>2043</v>
      </c>
      <c r="AI20">
        <f>juli2025!AH20</f>
        <v>1927</v>
      </c>
      <c r="AJ20">
        <f>Tabel2425678910111213141517161819212022232614151819[[#This Row],[Stand Gekoeld liter einde maand]]-Tabel2425678910111213141517161819212022232614151819[[#This Row],[Stand Gekoeld liter vorige maand]]</f>
        <v>116</v>
      </c>
      <c r="AK20" s="2">
        <f>Tabel2425678910111213141517161819212022232614151819[[#This Row],[Verbruik Gekoeld liter deze maand]]/0.15</f>
        <v>773.33333333333337</v>
      </c>
      <c r="AL20" s="51">
        <v>2363.1</v>
      </c>
      <c r="AM20">
        <f>juli2025!AL20</f>
        <v>2229.1999999999998</v>
      </c>
      <c r="AN20">
        <f>Tabel2425678910111213141517161819212022232614151819[[#This Row],[Stand Bruisend liter einde maand]]-Tabel2425678910111213141517161819212022232614151819[[#This Row],[Stand Bruisend liter vorige maand]]</f>
        <v>133.90000000000009</v>
      </c>
      <c r="AO20" s="2">
        <f>Tabel2425678910111213141517161819212022232614151819[[#This Row],[Verbruik Bruisend liter deze maand]]/0.15</f>
        <v>892.66666666666731</v>
      </c>
      <c r="AP20" s="51">
        <v>619.4</v>
      </c>
      <c r="AQ20">
        <f>juli2025!AP20</f>
        <v>558.1</v>
      </c>
      <c r="AR20">
        <f>Tabel2425678910111213141517161819212022232614151819[[#This Row],[Stand licht bruisend liter einde maand]]-Tabel2425678910111213141517161819212022232614151819[[#This Row],[Stand licht bruisend liter vorige maand]]</f>
        <v>61.299999999999955</v>
      </c>
      <c r="AS20" s="2">
        <f>Tabel2425678910111213141517161819212022232614151819[[#This Row],[Verbruik licht bruisend liter deze maand]]/0.15</f>
        <v>408.6666666666664</v>
      </c>
      <c r="AT20" s="51">
        <v>5538.8</v>
      </c>
      <c r="AU20">
        <f>juli2025!AT20</f>
        <v>5352.2</v>
      </c>
      <c r="AV20">
        <f>Tabel2425678910111213141517161819212022232614151819[[#This Row],[Stand heet water liter einde maand]]-Tabel2425678910111213141517161819212022232614151819[[#This Row],[Stand heet water liter vorige maand]]</f>
        <v>186.60000000000036</v>
      </c>
      <c r="AW20" s="2">
        <f>Tabel2425678910111213141517161819212022232614151819[[#This Row],[Verbruik heet Water liter deze maand ]]/0.15</f>
        <v>1244.0000000000025</v>
      </c>
      <c r="AX20" s="77">
        <f>Tabel2425678910111213141517161819212022232614151819[[#This Row],[Aantal consumpties heet water deze maand]]+Tabel2425678910111213141517161819212022232614151819[[#This Row],[Aantal consumpties licht bruisend water deze maand]]+Tabel2425678910111213141517161819212022232614151819[[#This Row],[aantal consumpties Bruisend water deze maand]]+Tabel2425678910111213141517161819212022232614151819[[#This Row],[Aantal consumpties gekoeld water deze maand]]+Tabel2425678910111213141517161819212022232614151819[[#This Row],[Aantal consumpties Kamertemp deze maand]]</f>
        <v>3405.3333333333362</v>
      </c>
      <c r="AY20" s="95">
        <f>Tabel2425678910111213141517161819212022232614151819[[#This Row],[Subtotaal waterbar in consumpties]]+Tabel2425678910111213141517161819212022232614151819[[#This Row],[Subtotaal koffieautomaten]]</f>
        <v>4330.3333333333358</v>
      </c>
    </row>
    <row r="21" spans="1:130" ht="14.45" customHeight="1" x14ac:dyDescent="0.25">
      <c r="A21" s="65" t="s">
        <v>64</v>
      </c>
      <c r="B21" t="s">
        <v>65</v>
      </c>
      <c r="C21" t="s">
        <v>31</v>
      </c>
      <c r="E21">
        <v>27497</v>
      </c>
      <c r="F21">
        <f>juli2025!E21</f>
        <v>26519</v>
      </c>
      <c r="G21">
        <f>Tabel2425678910111213141517161819212022232614151819[[#This Row],[Stand Coffee einde maand]]-Tabel2425678910111213141517161819212022232614151819[[#This Row],[Coffee vorige maand]]</f>
        <v>978</v>
      </c>
      <c r="H21" s="53">
        <v>7723</v>
      </c>
      <c r="I21">
        <f>juli2025!H21</f>
        <v>7377</v>
      </c>
      <c r="J21">
        <f>Tabel2425678910111213141517161819212022232614151819[[#This Row],[Stand Espresso Einde maand]]-Tabel2425678910111213141517161819212022232614151819[[#This Row],[Espresso vorige maand]]</f>
        <v>346</v>
      </c>
      <c r="K21" s="53">
        <v>3173</v>
      </c>
      <c r="L21">
        <f>juli2025!K21</f>
        <v>3082</v>
      </c>
      <c r="M21">
        <f>Tabel2425678910111213141517161819212022232614151819[[#This Row],[Stand Latte Macchiato einde maand]]-Tabel2425678910111213141517161819212022232614151819[[#This Row],[Latte Macchiato vorige maand]]</f>
        <v>91</v>
      </c>
      <c r="N21" s="53">
        <v>1295</v>
      </c>
      <c r="O21">
        <f>juli2025!N21</f>
        <v>1265</v>
      </c>
      <c r="P21">
        <f>Tabel2425678910111213141517161819212022232614151819[[#This Row],[Stand Coffee Latte einde maand]]-Tabel2425678910111213141517161819212022232614151819[[#This Row],[Coffee Latte vorige maand]]</f>
        <v>30</v>
      </c>
      <c r="Q21" s="53">
        <v>59395</v>
      </c>
      <c r="R21">
        <f>juli2025!Q21</f>
        <v>57102</v>
      </c>
      <c r="S21">
        <f>Tabel2425678910111213141517161819212022232614151819[[#This Row],[Stand Hot Water einde maand]]-Tabel2425678910111213141517161819212022232614151819[[#This Row],[Hot Water vorige maand]]</f>
        <v>2293</v>
      </c>
      <c r="T21" s="53">
        <v>16832</v>
      </c>
      <c r="U21">
        <f>juli2025!T21</f>
        <v>16493</v>
      </c>
      <c r="V21">
        <f>Tabel2425678910111213141517161819212022232614151819[[#This Row],[Stand Cappucino einde maand]]-Tabel2425678910111213141517161819212022232614151819[[#This Row],[Stand Cappucino vorige maand]]</f>
        <v>339</v>
      </c>
      <c r="W21" s="53">
        <v>2897</v>
      </c>
      <c r="X21">
        <f>juli2025!W21</f>
        <v>2833</v>
      </c>
      <c r="Y21">
        <f>Tabel2425678910111213141517161819212022232614151819[[#This Row],[Stand Cappucino Plantaardig einde maand]]-Tabel2425678910111213141517161819212022232614151819[[#This Row],[Stand Cappucino Plantaardig vorige maand]]</f>
        <v>64</v>
      </c>
      <c r="Z21" s="53">
        <v>955</v>
      </c>
      <c r="AA21">
        <f>juli2025!Z21</f>
        <v>932</v>
      </c>
      <c r="AB21">
        <f>Tabel2425678910111213141517161819212022232614151819[[#This Row],[Stand Latte Macchiato Plantaardig einde maand]]-Tabel2425678910111213141517161819212022232614151819[[#This Row],[Stand Latte Macchiato Plantaardig vorige maand]]</f>
        <v>23</v>
      </c>
      <c r="AC21" s="71">
        <f>Tabel2425678910111213141517161819212022232614151819[[#This Row],[Verbruik Stand Latte Macchiato Plantaardig deze maand]]+Tabel2425678910111213141517161819212022232614151819[[#This Row],[Verbruik  Cappucino Plantaardig deze maand]]+Tabel2425678910111213141517161819212022232614151819[[#This Row],[Verbruik Cappucino deze maand]]+Tabel2425678910111213141517161819212022232614151819[[#This Row],[Verbruik Hot Water deze maand]]+Tabel2425678910111213141517161819212022232614151819[[#This Row],[Verbruik Coffee Latte deze maand]]+Tabel2425678910111213141517161819212022232614151819[[#This Row],[Verbruik Latte Macchiato deze maand]]+Tabel2425678910111213141517161819212022232614151819[[#This Row],[Verbruik Espresso deze maand]]+Tabel2425678910111213141517161819212022232614151819[[#This Row],[Verbruik Coffee deze maand]]</f>
        <v>4164</v>
      </c>
      <c r="AD21" s="69"/>
      <c r="AE21" s="41"/>
      <c r="AF21" s="5"/>
      <c r="AG21" s="5"/>
      <c r="AH21" s="75"/>
      <c r="AI21" s="41"/>
      <c r="AJ21" s="5"/>
      <c r="AK21" s="5"/>
      <c r="AL21" s="75"/>
      <c r="AM21" s="41"/>
      <c r="AN21" s="5"/>
      <c r="AO21" s="5"/>
      <c r="AP21" s="75"/>
      <c r="AQ21" s="41"/>
      <c r="AR21" s="5"/>
      <c r="AS21" s="5"/>
      <c r="AT21" s="75"/>
      <c r="AU21" s="41"/>
      <c r="AV21" s="5"/>
      <c r="AW21" s="5"/>
      <c r="AX21" s="79"/>
      <c r="AY21" s="95">
        <f>Tabel2425678910111213141517161819212022232614151819[[#This Row],[Subtotaal waterbar in consumpties]]+Tabel2425678910111213141517161819212022232614151819[[#This Row],[Subtotaal koffieautomaten]]</f>
        <v>4164</v>
      </c>
    </row>
    <row r="22" spans="1:130" ht="14.45" customHeight="1" x14ac:dyDescent="0.25">
      <c r="A22" s="65" t="s">
        <v>66</v>
      </c>
      <c r="B22" t="s">
        <v>67</v>
      </c>
      <c r="C22" t="s">
        <v>31</v>
      </c>
      <c r="E22">
        <v>32572</v>
      </c>
      <c r="F22">
        <f>juli2025!E22</f>
        <v>31566</v>
      </c>
      <c r="G22">
        <f>Tabel2425678910111213141517161819212022232614151819[[#This Row],[Stand Coffee einde maand]]-Tabel2425678910111213141517161819212022232614151819[[#This Row],[Coffee vorige maand]]</f>
        <v>1006</v>
      </c>
      <c r="H22" s="53">
        <v>5789</v>
      </c>
      <c r="I22">
        <f>juli2025!H22</f>
        <v>5539</v>
      </c>
      <c r="J22">
        <f>Tabel2425678910111213141517161819212022232614151819[[#This Row],[Stand Espresso Einde maand]]-Tabel2425678910111213141517161819212022232614151819[[#This Row],[Espresso vorige maand]]</f>
        <v>250</v>
      </c>
      <c r="K22" s="53">
        <v>3761</v>
      </c>
      <c r="L22">
        <f>juli2025!K22</f>
        <v>3701</v>
      </c>
      <c r="M22">
        <f>Tabel2425678910111213141517161819212022232614151819[[#This Row],[Stand Latte Macchiato einde maand]]-Tabel2425678910111213141517161819212022232614151819[[#This Row],[Latte Macchiato vorige maand]]</f>
        <v>60</v>
      </c>
      <c r="N22" s="53">
        <v>927</v>
      </c>
      <c r="O22">
        <f>juli2025!N22</f>
        <v>908</v>
      </c>
      <c r="P22">
        <f>Tabel2425678910111213141517161819212022232614151819[[#This Row],[Stand Coffee Latte einde maand]]-Tabel2425678910111213141517161819212022232614151819[[#This Row],[Coffee Latte vorige maand]]</f>
        <v>19</v>
      </c>
      <c r="Q22" s="53">
        <v>51931</v>
      </c>
      <c r="R22">
        <f>juli2025!Q22</f>
        <v>50600</v>
      </c>
      <c r="S22">
        <f>Tabel2425678910111213141517161819212022232614151819[[#This Row],[Stand Hot Water einde maand]]-Tabel2425678910111213141517161819212022232614151819[[#This Row],[Hot Water vorige maand]]</f>
        <v>1331</v>
      </c>
      <c r="T22" s="53">
        <v>17634</v>
      </c>
      <c r="U22">
        <f>juli2025!T22</f>
        <v>17148</v>
      </c>
      <c r="V22">
        <f>Tabel2425678910111213141517161819212022232614151819[[#This Row],[Stand Cappucino einde maand]]-Tabel2425678910111213141517161819212022232614151819[[#This Row],[Stand Cappucino vorige maand]]</f>
        <v>486</v>
      </c>
      <c r="W22" s="53">
        <v>3855</v>
      </c>
      <c r="X22">
        <f>juli2025!W22</f>
        <v>3724</v>
      </c>
      <c r="Y22">
        <f>Tabel2425678910111213141517161819212022232614151819[[#This Row],[Stand Cappucino Plantaardig einde maand]]-Tabel2425678910111213141517161819212022232614151819[[#This Row],[Stand Cappucino Plantaardig vorige maand]]</f>
        <v>131</v>
      </c>
      <c r="Z22" s="53">
        <v>742</v>
      </c>
      <c r="AA22">
        <f>juli2025!Z22</f>
        <v>730</v>
      </c>
      <c r="AB22">
        <f>Tabel2425678910111213141517161819212022232614151819[[#This Row],[Stand Latte Macchiato Plantaardig einde maand]]-Tabel2425678910111213141517161819212022232614151819[[#This Row],[Stand Latte Macchiato Plantaardig vorige maand]]</f>
        <v>12</v>
      </c>
      <c r="AC22" s="71">
        <f>Tabel2425678910111213141517161819212022232614151819[[#This Row],[Verbruik Stand Latte Macchiato Plantaardig deze maand]]+Tabel2425678910111213141517161819212022232614151819[[#This Row],[Verbruik  Cappucino Plantaardig deze maand]]+Tabel2425678910111213141517161819212022232614151819[[#This Row],[Verbruik Cappucino deze maand]]+Tabel2425678910111213141517161819212022232614151819[[#This Row],[Verbruik Hot Water deze maand]]+Tabel2425678910111213141517161819212022232614151819[[#This Row],[Verbruik Coffee Latte deze maand]]+Tabel2425678910111213141517161819212022232614151819[[#This Row],[Verbruik Latte Macchiato deze maand]]+Tabel2425678910111213141517161819212022232614151819[[#This Row],[Verbruik Espresso deze maand]]+Tabel2425678910111213141517161819212022232614151819[[#This Row],[Verbruik Coffee deze maand]]</f>
        <v>3295</v>
      </c>
      <c r="AD22" s="69"/>
      <c r="AE22" s="41"/>
      <c r="AF22" s="5"/>
      <c r="AG22" s="5"/>
      <c r="AH22" s="75"/>
      <c r="AI22" s="41"/>
      <c r="AJ22" s="5"/>
      <c r="AK22" s="5"/>
      <c r="AL22" s="75"/>
      <c r="AM22" s="41"/>
      <c r="AN22" s="5"/>
      <c r="AO22" s="5"/>
      <c r="AP22" s="75"/>
      <c r="AQ22" s="41"/>
      <c r="AR22" s="5"/>
      <c r="AS22" s="5"/>
      <c r="AT22" s="75"/>
      <c r="AU22" s="41"/>
      <c r="AV22" s="5"/>
      <c r="AW22" s="5"/>
      <c r="AX22" s="79"/>
      <c r="AY22" s="95">
        <f>Tabel2425678910111213141517161819212022232614151819[[#This Row],[Subtotaal waterbar in consumpties]]+Tabel2425678910111213141517161819212022232614151819[[#This Row],[Subtotaal koffieautomaten]]</f>
        <v>3295</v>
      </c>
    </row>
    <row r="23" spans="1:130" ht="14.45" customHeight="1" x14ac:dyDescent="0.25">
      <c r="A23" s="65" t="s">
        <v>68</v>
      </c>
      <c r="B23" t="s">
        <v>69</v>
      </c>
      <c r="C23" t="s">
        <v>47</v>
      </c>
      <c r="E23">
        <v>18999</v>
      </c>
      <c r="F23">
        <f>juli2025!E23</f>
        <v>18411</v>
      </c>
      <c r="G23">
        <f>Tabel2425678910111213141517161819212022232614151819[[#This Row],[Stand Coffee einde maand]]-Tabel2425678910111213141517161819212022232614151819[[#This Row],[Coffee vorige maand]]</f>
        <v>588</v>
      </c>
      <c r="H23" s="53">
        <v>7719</v>
      </c>
      <c r="I23">
        <f>juli2025!H23</f>
        <v>7518</v>
      </c>
      <c r="J23">
        <f>Tabel2425678910111213141517161819212022232614151819[[#This Row],[Stand Espresso Einde maand]]-Tabel2425678910111213141517161819212022232614151819[[#This Row],[Espresso vorige maand]]</f>
        <v>201</v>
      </c>
      <c r="K23" s="53">
        <v>5622</v>
      </c>
      <c r="L23">
        <f>juli2025!K23</f>
        <v>5548</v>
      </c>
      <c r="M23">
        <f>Tabel2425678910111213141517161819212022232614151819[[#This Row],[Stand Latte Macchiato einde maand]]-Tabel2425678910111213141517161819212022232614151819[[#This Row],[Latte Macchiato vorige maand]]</f>
        <v>74</v>
      </c>
      <c r="N23" s="53">
        <v>1100</v>
      </c>
      <c r="O23">
        <f>juli2025!N23</f>
        <v>1072</v>
      </c>
      <c r="P23">
        <f>Tabel2425678910111213141517161819212022232614151819[[#This Row],[Stand Coffee Latte einde maand]]-Tabel2425678910111213141517161819212022232614151819[[#This Row],[Coffee Latte vorige maand]]</f>
        <v>28</v>
      </c>
      <c r="Q23" s="53">
        <v>1</v>
      </c>
      <c r="R23">
        <f>juli2025!Q23</f>
        <v>1</v>
      </c>
      <c r="S23">
        <f>Tabel2425678910111213141517161819212022232614151819[[#This Row],[Stand Hot Water einde maand]]-Tabel2425678910111213141517161819212022232614151819[[#This Row],[Hot Water vorige maand]]</f>
        <v>0</v>
      </c>
      <c r="T23" s="53">
        <v>15652</v>
      </c>
      <c r="U23">
        <f>juli2025!T23</f>
        <v>15300</v>
      </c>
      <c r="V23">
        <f>Tabel2425678910111213141517161819212022232614151819[[#This Row],[Stand Cappucino einde maand]]-Tabel2425678910111213141517161819212022232614151819[[#This Row],[Stand Cappucino vorige maand]]</f>
        <v>352</v>
      </c>
      <c r="W23" s="53">
        <v>3058</v>
      </c>
      <c r="X23">
        <f>juli2025!W23</f>
        <v>3007</v>
      </c>
      <c r="Y23">
        <f>Tabel2425678910111213141517161819212022232614151819[[#This Row],[Stand Cappucino Plantaardig einde maand]]-Tabel2425678910111213141517161819212022232614151819[[#This Row],[Stand Cappucino Plantaardig vorige maand]]</f>
        <v>51</v>
      </c>
      <c r="Z23" s="53">
        <v>893</v>
      </c>
      <c r="AA23">
        <f>juli2025!Z23</f>
        <v>867</v>
      </c>
      <c r="AB23">
        <f>Tabel2425678910111213141517161819212022232614151819[[#This Row],[Stand Latte Macchiato Plantaardig einde maand]]-Tabel2425678910111213141517161819212022232614151819[[#This Row],[Stand Latte Macchiato Plantaardig vorige maand]]</f>
        <v>26</v>
      </c>
      <c r="AC23" s="71">
        <f>Tabel2425678910111213141517161819212022232614151819[[#This Row],[Verbruik Stand Latte Macchiato Plantaardig deze maand]]+Tabel2425678910111213141517161819212022232614151819[[#This Row],[Verbruik  Cappucino Plantaardig deze maand]]+Tabel2425678910111213141517161819212022232614151819[[#This Row],[Verbruik Cappucino deze maand]]+Tabel2425678910111213141517161819212022232614151819[[#This Row],[Verbruik Hot Water deze maand]]+Tabel2425678910111213141517161819212022232614151819[[#This Row],[Verbruik Coffee Latte deze maand]]+Tabel2425678910111213141517161819212022232614151819[[#This Row],[Verbruik Latte Macchiato deze maand]]+Tabel2425678910111213141517161819212022232614151819[[#This Row],[Verbruik Espresso deze maand]]+Tabel2425678910111213141517161819212022232614151819[[#This Row],[Verbruik Coffee deze maand]]</f>
        <v>1320</v>
      </c>
      <c r="AD23" s="53">
        <v>148.9</v>
      </c>
      <c r="AE23">
        <f>juli2025!AD23</f>
        <v>140</v>
      </c>
      <c r="AF23">
        <f>Tabel2425678910111213141517161819212022232614151819[[#This Row],[Stand Kamertemp liter einde maand]]-Tabel2425678910111213141517161819212022232614151819[[#This Row],[Stand Kamertemp liter vorige maand]]</f>
        <v>8.9000000000000057</v>
      </c>
      <c r="AG23" s="2">
        <f>Tabel2425678910111213141517161819212022232614151819[[#This Row],[Verbruik Kamertemp liter deze maand]]/0.15</f>
        <v>59.333333333333371</v>
      </c>
      <c r="AH23" s="53">
        <v>1662.9</v>
      </c>
      <c r="AI23">
        <f>juli2025!AH23</f>
        <v>1453.2</v>
      </c>
      <c r="AJ23">
        <f>Tabel2425678910111213141517161819212022232614151819[[#This Row],[Stand Gekoeld liter einde maand]]-Tabel2425678910111213141517161819212022232614151819[[#This Row],[Stand Gekoeld liter vorige maand]]</f>
        <v>209.70000000000005</v>
      </c>
      <c r="AK23" s="2">
        <f>Tabel2425678910111213141517161819212022232614151819[[#This Row],[Verbruik Gekoeld liter deze maand]]/0.15</f>
        <v>1398.0000000000005</v>
      </c>
      <c r="AL23" s="53">
        <v>856.7</v>
      </c>
      <c r="AM23">
        <f>juli2025!AL23</f>
        <v>734.4</v>
      </c>
      <c r="AN23">
        <f>Tabel2425678910111213141517161819212022232614151819[[#This Row],[Stand Bruisend liter einde maand]]-Tabel2425678910111213141517161819212022232614151819[[#This Row],[Stand Bruisend liter vorige maand]]</f>
        <v>122.30000000000007</v>
      </c>
      <c r="AO23" s="2">
        <f>Tabel2425678910111213141517161819212022232614151819[[#This Row],[Verbruik Bruisend liter deze maand]]/0.15</f>
        <v>815.33333333333383</v>
      </c>
      <c r="AP23" s="53">
        <v>160.4</v>
      </c>
      <c r="AQ23">
        <f>juli2025!AP23</f>
        <v>134.30000000000001</v>
      </c>
      <c r="AR23">
        <f>Tabel2425678910111213141517161819212022232614151819[[#This Row],[Stand licht bruisend liter einde maand]]-Tabel2425678910111213141517161819212022232614151819[[#This Row],[Stand licht bruisend liter vorige maand]]</f>
        <v>26.099999999999994</v>
      </c>
      <c r="AS23" s="2">
        <f>Tabel2425678910111213141517161819212022232614151819[[#This Row],[Verbruik licht bruisend liter deze maand]]/0.15</f>
        <v>173.99999999999997</v>
      </c>
      <c r="AT23" s="53">
        <v>3293.6</v>
      </c>
      <c r="AU23">
        <f>juli2025!AT23</f>
        <v>3007.7</v>
      </c>
      <c r="AV23">
        <f>Tabel2425678910111213141517161819212022232614151819[[#This Row],[Stand heet water liter einde maand]]-Tabel2425678910111213141517161819212022232614151819[[#This Row],[Stand heet water liter vorige maand]]</f>
        <v>285.90000000000009</v>
      </c>
      <c r="AW23" s="2">
        <f>Tabel2425678910111213141517161819212022232614151819[[#This Row],[Verbruik heet Water liter deze maand ]]/0.15</f>
        <v>1906.0000000000007</v>
      </c>
      <c r="AX23" s="77">
        <f>Tabel2425678910111213141517161819212022232614151819[[#This Row],[Aantal consumpties heet water deze maand]]+Tabel2425678910111213141517161819212022232614151819[[#This Row],[Aantal consumpties licht bruisend water deze maand]]+Tabel2425678910111213141517161819212022232614151819[[#This Row],[aantal consumpties Bruisend water deze maand]]+Tabel2425678910111213141517161819212022232614151819[[#This Row],[Aantal consumpties gekoeld water deze maand]]+Tabel2425678910111213141517161819212022232614151819[[#This Row],[Aantal consumpties Kamertemp deze maand]]</f>
        <v>4352.6666666666679</v>
      </c>
      <c r="AY23" s="95">
        <f>Tabel2425678910111213141517161819212022232614151819[[#This Row],[Subtotaal waterbar in consumpties]]+Tabel2425678910111213141517161819212022232614151819[[#This Row],[Subtotaal koffieautomaten]]</f>
        <v>5672.6666666666679</v>
      </c>
    </row>
    <row r="24" spans="1:130" ht="14.45" customHeight="1" x14ac:dyDescent="0.25">
      <c r="A24" s="65" t="s">
        <v>70</v>
      </c>
      <c r="B24" t="s">
        <v>71</v>
      </c>
      <c r="C24" t="s">
        <v>31</v>
      </c>
      <c r="E24">
        <v>21077</v>
      </c>
      <c r="F24">
        <f>juli2025!E24</f>
        <v>20534</v>
      </c>
      <c r="G24">
        <f>Tabel2425678910111213141517161819212022232614151819[[#This Row],[Stand Coffee einde maand]]-Tabel2425678910111213141517161819212022232614151819[[#This Row],[Coffee vorige maand]]</f>
        <v>543</v>
      </c>
      <c r="H24" s="53">
        <v>3300</v>
      </c>
      <c r="I24">
        <f>juli2025!H24</f>
        <v>3219</v>
      </c>
      <c r="J24">
        <f>Tabel2425678910111213141517161819212022232614151819[[#This Row],[Stand Espresso Einde maand]]-Tabel2425678910111213141517161819212022232614151819[[#This Row],[Espresso vorige maand]]</f>
        <v>81</v>
      </c>
      <c r="K24" s="53">
        <v>1451</v>
      </c>
      <c r="L24">
        <f>juli2025!K24</f>
        <v>1434</v>
      </c>
      <c r="M24">
        <f>Tabel2425678910111213141517161819212022232614151819[[#This Row],[Stand Latte Macchiato einde maand]]-Tabel2425678910111213141517161819212022232614151819[[#This Row],[Latte Macchiato vorige maand]]</f>
        <v>17</v>
      </c>
      <c r="N24" s="53">
        <v>2483</v>
      </c>
      <c r="O24">
        <f>juli2025!N24</f>
        <v>2411</v>
      </c>
      <c r="P24">
        <f>Tabel2425678910111213141517161819212022232614151819[[#This Row],[Stand Coffee Latte einde maand]]-Tabel2425678910111213141517161819212022232614151819[[#This Row],[Coffee Latte vorige maand]]</f>
        <v>72</v>
      </c>
      <c r="Q24" s="53">
        <v>40424</v>
      </c>
      <c r="R24">
        <f>juli2025!Q24</f>
        <v>39339</v>
      </c>
      <c r="S24">
        <f>Tabel2425678910111213141517161819212022232614151819[[#This Row],[Stand Hot Water einde maand]]-Tabel2425678910111213141517161819212022232614151819[[#This Row],[Hot Water vorige maand]]</f>
        <v>1085</v>
      </c>
      <c r="T24" s="53">
        <v>7545</v>
      </c>
      <c r="U24">
        <f>juli2025!T24</f>
        <v>7400</v>
      </c>
      <c r="V24">
        <f>Tabel2425678910111213141517161819212022232614151819[[#This Row],[Stand Cappucino einde maand]]-Tabel2425678910111213141517161819212022232614151819[[#This Row],[Stand Cappucino vorige maand]]</f>
        <v>145</v>
      </c>
      <c r="W24" s="53">
        <v>1335</v>
      </c>
      <c r="X24">
        <f>juli2025!W24</f>
        <v>1320</v>
      </c>
      <c r="Y24">
        <f>Tabel2425678910111213141517161819212022232614151819[[#This Row],[Stand Cappucino Plantaardig einde maand]]-Tabel2425678910111213141517161819212022232614151819[[#This Row],[Stand Cappucino Plantaardig vorige maand]]</f>
        <v>15</v>
      </c>
      <c r="Z24" s="53">
        <v>2533</v>
      </c>
      <c r="AA24">
        <f>juli2025!Z24</f>
        <v>2461</v>
      </c>
      <c r="AB24">
        <f>Tabel2425678910111213141517161819212022232614151819[[#This Row],[Stand Latte Macchiato Plantaardig einde maand]]-Tabel2425678910111213141517161819212022232614151819[[#This Row],[Stand Latte Macchiato Plantaardig vorige maand]]</f>
        <v>72</v>
      </c>
      <c r="AC24" s="71">
        <f>Tabel2425678910111213141517161819212022232614151819[[#This Row],[Verbruik Stand Latte Macchiato Plantaardig deze maand]]+Tabel2425678910111213141517161819212022232614151819[[#This Row],[Verbruik  Cappucino Plantaardig deze maand]]+Tabel2425678910111213141517161819212022232614151819[[#This Row],[Verbruik Cappucino deze maand]]+Tabel2425678910111213141517161819212022232614151819[[#This Row],[Verbruik Hot Water deze maand]]+Tabel2425678910111213141517161819212022232614151819[[#This Row],[Verbruik Coffee Latte deze maand]]+Tabel2425678910111213141517161819212022232614151819[[#This Row],[Verbruik Latte Macchiato deze maand]]+Tabel2425678910111213141517161819212022232614151819[[#This Row],[Verbruik Espresso deze maand]]+Tabel2425678910111213141517161819212022232614151819[[#This Row],[Verbruik Coffee deze maand]]</f>
        <v>2030</v>
      </c>
      <c r="AD24" s="69"/>
      <c r="AE24" s="41"/>
      <c r="AF24" s="5"/>
      <c r="AG24" s="5"/>
      <c r="AH24" s="75"/>
      <c r="AI24" s="41"/>
      <c r="AJ24" s="5"/>
      <c r="AK24" s="5"/>
      <c r="AL24" s="75"/>
      <c r="AM24" s="41"/>
      <c r="AN24" s="5"/>
      <c r="AO24" s="5"/>
      <c r="AP24" s="75"/>
      <c r="AQ24" s="41"/>
      <c r="AR24" s="5"/>
      <c r="AS24" s="5"/>
      <c r="AT24" s="75"/>
      <c r="AU24" s="41"/>
      <c r="AV24" s="5"/>
      <c r="AW24" s="5"/>
      <c r="AX24" s="79"/>
      <c r="AY24" s="95">
        <f>Tabel2425678910111213141517161819212022232614151819[[#This Row],[Subtotaal waterbar in consumpties]]+Tabel2425678910111213141517161819212022232614151819[[#This Row],[Subtotaal koffieautomaten]]</f>
        <v>2030</v>
      </c>
    </row>
    <row r="25" spans="1:130" ht="14.45" customHeight="1" x14ac:dyDescent="0.25">
      <c r="A25" s="65" t="s">
        <v>72</v>
      </c>
      <c r="B25" t="s">
        <v>73</v>
      </c>
      <c r="C25" t="s">
        <v>47</v>
      </c>
      <c r="E25">
        <v>14849</v>
      </c>
      <c r="F25">
        <f>juli2025!E25</f>
        <v>14630</v>
      </c>
      <c r="G25">
        <f>Tabel2425678910111213141517161819212022232614151819[[#This Row],[Stand Coffee einde maand]]-Tabel2425678910111213141517161819212022232614151819[[#This Row],[Coffee vorige maand]]</f>
        <v>219</v>
      </c>
      <c r="H25" s="53">
        <v>4783</v>
      </c>
      <c r="I25">
        <f>juli2025!H25</f>
        <v>4674</v>
      </c>
      <c r="J25">
        <f>Tabel2425678910111213141517161819212022232614151819[[#This Row],[Stand Espresso Einde maand]]-Tabel2425678910111213141517161819212022232614151819[[#This Row],[Espresso vorige maand]]</f>
        <v>109</v>
      </c>
      <c r="K25" s="53">
        <v>1902</v>
      </c>
      <c r="L25">
        <f>juli2025!K25</f>
        <v>1863</v>
      </c>
      <c r="M25">
        <f>Tabel2425678910111213141517161819212022232614151819[[#This Row],[Stand Latte Macchiato einde maand]]-Tabel2425678910111213141517161819212022232614151819[[#This Row],[Latte Macchiato vorige maand]]</f>
        <v>39</v>
      </c>
      <c r="N25" s="53">
        <v>1296</v>
      </c>
      <c r="O25">
        <f>juli2025!N25</f>
        <v>1248</v>
      </c>
      <c r="P25">
        <f>Tabel2425678910111213141517161819212022232614151819[[#This Row],[Stand Coffee Latte einde maand]]-Tabel2425678910111213141517161819212022232614151819[[#This Row],[Coffee Latte vorige maand]]</f>
        <v>48</v>
      </c>
      <c r="Q25" s="53">
        <v>1</v>
      </c>
      <c r="R25">
        <f>juli2025!Q25</f>
        <v>1</v>
      </c>
      <c r="S25">
        <f>Tabel2425678910111213141517161819212022232614151819[[#This Row],[Stand Hot Water einde maand]]-Tabel2425678910111213141517161819212022232614151819[[#This Row],[Hot Water vorige maand]]</f>
        <v>0</v>
      </c>
      <c r="T25" s="53">
        <v>9669</v>
      </c>
      <c r="U25">
        <f>juli2025!T25</f>
        <v>9524</v>
      </c>
      <c r="V25">
        <f>Tabel2425678910111213141517161819212022232614151819[[#This Row],[Stand Cappucino einde maand]]-Tabel2425678910111213141517161819212022232614151819[[#This Row],[Stand Cappucino vorige maand]]</f>
        <v>145</v>
      </c>
      <c r="W25" s="53">
        <v>1743</v>
      </c>
      <c r="X25">
        <f>juli2025!W25</f>
        <v>1719</v>
      </c>
      <c r="Y25">
        <f>Tabel2425678910111213141517161819212022232614151819[[#This Row],[Stand Cappucino Plantaardig einde maand]]-Tabel2425678910111213141517161819212022232614151819[[#This Row],[Stand Cappucino Plantaardig vorige maand]]</f>
        <v>24</v>
      </c>
      <c r="Z25" s="53">
        <v>555</v>
      </c>
      <c r="AA25">
        <f>juli2025!Z25</f>
        <v>542</v>
      </c>
      <c r="AB25">
        <f>Tabel2425678910111213141517161819212022232614151819[[#This Row],[Stand Latte Macchiato Plantaardig einde maand]]-Tabel2425678910111213141517161819212022232614151819[[#This Row],[Stand Latte Macchiato Plantaardig vorige maand]]</f>
        <v>13</v>
      </c>
      <c r="AC25" s="71">
        <f>Tabel2425678910111213141517161819212022232614151819[[#This Row],[Verbruik Stand Latte Macchiato Plantaardig deze maand]]+Tabel2425678910111213141517161819212022232614151819[[#This Row],[Verbruik  Cappucino Plantaardig deze maand]]+Tabel2425678910111213141517161819212022232614151819[[#This Row],[Verbruik Cappucino deze maand]]+Tabel2425678910111213141517161819212022232614151819[[#This Row],[Verbruik Hot Water deze maand]]+Tabel2425678910111213141517161819212022232614151819[[#This Row],[Verbruik Coffee Latte deze maand]]+Tabel2425678910111213141517161819212022232614151819[[#This Row],[Verbruik Latte Macchiato deze maand]]+Tabel2425678910111213141517161819212022232614151819[[#This Row],[Verbruik Espresso deze maand]]+Tabel2425678910111213141517161819212022232614151819[[#This Row],[Verbruik Coffee deze maand]]</f>
        <v>597</v>
      </c>
      <c r="AD25" s="53">
        <v>492.4</v>
      </c>
      <c r="AE25">
        <f>juli2025!AD25</f>
        <v>475.2</v>
      </c>
      <c r="AF25">
        <f>Tabel2425678910111213141517161819212022232614151819[[#This Row],[Stand Kamertemp liter einde maand]]-Tabel2425678910111213141517161819212022232614151819[[#This Row],[Stand Kamertemp liter vorige maand]]</f>
        <v>17.199999999999989</v>
      </c>
      <c r="AG25" s="2">
        <f>Tabel2425678910111213141517161819212022232614151819[[#This Row],[Verbruik Kamertemp liter deze maand]]/0.15</f>
        <v>114.6666666666666</v>
      </c>
      <c r="AH25" s="53">
        <v>3279.8</v>
      </c>
      <c r="AI25">
        <f>juli2025!AH25</f>
        <v>3129.5</v>
      </c>
      <c r="AJ25">
        <f>Tabel2425678910111213141517161819212022232614151819[[#This Row],[Stand Gekoeld liter einde maand]]-Tabel2425678910111213141517161819212022232614151819[[#This Row],[Stand Gekoeld liter vorige maand]]</f>
        <v>150.30000000000018</v>
      </c>
      <c r="AK25" s="2">
        <f>Tabel2425678910111213141517161819212022232614151819[[#This Row],[Verbruik Gekoeld liter deze maand]]/0.15</f>
        <v>1002.0000000000013</v>
      </c>
      <c r="AL25" s="53">
        <v>2436.5</v>
      </c>
      <c r="AM25">
        <f>juli2025!AL25</f>
        <v>2386.6</v>
      </c>
      <c r="AN25">
        <f>Tabel2425678910111213141517161819212022232614151819[[#This Row],[Stand Bruisend liter einde maand]]-Tabel2425678910111213141517161819212022232614151819[[#This Row],[Stand Bruisend liter vorige maand]]</f>
        <v>49.900000000000091</v>
      </c>
      <c r="AO25" s="2">
        <f>Tabel2425678910111213141517161819212022232614151819[[#This Row],[Verbruik Bruisend liter deze maand]]/0.15</f>
        <v>332.66666666666731</v>
      </c>
      <c r="AP25" s="53">
        <v>759.4</v>
      </c>
      <c r="AQ25">
        <f>juli2025!AP25</f>
        <v>736.5</v>
      </c>
      <c r="AR25">
        <f>Tabel2425678910111213141517161819212022232614151819[[#This Row],[Stand licht bruisend liter einde maand]]-Tabel2425678910111213141517161819212022232614151819[[#This Row],[Stand licht bruisend liter vorige maand]]</f>
        <v>22.899999999999977</v>
      </c>
      <c r="AS25" s="2">
        <f>Tabel2425678910111213141517161819212022232614151819[[#This Row],[Verbruik licht bruisend liter deze maand]]/0.15</f>
        <v>152.66666666666652</v>
      </c>
      <c r="AT25" s="53">
        <v>3830.6</v>
      </c>
      <c r="AU25">
        <f>juli2025!AT25</f>
        <v>3769.3</v>
      </c>
      <c r="AV25">
        <f>Tabel2425678910111213141517161819212022232614151819[[#This Row],[Stand heet water liter einde maand]]-Tabel2425678910111213141517161819212022232614151819[[#This Row],[Stand heet water liter vorige maand]]</f>
        <v>61.299999999999727</v>
      </c>
      <c r="AW25" s="2">
        <f>Tabel2425678910111213141517161819212022232614151819[[#This Row],[Verbruik heet Water liter deze maand ]]/0.15</f>
        <v>408.66666666666487</v>
      </c>
      <c r="AX25" s="77">
        <f>Tabel2425678910111213141517161819212022232614151819[[#This Row],[Aantal consumpties heet water deze maand]]+Tabel2425678910111213141517161819212022232614151819[[#This Row],[Aantal consumpties licht bruisend water deze maand]]+Tabel2425678910111213141517161819212022232614151819[[#This Row],[aantal consumpties Bruisend water deze maand]]+Tabel2425678910111213141517161819212022232614151819[[#This Row],[Aantal consumpties gekoeld water deze maand]]+Tabel2425678910111213141517161819212022232614151819[[#This Row],[Aantal consumpties Kamertemp deze maand]]</f>
        <v>2010.6666666666665</v>
      </c>
      <c r="AY25" s="95">
        <f>Tabel2425678910111213141517161819212022232614151819[[#This Row],[Subtotaal waterbar in consumpties]]+Tabel2425678910111213141517161819212022232614151819[[#This Row],[Subtotaal koffieautomaten]]</f>
        <v>2607.6666666666665</v>
      </c>
    </row>
    <row r="26" spans="1:130" s="81" customFormat="1" ht="14.45" customHeight="1" x14ac:dyDescent="0.25">
      <c r="A26" s="80" t="s">
        <v>74</v>
      </c>
      <c r="D26" s="82"/>
      <c r="H26" s="86"/>
      <c r="K26" s="86"/>
      <c r="N26" s="86"/>
      <c r="Q26" s="86"/>
      <c r="T26" s="86"/>
      <c r="W26" s="86"/>
      <c r="Z26" s="86"/>
      <c r="AC26" s="85"/>
      <c r="AD26" s="86"/>
      <c r="AG26" s="87"/>
      <c r="AH26" s="86"/>
      <c r="AK26" s="87"/>
      <c r="AL26" s="86"/>
      <c r="AO26" s="87"/>
      <c r="AP26" s="86"/>
      <c r="AS26" s="87"/>
      <c r="AT26" s="86"/>
      <c r="AW26" s="87"/>
      <c r="AX26" s="88"/>
      <c r="AY26" s="94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</row>
    <row r="27" spans="1:130" ht="14.45" customHeight="1" x14ac:dyDescent="0.25">
      <c r="A27" s="65" t="s">
        <v>32</v>
      </c>
      <c r="B27" t="s">
        <v>75</v>
      </c>
      <c r="C27" t="s">
        <v>47</v>
      </c>
      <c r="E27">
        <v>10480</v>
      </c>
      <c r="F27">
        <f>juli2025!E27</f>
        <v>10211</v>
      </c>
      <c r="G27">
        <f>Tabel2425678910111213141517161819212022232614151819[[#This Row],[Stand Coffee einde maand]]-Tabel2425678910111213141517161819212022232614151819[[#This Row],[Coffee vorige maand]]</f>
        <v>269</v>
      </c>
      <c r="H27" s="53">
        <v>2774</v>
      </c>
      <c r="I27">
        <f>juli2025!H27</f>
        <v>2680</v>
      </c>
      <c r="J27">
        <f>Tabel2425678910111213141517161819212022232614151819[[#This Row],[Stand Espresso Einde maand]]-Tabel2425678910111213141517161819212022232614151819[[#This Row],[Espresso vorige maand]]</f>
        <v>94</v>
      </c>
      <c r="K27" s="53">
        <v>1921</v>
      </c>
      <c r="L27">
        <f>juli2025!K27</f>
        <v>1904</v>
      </c>
      <c r="M27">
        <f>Tabel2425678910111213141517161819212022232614151819[[#This Row],[Stand Latte Macchiato einde maand]]-Tabel2425678910111213141517161819212022232614151819[[#This Row],[Latte Macchiato vorige maand]]</f>
        <v>17</v>
      </c>
      <c r="N27" s="53">
        <v>889</v>
      </c>
      <c r="O27">
        <f>juli2025!N27</f>
        <v>876</v>
      </c>
      <c r="P27">
        <f>Tabel2425678910111213141517161819212022232614151819[[#This Row],[Stand Coffee Latte einde maand]]-Tabel2425678910111213141517161819212022232614151819[[#This Row],[Coffee Latte vorige maand]]</f>
        <v>13</v>
      </c>
      <c r="Q27" s="53">
        <v>1</v>
      </c>
      <c r="R27">
        <f>juli2025!Q27</f>
        <v>1</v>
      </c>
      <c r="S27">
        <f>Tabel2425678910111213141517161819212022232614151819[[#This Row],[Stand Hot Water einde maand]]-Tabel2425678910111213141517161819212022232614151819[[#This Row],[Hot Water vorige maand]]</f>
        <v>0</v>
      </c>
      <c r="T27" s="53">
        <v>6319</v>
      </c>
      <c r="U27">
        <f>juli2025!T27</f>
        <v>6217</v>
      </c>
      <c r="V27">
        <f>Tabel2425678910111213141517161819212022232614151819[[#This Row],[Stand Cappucino einde maand]]-Tabel2425678910111213141517161819212022232614151819[[#This Row],[Stand Cappucino vorige maand]]</f>
        <v>102</v>
      </c>
      <c r="W27" s="53">
        <v>988</v>
      </c>
      <c r="X27">
        <f>juli2025!W27</f>
        <v>979</v>
      </c>
      <c r="Y27">
        <f>Tabel2425678910111213141517161819212022232614151819[[#This Row],[Stand Cappucino Plantaardig einde maand]]-Tabel2425678910111213141517161819212022232614151819[[#This Row],[Stand Cappucino Plantaardig vorige maand]]</f>
        <v>9</v>
      </c>
      <c r="Z27" s="53">
        <v>499</v>
      </c>
      <c r="AA27">
        <f>juli2025!Z27</f>
        <v>487</v>
      </c>
      <c r="AB27">
        <f>Tabel2425678910111213141517161819212022232614151819[[#This Row],[Stand Latte Macchiato Plantaardig einde maand]]-Tabel2425678910111213141517161819212022232614151819[[#This Row],[Stand Latte Macchiato Plantaardig vorige maand]]</f>
        <v>12</v>
      </c>
      <c r="AC27" s="71">
        <f>Tabel2425678910111213141517161819212022232614151819[[#This Row],[Verbruik Stand Latte Macchiato Plantaardig deze maand]]+Tabel2425678910111213141517161819212022232614151819[[#This Row],[Verbruik  Cappucino Plantaardig deze maand]]+Tabel2425678910111213141517161819212022232614151819[[#This Row],[Verbruik Cappucino deze maand]]+Tabel2425678910111213141517161819212022232614151819[[#This Row],[Verbruik Hot Water deze maand]]+Tabel2425678910111213141517161819212022232614151819[[#This Row],[Verbruik Coffee Latte deze maand]]+Tabel2425678910111213141517161819212022232614151819[[#This Row],[Verbruik Latte Macchiato deze maand]]+Tabel2425678910111213141517161819212022232614151819[[#This Row],[Verbruik Espresso deze maand]]+Tabel2425678910111213141517161819212022232614151819[[#This Row],[Verbruik Coffee deze maand]]</f>
        <v>516</v>
      </c>
      <c r="AD27" s="53">
        <v>31.7</v>
      </c>
      <c r="AE27">
        <f>juli2025!AD27</f>
        <v>19.2</v>
      </c>
      <c r="AF27">
        <f>Tabel2425678910111213141517161819212022232614151819[[#This Row],[Stand Kamertemp liter einde maand]]-Tabel2425678910111213141517161819212022232614151819[[#This Row],[Stand Kamertemp liter vorige maand]]</f>
        <v>12.5</v>
      </c>
      <c r="AG27" s="2">
        <f>Tabel2425678910111213141517161819212022232614151819[[#This Row],[Verbruik Kamertemp liter deze maand]]/0.15</f>
        <v>83.333333333333343</v>
      </c>
      <c r="AH27" s="53">
        <v>147.19999999999999</v>
      </c>
      <c r="AI27">
        <f>juli2025!AH27</f>
        <v>77</v>
      </c>
      <c r="AJ27">
        <f>Tabel2425678910111213141517161819212022232614151819[[#This Row],[Stand Gekoeld liter einde maand]]-Tabel2425678910111213141517161819212022232614151819[[#This Row],[Stand Gekoeld liter vorige maand]]</f>
        <v>70.199999999999989</v>
      </c>
      <c r="AK27" s="2">
        <f>Tabel2425678910111213141517161819212022232614151819[[#This Row],[Verbruik Gekoeld liter deze maand]]/0.15</f>
        <v>467.99999999999994</v>
      </c>
      <c r="AL27" s="53">
        <v>47.5</v>
      </c>
      <c r="AM27">
        <f>juli2025!AL27</f>
        <v>24</v>
      </c>
      <c r="AN27">
        <f>Tabel2425678910111213141517161819212022232614151819[[#This Row],[Stand Bruisend liter einde maand]]-Tabel2425678910111213141517161819212022232614151819[[#This Row],[Stand Bruisend liter vorige maand]]</f>
        <v>23.5</v>
      </c>
      <c r="AO27" s="2">
        <f>Tabel2425678910111213141517161819212022232614151819[[#This Row],[Verbruik Bruisend liter deze maand]]/0.15</f>
        <v>156.66666666666669</v>
      </c>
      <c r="AP27" s="53">
        <v>38.700000000000003</v>
      </c>
      <c r="AQ27">
        <f>juli2025!AP27</f>
        <v>26.5</v>
      </c>
      <c r="AR27">
        <f>Tabel2425678910111213141517161819212022232614151819[[#This Row],[Stand licht bruisend liter einde maand]]-Tabel2425678910111213141517161819212022232614151819[[#This Row],[Stand licht bruisend liter vorige maand]]</f>
        <v>12.200000000000003</v>
      </c>
      <c r="AS27" s="2">
        <f>Tabel2425678910111213141517161819212022232614151819[[#This Row],[Verbruik licht bruisend liter deze maand]]/0.15</f>
        <v>81.333333333333357</v>
      </c>
      <c r="AT27" s="53">
        <v>218.3</v>
      </c>
      <c r="AU27">
        <f>juli2025!AT27</f>
        <v>93.6</v>
      </c>
      <c r="AV27">
        <f>Tabel2425678910111213141517161819212022232614151819[[#This Row],[Stand heet water liter einde maand]]-Tabel2425678910111213141517161819212022232614151819[[#This Row],[Stand heet water liter vorige maand]]</f>
        <v>124.70000000000002</v>
      </c>
      <c r="AW27" s="2">
        <f>Tabel2425678910111213141517161819212022232614151819[[#This Row],[Verbruik heet Water liter deze maand ]]/0.15</f>
        <v>831.33333333333348</v>
      </c>
      <c r="AX27" s="77">
        <f>Tabel2425678910111213141517161819212022232614151819[[#This Row],[Aantal consumpties heet water deze maand]]+Tabel2425678910111213141517161819212022232614151819[[#This Row],[Aantal consumpties licht bruisend water deze maand]]+Tabel2425678910111213141517161819212022232614151819[[#This Row],[aantal consumpties Bruisend water deze maand]]+Tabel2425678910111213141517161819212022232614151819[[#This Row],[Aantal consumpties gekoeld water deze maand]]+Tabel2425678910111213141517161819212022232614151819[[#This Row],[Aantal consumpties Kamertemp deze maand]]</f>
        <v>1620.6666666666667</v>
      </c>
      <c r="AY27" s="95">
        <f>Tabel2425678910111213141517161819212022232614151819[[#This Row],[Subtotaal waterbar in consumpties]]+Tabel2425678910111213141517161819212022232614151819[[#This Row],[Subtotaal koffieautomaten]]</f>
        <v>2136.666666666667</v>
      </c>
    </row>
    <row r="28" spans="1:130" ht="14.45" customHeight="1" x14ac:dyDescent="0.25">
      <c r="A28" s="65" t="s">
        <v>39</v>
      </c>
      <c r="B28" t="s">
        <v>163</v>
      </c>
      <c r="C28" t="s">
        <v>31</v>
      </c>
      <c r="E28">
        <v>28974</v>
      </c>
      <c r="F28">
        <f>juli2025!E28</f>
        <v>28654</v>
      </c>
      <c r="G28">
        <f>Tabel2425678910111213141517161819212022232614151819[[#This Row],[Stand Coffee einde maand]]-Tabel2425678910111213141517161819212022232614151819[[#This Row],[Coffee vorige maand]]</f>
        <v>320</v>
      </c>
      <c r="H28" s="53">
        <v>7327</v>
      </c>
      <c r="I28">
        <f>juli2025!H28</f>
        <v>7247</v>
      </c>
      <c r="J28">
        <f>Tabel2425678910111213141517161819212022232614151819[[#This Row],[Stand Espresso Einde maand]]-Tabel2425678910111213141517161819212022232614151819[[#This Row],[Espresso vorige maand]]</f>
        <v>80</v>
      </c>
      <c r="K28" s="53">
        <v>3543</v>
      </c>
      <c r="L28">
        <f>juli2025!K28</f>
        <v>3495</v>
      </c>
      <c r="M28">
        <f>Tabel2425678910111213141517161819212022232614151819[[#This Row],[Stand Latte Macchiato einde maand]]-Tabel2425678910111213141517161819212022232614151819[[#This Row],[Latte Macchiato vorige maand]]</f>
        <v>48</v>
      </c>
      <c r="N28" s="53">
        <v>1534</v>
      </c>
      <c r="O28">
        <f>juli2025!N28</f>
        <v>1513</v>
      </c>
      <c r="P28">
        <f>Tabel2425678910111213141517161819212022232614151819[[#This Row],[Stand Coffee Latte einde maand]]-Tabel2425678910111213141517161819212022232614151819[[#This Row],[Coffee Latte vorige maand]]</f>
        <v>21</v>
      </c>
      <c r="Q28" s="53">
        <v>24765</v>
      </c>
      <c r="R28">
        <f>juli2025!Q28</f>
        <v>24492</v>
      </c>
      <c r="S28">
        <f>Tabel2425678910111213141517161819212022232614151819[[#This Row],[Stand Hot Water einde maand]]-Tabel2425678910111213141517161819212022232614151819[[#This Row],[Hot Water vorige maand]]</f>
        <v>273</v>
      </c>
      <c r="T28" s="53">
        <v>20359</v>
      </c>
      <c r="U28">
        <f>juli2025!T28</f>
        <v>20095</v>
      </c>
      <c r="V28">
        <f>Tabel2425678910111213141517161819212022232614151819[[#This Row],[Stand Cappucino einde maand]]-Tabel2425678910111213141517161819212022232614151819[[#This Row],[Stand Cappucino vorige maand]]</f>
        <v>264</v>
      </c>
      <c r="W28" s="53">
        <v>2458</v>
      </c>
      <c r="X28">
        <f>juli2025!W28</f>
        <v>2439</v>
      </c>
      <c r="Y28">
        <f>Tabel2425678910111213141517161819212022232614151819[[#This Row],[Stand Cappucino Plantaardig einde maand]]-Tabel2425678910111213141517161819212022232614151819[[#This Row],[Stand Cappucino Plantaardig vorige maand]]</f>
        <v>19</v>
      </c>
      <c r="Z28" s="53">
        <v>762</v>
      </c>
      <c r="AA28">
        <f>juli2025!Z28</f>
        <v>754</v>
      </c>
      <c r="AB28">
        <f>Tabel2425678910111213141517161819212022232614151819[[#This Row],[Stand Latte Macchiato Plantaardig einde maand]]-Tabel2425678910111213141517161819212022232614151819[[#This Row],[Stand Latte Macchiato Plantaardig vorige maand]]</f>
        <v>8</v>
      </c>
      <c r="AC28" s="71">
        <f>Tabel2425678910111213141517161819212022232614151819[[#This Row],[Verbruik Stand Latte Macchiato Plantaardig deze maand]]+Tabel2425678910111213141517161819212022232614151819[[#This Row],[Verbruik  Cappucino Plantaardig deze maand]]+Tabel2425678910111213141517161819212022232614151819[[#This Row],[Verbruik Cappucino deze maand]]+Tabel2425678910111213141517161819212022232614151819[[#This Row],[Verbruik Hot Water deze maand]]+Tabel2425678910111213141517161819212022232614151819[[#This Row],[Verbruik Coffee Latte deze maand]]+Tabel2425678910111213141517161819212022232614151819[[#This Row],[Verbruik Latte Macchiato deze maand]]+Tabel2425678910111213141517161819212022232614151819[[#This Row],[Verbruik Espresso deze maand]]+Tabel2425678910111213141517161819212022232614151819[[#This Row],[Verbruik Coffee deze maand]]</f>
        <v>1033</v>
      </c>
      <c r="AD28" s="69"/>
      <c r="AE28" s="41"/>
      <c r="AF28" s="5"/>
      <c r="AG28" s="5"/>
      <c r="AH28" s="75"/>
      <c r="AI28" s="41"/>
      <c r="AJ28" s="5"/>
      <c r="AK28" s="5"/>
      <c r="AL28" s="75"/>
      <c r="AM28" s="41"/>
      <c r="AN28" s="5"/>
      <c r="AO28" s="5"/>
      <c r="AP28" s="75"/>
      <c r="AQ28" s="41"/>
      <c r="AR28" s="5"/>
      <c r="AS28" s="5"/>
      <c r="AT28" s="75"/>
      <c r="AU28" s="41"/>
      <c r="AV28" s="5"/>
      <c r="AW28" s="5"/>
      <c r="AX28" s="79"/>
      <c r="AY28" s="95">
        <f>Tabel2425678910111213141517161819212022232614151819[[#This Row],[Subtotaal waterbar in consumpties]]+Tabel2425678910111213141517161819212022232614151819[[#This Row],[Subtotaal koffieautomaten]]</f>
        <v>1033</v>
      </c>
    </row>
    <row r="29" spans="1:130" ht="14.45" customHeight="1" x14ac:dyDescent="0.25">
      <c r="A29" s="65" t="s">
        <v>39</v>
      </c>
      <c r="B29" t="s">
        <v>77</v>
      </c>
      <c r="C29" t="s">
        <v>36</v>
      </c>
      <c r="E29" s="46"/>
      <c r="F29" s="46"/>
      <c r="G29" s="47"/>
      <c r="H29" s="54"/>
      <c r="I29" s="46"/>
      <c r="J29" s="47"/>
      <c r="K29" s="54"/>
      <c r="L29" s="46"/>
      <c r="M29" s="47"/>
      <c r="N29" s="54"/>
      <c r="O29" s="46"/>
      <c r="P29" s="47"/>
      <c r="Q29" s="54"/>
      <c r="R29" s="46"/>
      <c r="S29" s="47"/>
      <c r="T29" s="54"/>
      <c r="U29" s="46"/>
      <c r="V29" s="47"/>
      <c r="W29" s="54"/>
      <c r="X29" s="46"/>
      <c r="Y29" s="47"/>
      <c r="Z29" s="54"/>
      <c r="AA29" s="46"/>
      <c r="AB29" s="47"/>
      <c r="AC29" s="72"/>
      <c r="AD29" s="53">
        <v>100</v>
      </c>
      <c r="AE29">
        <f>juli2025!AD29</f>
        <v>83</v>
      </c>
      <c r="AF29">
        <f>Tabel2425678910111213141517161819212022232614151819[[#This Row],[Stand Kamertemp liter einde maand]]-Tabel2425678910111213141517161819212022232614151819[[#This Row],[Stand Kamertemp liter vorige maand]]</f>
        <v>17</v>
      </c>
      <c r="AG29" s="2">
        <f>Tabel2425678910111213141517161819212022232614151819[[#This Row],[Verbruik Kamertemp liter deze maand]]/0.15</f>
        <v>113.33333333333334</v>
      </c>
      <c r="AH29" s="53">
        <v>822.3</v>
      </c>
      <c r="AI29">
        <f>juli2025!AH29</f>
        <v>663</v>
      </c>
      <c r="AJ29">
        <f>Tabel2425678910111213141517161819212022232614151819[[#This Row],[Stand Gekoeld liter einde maand]]-Tabel2425678910111213141517161819212022232614151819[[#This Row],[Stand Gekoeld liter vorige maand]]</f>
        <v>159.29999999999995</v>
      </c>
      <c r="AK29" s="2">
        <f>Tabel2425678910111213141517161819212022232614151819[[#This Row],[Verbruik Gekoeld liter deze maand]]/0.15</f>
        <v>1061.9999999999998</v>
      </c>
      <c r="AL29" s="53">
        <v>407</v>
      </c>
      <c r="AM29">
        <f>juli2025!AL29</f>
        <v>327.3</v>
      </c>
      <c r="AN29">
        <f>Tabel2425678910111213141517161819212022232614151819[[#This Row],[Stand Bruisend liter einde maand]]-Tabel2425678910111213141517161819212022232614151819[[#This Row],[Stand Bruisend liter vorige maand]]</f>
        <v>79.699999999999989</v>
      </c>
      <c r="AO29" s="2">
        <f>Tabel2425678910111213141517161819212022232614151819[[#This Row],[Verbruik Bruisend liter deze maand]]/0.15</f>
        <v>531.33333333333326</v>
      </c>
      <c r="AP29" s="53">
        <v>143.80000000000001</v>
      </c>
      <c r="AQ29">
        <f>juli2025!AP29</f>
        <v>122.9</v>
      </c>
      <c r="AR29">
        <f>Tabel2425678910111213141517161819212022232614151819[[#This Row],[Stand licht bruisend liter einde maand]]-Tabel2425678910111213141517161819212022232614151819[[#This Row],[Stand licht bruisend liter vorige maand]]</f>
        <v>20.900000000000006</v>
      </c>
      <c r="AS29" s="2">
        <f>Tabel2425678910111213141517161819212022232614151819[[#This Row],[Verbruik licht bruisend liter deze maand]]/0.15</f>
        <v>139.33333333333337</v>
      </c>
      <c r="AT29" s="53">
        <v>305.5</v>
      </c>
      <c r="AU29">
        <f>juli2025!AT29</f>
        <v>254.7</v>
      </c>
      <c r="AV29">
        <f>Tabel2425678910111213141517161819212022232614151819[[#This Row],[Stand heet water liter einde maand]]-Tabel2425678910111213141517161819212022232614151819[[#This Row],[Stand heet water liter vorige maand]]</f>
        <v>50.800000000000011</v>
      </c>
      <c r="AW29" s="2">
        <f>Tabel2425678910111213141517161819212022232614151819[[#This Row],[Verbruik heet Water liter deze maand ]]/0.15</f>
        <v>338.66666666666674</v>
      </c>
      <c r="AX29" s="77">
        <f>Tabel2425678910111213141517161819212022232614151819[[#This Row],[Aantal consumpties heet water deze maand]]+Tabel2425678910111213141517161819212022232614151819[[#This Row],[Aantal consumpties licht bruisend water deze maand]]+Tabel2425678910111213141517161819212022232614151819[[#This Row],[aantal consumpties Bruisend water deze maand]]+Tabel2425678910111213141517161819212022232614151819[[#This Row],[Aantal consumpties gekoeld water deze maand]]+Tabel2425678910111213141517161819212022232614151819[[#This Row],[Aantal consumpties Kamertemp deze maand]]</f>
        <v>2184.6666666666665</v>
      </c>
      <c r="AY29" s="95">
        <f>Tabel2425678910111213141517161819212022232614151819[[#This Row],[Subtotaal waterbar in consumpties]]+Tabel2425678910111213141517161819212022232614151819[[#This Row],[Subtotaal koffieautomaten]]</f>
        <v>2184.6666666666665</v>
      </c>
    </row>
    <row r="30" spans="1:130" ht="14.45" customHeight="1" x14ac:dyDescent="0.25">
      <c r="A30" s="65" t="s">
        <v>41</v>
      </c>
      <c r="B30" t="s">
        <v>78</v>
      </c>
      <c r="C30" t="s">
        <v>47</v>
      </c>
      <c r="E30">
        <v>7491</v>
      </c>
      <c r="F30">
        <f>juli2025!E30</f>
        <v>7228</v>
      </c>
      <c r="G30">
        <f>Tabel2425678910111213141517161819212022232614151819[[#This Row],[Stand Coffee einde maand]]-Tabel2425678910111213141517161819212022232614151819[[#This Row],[Coffee vorige maand]]</f>
        <v>263</v>
      </c>
      <c r="H30" s="53">
        <v>2199</v>
      </c>
      <c r="I30">
        <f>juli2025!H30</f>
        <v>2182</v>
      </c>
      <c r="J30">
        <f>Tabel2425678910111213141517161819212022232614151819[[#This Row],[Stand Espresso Einde maand]]-Tabel2425678910111213141517161819212022232614151819[[#This Row],[Espresso vorige maand]]</f>
        <v>17</v>
      </c>
      <c r="K30" s="53">
        <v>573</v>
      </c>
      <c r="L30">
        <f>juli2025!K30</f>
        <v>542</v>
      </c>
      <c r="M30">
        <f>Tabel2425678910111213141517161819212022232614151819[[#This Row],[Stand Latte Macchiato einde maand]]-Tabel2425678910111213141517161819212022232614151819[[#This Row],[Latte Macchiato vorige maand]]</f>
        <v>31</v>
      </c>
      <c r="N30" s="53">
        <v>381</v>
      </c>
      <c r="O30">
        <f>juli2025!N30</f>
        <v>378</v>
      </c>
      <c r="P30">
        <f>Tabel2425678910111213141517161819212022232614151819[[#This Row],[Stand Coffee Latte einde maand]]-Tabel2425678910111213141517161819212022232614151819[[#This Row],[Coffee Latte vorige maand]]</f>
        <v>3</v>
      </c>
      <c r="Q30" s="53">
        <v>1</v>
      </c>
      <c r="R30">
        <f>juli2025!Q30</f>
        <v>1</v>
      </c>
      <c r="S30">
        <f>Tabel2425678910111213141517161819212022232614151819[[#This Row],[Stand Hot Water einde maand]]-Tabel2425678910111213141517161819212022232614151819[[#This Row],[Hot Water vorige maand]]</f>
        <v>0</v>
      </c>
      <c r="T30" s="53">
        <v>3222</v>
      </c>
      <c r="U30">
        <f>juli2025!T30</f>
        <v>3131</v>
      </c>
      <c r="V30">
        <f>Tabel2425678910111213141517161819212022232614151819[[#This Row],[Stand Cappucino einde maand]]-Tabel2425678910111213141517161819212022232614151819[[#This Row],[Stand Cappucino vorige maand]]</f>
        <v>91</v>
      </c>
      <c r="W30" s="53">
        <v>1605</v>
      </c>
      <c r="X30">
        <f>juli2025!W30</f>
        <v>1591</v>
      </c>
      <c r="Y30">
        <f>Tabel2425678910111213141517161819212022232614151819[[#This Row],[Stand Cappucino Plantaardig einde maand]]-Tabel2425678910111213141517161819212022232614151819[[#This Row],[Stand Cappucino Plantaardig vorige maand]]</f>
        <v>14</v>
      </c>
      <c r="Z30" s="53">
        <v>1149</v>
      </c>
      <c r="AA30">
        <f>juli2025!Z30</f>
        <v>1132</v>
      </c>
      <c r="AB30">
        <f>Tabel2425678910111213141517161819212022232614151819[[#This Row],[Stand Latte Macchiato Plantaardig einde maand]]-Tabel2425678910111213141517161819212022232614151819[[#This Row],[Stand Latte Macchiato Plantaardig vorige maand]]</f>
        <v>17</v>
      </c>
      <c r="AC30" s="71">
        <f>Tabel2425678910111213141517161819212022232614151819[[#This Row],[Verbruik Stand Latte Macchiato Plantaardig deze maand]]+Tabel2425678910111213141517161819212022232614151819[[#This Row],[Verbruik  Cappucino Plantaardig deze maand]]+Tabel2425678910111213141517161819212022232614151819[[#This Row],[Verbruik Cappucino deze maand]]+Tabel2425678910111213141517161819212022232614151819[[#This Row],[Verbruik Hot Water deze maand]]+Tabel2425678910111213141517161819212022232614151819[[#This Row],[Verbruik Coffee Latte deze maand]]+Tabel2425678910111213141517161819212022232614151819[[#This Row],[Verbruik Latte Macchiato deze maand]]+Tabel2425678910111213141517161819212022232614151819[[#This Row],[Verbruik Espresso deze maand]]+Tabel2425678910111213141517161819212022232614151819[[#This Row],[Verbruik Coffee deze maand]]</f>
        <v>436</v>
      </c>
      <c r="AD30" s="53">
        <v>240.7</v>
      </c>
      <c r="AE30">
        <f>juli2025!AD30</f>
        <v>228.3</v>
      </c>
      <c r="AF30">
        <f>Tabel2425678910111213141517161819212022232614151819[[#This Row],[Stand Kamertemp liter einde maand]]-Tabel2425678910111213141517161819212022232614151819[[#This Row],[Stand Kamertemp liter vorige maand]]</f>
        <v>12.399999999999977</v>
      </c>
      <c r="AG30" s="2">
        <f>Tabel2425678910111213141517161819212022232614151819[[#This Row],[Verbruik Kamertemp liter deze maand]]/0.15</f>
        <v>82.666666666666515</v>
      </c>
      <c r="AH30" s="53">
        <v>1769.8</v>
      </c>
      <c r="AI30">
        <f>juli2025!AH30</f>
        <v>1658.4</v>
      </c>
      <c r="AJ30">
        <f>Tabel2425678910111213141517161819212022232614151819[[#This Row],[Stand Gekoeld liter einde maand]]-Tabel2425678910111213141517161819212022232614151819[[#This Row],[Stand Gekoeld liter vorige maand]]</f>
        <v>111.39999999999986</v>
      </c>
      <c r="AK30" s="2">
        <f>Tabel2425678910111213141517161819212022232614151819[[#This Row],[Verbruik Gekoeld liter deze maand]]/0.15</f>
        <v>742.66666666666583</v>
      </c>
      <c r="AL30" s="53">
        <v>999.1</v>
      </c>
      <c r="AM30">
        <f>juli2025!AL30</f>
        <v>954.8</v>
      </c>
      <c r="AN30">
        <f>Tabel2425678910111213141517161819212022232614151819[[#This Row],[Stand Bruisend liter einde maand]]-Tabel2425678910111213141517161819212022232614151819[[#This Row],[Stand Bruisend liter vorige maand]]</f>
        <v>44.300000000000068</v>
      </c>
      <c r="AO30" s="2">
        <f>Tabel2425678910111213141517161819212022232614151819[[#This Row],[Verbruik Bruisend liter deze maand]]/0.15</f>
        <v>295.33333333333383</v>
      </c>
      <c r="AP30" s="53">
        <v>707.6</v>
      </c>
      <c r="AQ30">
        <f>juli2025!AP30</f>
        <v>687.4</v>
      </c>
      <c r="AR30">
        <f>Tabel2425678910111213141517161819212022232614151819[[#This Row],[Stand licht bruisend liter einde maand]]-Tabel2425678910111213141517161819212022232614151819[[#This Row],[Stand licht bruisend liter vorige maand]]</f>
        <v>20.200000000000045</v>
      </c>
      <c r="AS30" s="2">
        <f>Tabel2425678910111213141517161819212022232614151819[[#This Row],[Verbruik licht bruisend liter deze maand]]/0.15</f>
        <v>134.66666666666697</v>
      </c>
      <c r="AT30" s="53">
        <v>4671.7</v>
      </c>
      <c r="AU30">
        <f>juli2025!AT30</f>
        <v>4473.3</v>
      </c>
      <c r="AV30">
        <f>Tabel2425678910111213141517161819212022232614151819[[#This Row],[Stand heet water liter einde maand]]-Tabel2425678910111213141517161819212022232614151819[[#This Row],[Stand heet water liter vorige maand]]</f>
        <v>198.39999999999964</v>
      </c>
      <c r="AW30" s="2">
        <f>Tabel2425678910111213141517161819212022232614151819[[#This Row],[Verbruik heet Water liter deze maand ]]/0.15</f>
        <v>1322.6666666666642</v>
      </c>
      <c r="AX30" s="77">
        <f>Tabel2425678910111213141517161819212022232614151819[[#This Row],[Aantal consumpties heet water deze maand]]+Tabel2425678910111213141517161819212022232614151819[[#This Row],[Aantal consumpties licht bruisend water deze maand]]+Tabel2425678910111213141517161819212022232614151819[[#This Row],[aantal consumpties Bruisend water deze maand]]+Tabel2425678910111213141517161819212022232614151819[[#This Row],[Aantal consumpties gekoeld water deze maand]]+Tabel2425678910111213141517161819212022232614151819[[#This Row],[Aantal consumpties Kamertemp deze maand]]</f>
        <v>2577.9999999999977</v>
      </c>
      <c r="AY30" s="95">
        <f>Tabel2425678910111213141517161819212022232614151819[[#This Row],[Subtotaal waterbar in consumpties]]+Tabel2425678910111213141517161819212022232614151819[[#This Row],[Subtotaal koffieautomaten]]</f>
        <v>3013.9999999999977</v>
      </c>
    </row>
    <row r="31" spans="1:130" ht="14.45" customHeight="1" x14ac:dyDescent="0.25">
      <c r="A31" s="65" t="s">
        <v>43</v>
      </c>
      <c r="B31" t="s">
        <v>79</v>
      </c>
      <c r="C31" t="s">
        <v>31</v>
      </c>
      <c r="E31">
        <v>13747</v>
      </c>
      <c r="F31">
        <f>juli2025!E31</f>
        <v>13358</v>
      </c>
      <c r="G31">
        <f>Tabel2425678910111213141517161819212022232614151819[[#This Row],[Stand Coffee einde maand]]-Tabel2425678910111213141517161819212022232614151819[[#This Row],[Coffee vorige maand]]</f>
        <v>389</v>
      </c>
      <c r="H31" s="53">
        <v>6041</v>
      </c>
      <c r="I31">
        <f>juli2025!H31</f>
        <v>5787</v>
      </c>
      <c r="J31">
        <f>Tabel2425678910111213141517161819212022232614151819[[#This Row],[Stand Espresso Einde maand]]-Tabel2425678910111213141517161819212022232614151819[[#This Row],[Espresso vorige maand]]</f>
        <v>254</v>
      </c>
      <c r="K31" s="53">
        <v>863</v>
      </c>
      <c r="L31">
        <f>juli2025!K31</f>
        <v>849</v>
      </c>
      <c r="M31">
        <f>Tabel2425678910111213141517161819212022232614151819[[#This Row],[Stand Latte Macchiato einde maand]]-Tabel2425678910111213141517161819212022232614151819[[#This Row],[Latte Macchiato vorige maand]]</f>
        <v>14</v>
      </c>
      <c r="N31" s="53">
        <v>160</v>
      </c>
      <c r="O31">
        <f>juli2025!N31</f>
        <v>159</v>
      </c>
      <c r="P31">
        <f>Tabel2425678910111213141517161819212022232614151819[[#This Row],[Stand Coffee Latte einde maand]]-Tabel2425678910111213141517161819212022232614151819[[#This Row],[Coffee Latte vorige maand]]</f>
        <v>1</v>
      </c>
      <c r="Q31" s="53">
        <v>11968</v>
      </c>
      <c r="R31">
        <f>juli2025!Q31</f>
        <v>11698</v>
      </c>
      <c r="S31">
        <f>Tabel2425678910111213141517161819212022232614151819[[#This Row],[Stand Hot Water einde maand]]-Tabel2425678910111213141517161819212022232614151819[[#This Row],[Hot Water vorige maand]]</f>
        <v>270</v>
      </c>
      <c r="T31" s="53">
        <v>7916</v>
      </c>
      <c r="U31">
        <f>juli2025!T31</f>
        <v>7666</v>
      </c>
      <c r="V31">
        <f>Tabel2425678910111213141517161819212022232614151819[[#This Row],[Stand Cappucino einde maand]]-Tabel2425678910111213141517161819212022232614151819[[#This Row],[Stand Cappucino vorige maand]]</f>
        <v>250</v>
      </c>
      <c r="W31" s="53">
        <v>565</v>
      </c>
      <c r="X31">
        <f>juli2025!W31</f>
        <v>549</v>
      </c>
      <c r="Y31">
        <f>Tabel2425678910111213141517161819212022232614151819[[#This Row],[Stand Cappucino Plantaardig einde maand]]-Tabel2425678910111213141517161819212022232614151819[[#This Row],[Stand Cappucino Plantaardig vorige maand]]</f>
        <v>16</v>
      </c>
      <c r="Z31" s="53">
        <v>133</v>
      </c>
      <c r="AA31">
        <f>juli2025!Z31</f>
        <v>129</v>
      </c>
      <c r="AB31">
        <f>Tabel2425678910111213141517161819212022232614151819[[#This Row],[Stand Latte Macchiato Plantaardig einde maand]]-Tabel2425678910111213141517161819212022232614151819[[#This Row],[Stand Latte Macchiato Plantaardig vorige maand]]</f>
        <v>4</v>
      </c>
      <c r="AC31" s="71">
        <f>Tabel2425678910111213141517161819212022232614151819[[#This Row],[Verbruik Stand Latte Macchiato Plantaardig deze maand]]+Tabel2425678910111213141517161819212022232614151819[[#This Row],[Verbruik  Cappucino Plantaardig deze maand]]+Tabel2425678910111213141517161819212022232614151819[[#This Row],[Verbruik Cappucino deze maand]]+Tabel2425678910111213141517161819212022232614151819[[#This Row],[Verbruik Hot Water deze maand]]+Tabel2425678910111213141517161819212022232614151819[[#This Row],[Verbruik Coffee Latte deze maand]]+Tabel2425678910111213141517161819212022232614151819[[#This Row],[Verbruik Latte Macchiato deze maand]]+Tabel2425678910111213141517161819212022232614151819[[#This Row],[Verbruik Espresso deze maand]]+Tabel2425678910111213141517161819212022232614151819[[#This Row],[Verbruik Coffee deze maand]]</f>
        <v>1198</v>
      </c>
      <c r="AD31" s="69"/>
      <c r="AE31" s="41"/>
      <c r="AF31" s="5"/>
      <c r="AG31" s="5"/>
      <c r="AH31" s="75"/>
      <c r="AI31" s="41"/>
      <c r="AJ31" s="5"/>
      <c r="AK31" s="5"/>
      <c r="AL31" s="75"/>
      <c r="AM31" s="41"/>
      <c r="AN31" s="5"/>
      <c r="AO31" s="5"/>
      <c r="AP31" s="75"/>
      <c r="AQ31" s="41"/>
      <c r="AR31" s="5"/>
      <c r="AS31" s="5"/>
      <c r="AT31" s="75"/>
      <c r="AU31" s="41"/>
      <c r="AV31" s="5"/>
      <c r="AW31" s="5"/>
      <c r="AX31" s="79"/>
      <c r="AY31" s="95">
        <f>Tabel2425678910111213141517161819212022232614151819[[#This Row],[Subtotaal waterbar in consumpties]]+Tabel2425678910111213141517161819212022232614151819[[#This Row],[Subtotaal koffieautomaten]]</f>
        <v>1198</v>
      </c>
    </row>
    <row r="32" spans="1:130" ht="14.45" customHeight="1" x14ac:dyDescent="0.25">
      <c r="A32" s="65" t="s">
        <v>45</v>
      </c>
      <c r="B32" t="s">
        <v>80</v>
      </c>
      <c r="C32" t="s">
        <v>36</v>
      </c>
      <c r="E32" s="46"/>
      <c r="F32" s="46"/>
      <c r="G32" s="47"/>
      <c r="H32" s="54"/>
      <c r="I32" s="46"/>
      <c r="J32" s="47"/>
      <c r="K32" s="54"/>
      <c r="L32" s="46"/>
      <c r="M32" s="47"/>
      <c r="N32" s="54"/>
      <c r="O32" s="46"/>
      <c r="P32" s="47"/>
      <c r="Q32" s="54"/>
      <c r="R32" s="46"/>
      <c r="S32" s="47"/>
      <c r="T32" s="54"/>
      <c r="U32" s="46"/>
      <c r="V32" s="47"/>
      <c r="W32" s="54"/>
      <c r="X32" s="46"/>
      <c r="Y32" s="47"/>
      <c r="Z32" s="54"/>
      <c r="AA32" s="46"/>
      <c r="AB32" s="47"/>
      <c r="AC32" s="72"/>
      <c r="AD32" s="53">
        <v>24.4</v>
      </c>
      <c r="AE32">
        <f>juli2025!AD32</f>
        <v>16.8</v>
      </c>
      <c r="AF32">
        <f>Tabel2425678910111213141517161819212022232614151819[[#This Row],[Stand Kamertemp liter einde maand]]-Tabel2425678910111213141517161819212022232614151819[[#This Row],[Stand Kamertemp liter vorige maand]]</f>
        <v>7.5999999999999979</v>
      </c>
      <c r="AG32" s="2">
        <f>Tabel2425678910111213141517161819212022232614151819[[#This Row],[Verbruik Kamertemp liter deze maand]]/0.15</f>
        <v>50.666666666666657</v>
      </c>
      <c r="AH32" s="53">
        <v>146.4</v>
      </c>
      <c r="AI32">
        <f>juli2025!AH32</f>
        <v>78.3</v>
      </c>
      <c r="AJ32">
        <f>Tabel2425678910111213141517161819212022232614151819[[#This Row],[Stand Gekoeld liter einde maand]]-Tabel2425678910111213141517161819212022232614151819[[#This Row],[Stand Gekoeld liter vorige maand]]</f>
        <v>68.100000000000009</v>
      </c>
      <c r="AK32" s="2">
        <f>Tabel2425678910111213141517161819212022232614151819[[#This Row],[Verbruik Gekoeld liter deze maand]]/0.15</f>
        <v>454.00000000000006</v>
      </c>
      <c r="AL32" s="53">
        <v>90</v>
      </c>
      <c r="AM32">
        <f>juli2025!AL32</f>
        <v>42.4</v>
      </c>
      <c r="AN32">
        <f>Tabel2425678910111213141517161819212022232614151819[[#This Row],[Stand Bruisend liter einde maand]]-Tabel2425678910111213141517161819212022232614151819[[#This Row],[Stand Bruisend liter vorige maand]]</f>
        <v>47.6</v>
      </c>
      <c r="AO32" s="2">
        <f>Tabel2425678910111213141517161819212022232614151819[[#This Row],[Verbruik Bruisend liter deze maand]]/0.15</f>
        <v>317.33333333333337</v>
      </c>
      <c r="AP32" s="53">
        <v>21.2</v>
      </c>
      <c r="AQ32">
        <f>juli2025!AP32</f>
        <v>9.9</v>
      </c>
      <c r="AR32">
        <f>Tabel2425678910111213141517161819212022232614151819[[#This Row],[Stand licht bruisend liter einde maand]]-Tabel2425678910111213141517161819212022232614151819[[#This Row],[Stand licht bruisend liter vorige maand]]</f>
        <v>11.299999999999999</v>
      </c>
      <c r="AS32" s="2">
        <f>Tabel2425678910111213141517161819212022232614151819[[#This Row],[Verbruik licht bruisend liter deze maand]]/0.15</f>
        <v>75.333333333333329</v>
      </c>
      <c r="AT32" s="53">
        <v>269</v>
      </c>
      <c r="AU32">
        <f>juli2025!AT32</f>
        <v>146</v>
      </c>
      <c r="AV32">
        <f>Tabel2425678910111213141517161819212022232614151819[[#This Row],[Stand heet water liter einde maand]]-Tabel2425678910111213141517161819212022232614151819[[#This Row],[Stand heet water liter vorige maand]]</f>
        <v>123</v>
      </c>
      <c r="AW32" s="2">
        <f>Tabel2425678910111213141517161819212022232614151819[[#This Row],[Verbruik heet Water liter deze maand ]]/0.15</f>
        <v>820</v>
      </c>
      <c r="AX32" s="77">
        <f>Tabel2425678910111213141517161819212022232614151819[[#This Row],[Aantal consumpties heet water deze maand]]+Tabel2425678910111213141517161819212022232614151819[[#This Row],[Aantal consumpties licht bruisend water deze maand]]+Tabel2425678910111213141517161819212022232614151819[[#This Row],[aantal consumpties Bruisend water deze maand]]+Tabel2425678910111213141517161819212022232614151819[[#This Row],[Aantal consumpties gekoeld water deze maand]]+Tabel2425678910111213141517161819212022232614151819[[#This Row],[Aantal consumpties Kamertemp deze maand]]</f>
        <v>1717.3333333333335</v>
      </c>
      <c r="AY32" s="95">
        <f>Tabel2425678910111213141517161819212022232614151819[[#This Row],[Subtotaal waterbar in consumpties]]+Tabel2425678910111213141517161819212022232614151819[[#This Row],[Subtotaal koffieautomaten]]</f>
        <v>1717.3333333333335</v>
      </c>
    </row>
    <row r="33" spans="1:130" ht="14.45" customHeight="1" x14ac:dyDescent="0.25">
      <c r="A33" s="65" t="s">
        <v>48</v>
      </c>
      <c r="B33" t="s">
        <v>81</v>
      </c>
      <c r="C33" t="s">
        <v>31</v>
      </c>
      <c r="E33">
        <v>12996</v>
      </c>
      <c r="F33">
        <f>juli2025!E33</f>
        <v>12639</v>
      </c>
      <c r="G33">
        <f>Tabel2425678910111213141517161819212022232614151819[[#This Row],[Stand Coffee einde maand]]-Tabel2425678910111213141517161819212022232614151819[[#This Row],[Coffee vorige maand]]</f>
        <v>357</v>
      </c>
      <c r="H33" s="53">
        <v>633</v>
      </c>
      <c r="I33">
        <f>juli2025!H33</f>
        <v>587</v>
      </c>
      <c r="J33">
        <f>Tabel2425678910111213141517161819212022232614151819[[#This Row],[Stand Espresso Einde maand]]-Tabel2425678910111213141517161819212022232614151819[[#This Row],[Espresso vorige maand]]</f>
        <v>46</v>
      </c>
      <c r="K33" s="53">
        <v>746</v>
      </c>
      <c r="L33">
        <f>juli2025!K33</f>
        <v>738</v>
      </c>
      <c r="M33">
        <f>Tabel2425678910111213141517161819212022232614151819[[#This Row],[Stand Latte Macchiato einde maand]]-Tabel2425678910111213141517161819212022232614151819[[#This Row],[Latte Macchiato vorige maand]]</f>
        <v>8</v>
      </c>
      <c r="N33" s="53">
        <v>432</v>
      </c>
      <c r="O33">
        <f>juli2025!N33</f>
        <v>432</v>
      </c>
      <c r="P33">
        <f>Tabel2425678910111213141517161819212022232614151819[[#This Row],[Stand Coffee Latte einde maand]]-Tabel2425678910111213141517161819212022232614151819[[#This Row],[Coffee Latte vorige maand]]</f>
        <v>0</v>
      </c>
      <c r="Q33" s="53">
        <v>27929</v>
      </c>
      <c r="R33">
        <f>juli2025!Q33</f>
        <v>27344</v>
      </c>
      <c r="S33">
        <f>Tabel2425678910111213141517161819212022232614151819[[#This Row],[Stand Hot Water einde maand]]-Tabel2425678910111213141517161819212022232614151819[[#This Row],[Hot Water vorige maand]]</f>
        <v>585</v>
      </c>
      <c r="T33" s="53">
        <v>4620</v>
      </c>
      <c r="U33">
        <f>juli2025!T33</f>
        <v>4558</v>
      </c>
      <c r="V33">
        <f>Tabel2425678910111213141517161819212022232614151819[[#This Row],[Stand Cappucino einde maand]]-Tabel2425678910111213141517161819212022232614151819[[#This Row],[Stand Cappucino vorige maand]]</f>
        <v>62</v>
      </c>
      <c r="W33" s="53">
        <v>434</v>
      </c>
      <c r="X33">
        <f>juli2025!W33</f>
        <v>431</v>
      </c>
      <c r="Y33">
        <f>Tabel2425678910111213141517161819212022232614151819[[#This Row],[Stand Cappucino Plantaardig einde maand]]-Tabel2425678910111213141517161819212022232614151819[[#This Row],[Stand Cappucino Plantaardig vorige maand]]</f>
        <v>3</v>
      </c>
      <c r="Z33" s="53">
        <v>74</v>
      </c>
      <c r="AA33">
        <f>juli2025!Z33</f>
        <v>72</v>
      </c>
      <c r="AB33">
        <f>Tabel2425678910111213141517161819212022232614151819[[#This Row],[Stand Latte Macchiato Plantaardig einde maand]]-Tabel2425678910111213141517161819212022232614151819[[#This Row],[Stand Latte Macchiato Plantaardig vorige maand]]</f>
        <v>2</v>
      </c>
      <c r="AC33" s="71">
        <f>Tabel2425678910111213141517161819212022232614151819[[#This Row],[Verbruik Stand Latte Macchiato Plantaardig deze maand]]+Tabel2425678910111213141517161819212022232614151819[[#This Row],[Verbruik  Cappucino Plantaardig deze maand]]+Tabel2425678910111213141517161819212022232614151819[[#This Row],[Verbruik Cappucino deze maand]]+Tabel2425678910111213141517161819212022232614151819[[#This Row],[Verbruik Hot Water deze maand]]+Tabel2425678910111213141517161819212022232614151819[[#This Row],[Verbruik Coffee Latte deze maand]]+Tabel2425678910111213141517161819212022232614151819[[#This Row],[Verbruik Latte Macchiato deze maand]]+Tabel2425678910111213141517161819212022232614151819[[#This Row],[Verbruik Espresso deze maand]]+Tabel2425678910111213141517161819212022232614151819[[#This Row],[Verbruik Coffee deze maand]]</f>
        <v>1063</v>
      </c>
      <c r="AD33" s="69"/>
      <c r="AE33" s="41"/>
      <c r="AF33" s="5"/>
      <c r="AG33" s="5"/>
      <c r="AH33" s="75"/>
      <c r="AI33" s="41"/>
      <c r="AJ33" s="5"/>
      <c r="AK33" s="5"/>
      <c r="AL33" s="75"/>
      <c r="AM33" s="41"/>
      <c r="AN33" s="5"/>
      <c r="AO33" s="5"/>
      <c r="AP33" s="75"/>
      <c r="AQ33" s="41"/>
      <c r="AR33" s="5"/>
      <c r="AS33" s="5"/>
      <c r="AT33" s="75"/>
      <c r="AU33" s="41"/>
      <c r="AV33" s="5"/>
      <c r="AW33" s="5"/>
      <c r="AX33" s="79"/>
      <c r="AY33" s="95">
        <f>Tabel2425678910111213141517161819212022232614151819[[#This Row],[Subtotaal waterbar in consumpties]]+Tabel2425678910111213141517161819212022232614151819[[#This Row],[Subtotaal koffieautomaten]]</f>
        <v>1063</v>
      </c>
    </row>
    <row r="34" spans="1:130" ht="14.45" customHeight="1" x14ac:dyDescent="0.25">
      <c r="A34" s="65" t="s">
        <v>50</v>
      </c>
      <c r="B34" t="s">
        <v>82</v>
      </c>
      <c r="C34" t="s">
        <v>47</v>
      </c>
      <c r="E34">
        <v>8859</v>
      </c>
      <c r="F34">
        <f>juli2025!E34</f>
        <v>8599</v>
      </c>
      <c r="G34">
        <f>Tabel2425678910111213141517161819212022232614151819[[#This Row],[Stand Coffee einde maand]]-Tabel2425678910111213141517161819212022232614151819[[#This Row],[Coffee vorige maand]]</f>
        <v>260</v>
      </c>
      <c r="H34" s="53">
        <v>1645</v>
      </c>
      <c r="I34">
        <f>juli2025!H34</f>
        <v>1598</v>
      </c>
      <c r="J34">
        <f>Tabel2425678910111213141517161819212022232614151819[[#This Row],[Stand Espresso Einde maand]]-Tabel2425678910111213141517161819212022232614151819[[#This Row],[Espresso vorige maand]]</f>
        <v>47</v>
      </c>
      <c r="K34" s="53">
        <v>2279</v>
      </c>
      <c r="L34">
        <f>juli2025!K34</f>
        <v>2200</v>
      </c>
      <c r="M34">
        <f>Tabel2425678910111213141517161819212022232614151819[[#This Row],[Stand Latte Macchiato einde maand]]-Tabel2425678910111213141517161819212022232614151819[[#This Row],[Latte Macchiato vorige maand]]</f>
        <v>79</v>
      </c>
      <c r="N34" s="53">
        <v>2423</v>
      </c>
      <c r="O34">
        <f>juli2025!N34</f>
        <v>2377</v>
      </c>
      <c r="P34">
        <f>Tabel2425678910111213141517161819212022232614151819[[#This Row],[Stand Coffee Latte einde maand]]-Tabel2425678910111213141517161819212022232614151819[[#This Row],[Coffee Latte vorige maand]]</f>
        <v>46</v>
      </c>
      <c r="Q34" s="53">
        <v>1</v>
      </c>
      <c r="R34">
        <f>juli2025!Q34</f>
        <v>1</v>
      </c>
      <c r="S34">
        <f>Tabel2425678910111213141517161819212022232614151819[[#This Row],[Stand Hot Water einde maand]]-Tabel2425678910111213141517161819212022232614151819[[#This Row],[Hot Water vorige maand]]</f>
        <v>0</v>
      </c>
      <c r="T34" s="53">
        <v>4677</v>
      </c>
      <c r="U34">
        <f>juli2025!T34</f>
        <v>4594</v>
      </c>
      <c r="V34">
        <f>Tabel2425678910111213141517161819212022232614151819[[#This Row],[Stand Cappucino einde maand]]-Tabel2425678910111213141517161819212022232614151819[[#This Row],[Stand Cappucino vorige maand]]</f>
        <v>83</v>
      </c>
      <c r="W34" s="53">
        <v>985</v>
      </c>
      <c r="X34">
        <f>juli2025!W34</f>
        <v>945</v>
      </c>
      <c r="Y34">
        <f>Tabel2425678910111213141517161819212022232614151819[[#This Row],[Stand Cappucino Plantaardig einde maand]]-Tabel2425678910111213141517161819212022232614151819[[#This Row],[Stand Cappucino Plantaardig vorige maand]]</f>
        <v>40</v>
      </c>
      <c r="Z34" s="53">
        <v>107</v>
      </c>
      <c r="AA34">
        <f>juli2025!Z34</f>
        <v>107</v>
      </c>
      <c r="AB34">
        <f>Tabel2425678910111213141517161819212022232614151819[[#This Row],[Stand Latte Macchiato Plantaardig einde maand]]-Tabel2425678910111213141517161819212022232614151819[[#This Row],[Stand Latte Macchiato Plantaardig vorige maand]]</f>
        <v>0</v>
      </c>
      <c r="AC34" s="71">
        <f>Tabel2425678910111213141517161819212022232614151819[[#This Row],[Verbruik Stand Latte Macchiato Plantaardig deze maand]]+Tabel2425678910111213141517161819212022232614151819[[#This Row],[Verbruik  Cappucino Plantaardig deze maand]]+Tabel2425678910111213141517161819212022232614151819[[#This Row],[Verbruik Cappucino deze maand]]+Tabel2425678910111213141517161819212022232614151819[[#This Row],[Verbruik Hot Water deze maand]]+Tabel2425678910111213141517161819212022232614151819[[#This Row],[Verbruik Coffee Latte deze maand]]+Tabel2425678910111213141517161819212022232614151819[[#This Row],[Verbruik Latte Macchiato deze maand]]+Tabel2425678910111213141517161819212022232614151819[[#This Row],[Verbruik Espresso deze maand]]+Tabel2425678910111213141517161819212022232614151819[[#This Row],[Verbruik Coffee deze maand]]</f>
        <v>555</v>
      </c>
      <c r="AD34" s="53">
        <v>91</v>
      </c>
      <c r="AE34">
        <f>juli2025!AD34</f>
        <v>87.8</v>
      </c>
      <c r="AF34">
        <f>Tabel2425678910111213141517161819212022232614151819[[#This Row],[Stand Kamertemp liter einde maand]]-Tabel2425678910111213141517161819212022232614151819[[#This Row],[Stand Kamertemp liter vorige maand]]</f>
        <v>3.2000000000000028</v>
      </c>
      <c r="AG34" s="2">
        <f>Tabel2425678910111213141517161819212022232614151819[[#This Row],[Verbruik Kamertemp liter deze maand]]/0.15</f>
        <v>21.333333333333353</v>
      </c>
      <c r="AH34" s="53">
        <v>462.1</v>
      </c>
      <c r="AI34">
        <f>juli2025!AH34</f>
        <v>395.1</v>
      </c>
      <c r="AJ34">
        <f>Tabel2425678910111213141517161819212022232614151819[[#This Row],[Stand Gekoeld liter einde maand]]-Tabel2425678910111213141517161819212022232614151819[[#This Row],[Stand Gekoeld liter vorige maand]]</f>
        <v>67</v>
      </c>
      <c r="AK34" s="2">
        <f>Tabel2425678910111213141517161819212022232614151819[[#This Row],[Verbruik Gekoeld liter deze maand]]/0.15</f>
        <v>446.66666666666669</v>
      </c>
      <c r="AL34" s="53">
        <v>319.5</v>
      </c>
      <c r="AM34">
        <f>juli2025!AL34</f>
        <v>267.39999999999998</v>
      </c>
      <c r="AN34">
        <f>Tabel2425678910111213141517161819212022232614151819[[#This Row],[Stand Bruisend liter einde maand]]-Tabel2425678910111213141517161819212022232614151819[[#This Row],[Stand Bruisend liter vorige maand]]</f>
        <v>52.100000000000023</v>
      </c>
      <c r="AO34" s="2">
        <f>Tabel2425678910111213141517161819212022232614151819[[#This Row],[Verbruik Bruisend liter deze maand]]/0.15</f>
        <v>347.33333333333348</v>
      </c>
      <c r="AP34" s="53">
        <v>134.69999999999999</v>
      </c>
      <c r="AQ34">
        <f>juli2025!AP34</f>
        <v>113</v>
      </c>
      <c r="AR34">
        <f>Tabel2425678910111213141517161819212022232614151819[[#This Row],[Stand licht bruisend liter einde maand]]-Tabel2425678910111213141517161819212022232614151819[[#This Row],[Stand licht bruisend liter vorige maand]]</f>
        <v>21.699999999999989</v>
      </c>
      <c r="AS34" s="2">
        <f>Tabel2425678910111213141517161819212022232614151819[[#This Row],[Verbruik licht bruisend liter deze maand]]/0.15</f>
        <v>144.6666666666666</v>
      </c>
      <c r="AT34" s="53">
        <v>1627.4</v>
      </c>
      <c r="AU34">
        <f>juli2025!AT34</f>
        <v>1492.7</v>
      </c>
      <c r="AV34">
        <f>Tabel2425678910111213141517161819212022232614151819[[#This Row],[Stand heet water liter einde maand]]-Tabel2425678910111213141517161819212022232614151819[[#This Row],[Stand heet water liter vorige maand]]</f>
        <v>134.70000000000005</v>
      </c>
      <c r="AW34" s="2">
        <f>Tabel2425678910111213141517161819212022232614151819[[#This Row],[Verbruik heet Water liter deze maand ]]/0.15</f>
        <v>898.00000000000034</v>
      </c>
      <c r="AX34" s="77">
        <f>Tabel2425678910111213141517161819212022232614151819[[#This Row],[Aantal consumpties heet water deze maand]]+Tabel2425678910111213141517161819212022232614151819[[#This Row],[Aantal consumpties licht bruisend water deze maand]]+Tabel2425678910111213141517161819212022232614151819[[#This Row],[aantal consumpties Bruisend water deze maand]]+Tabel2425678910111213141517161819212022232614151819[[#This Row],[Aantal consumpties gekoeld water deze maand]]+Tabel2425678910111213141517161819212022232614151819[[#This Row],[Aantal consumpties Kamertemp deze maand]]</f>
        <v>1858.0000000000005</v>
      </c>
      <c r="AY34" s="95">
        <f>Tabel2425678910111213141517161819212022232614151819[[#This Row],[Subtotaal waterbar in consumpties]]+Tabel2425678910111213141517161819212022232614151819[[#This Row],[Subtotaal koffieautomaten]]</f>
        <v>2413.0000000000005</v>
      </c>
    </row>
    <row r="35" spans="1:130" ht="14.45" customHeight="1" x14ac:dyDescent="0.25">
      <c r="A35" s="65" t="s">
        <v>52</v>
      </c>
      <c r="B35" t="s">
        <v>83</v>
      </c>
      <c r="C35" t="s">
        <v>47</v>
      </c>
      <c r="E35">
        <v>9263</v>
      </c>
      <c r="F35">
        <f>juli2025!E35</f>
        <v>9067</v>
      </c>
      <c r="G35">
        <f>Tabel2425678910111213141517161819212022232614151819[[#This Row],[Stand Coffee einde maand]]-Tabel2425678910111213141517161819212022232614151819[[#This Row],[Coffee vorige maand]]</f>
        <v>196</v>
      </c>
      <c r="H35" s="53">
        <v>3468</v>
      </c>
      <c r="I35">
        <f>juli2025!H35</f>
        <v>3364</v>
      </c>
      <c r="J35">
        <f>Tabel2425678910111213141517161819212022232614151819[[#This Row],[Stand Espresso Einde maand]]-Tabel2425678910111213141517161819212022232614151819[[#This Row],[Espresso vorige maand]]</f>
        <v>104</v>
      </c>
      <c r="K35" s="53">
        <v>1628</v>
      </c>
      <c r="L35">
        <f>juli2025!K35</f>
        <v>1582</v>
      </c>
      <c r="M35">
        <f>Tabel2425678910111213141517161819212022232614151819[[#This Row],[Stand Latte Macchiato einde maand]]-Tabel2425678910111213141517161819212022232614151819[[#This Row],[Latte Macchiato vorige maand]]</f>
        <v>46</v>
      </c>
      <c r="N35" s="53">
        <v>285</v>
      </c>
      <c r="O35">
        <f>juli2025!N35</f>
        <v>285</v>
      </c>
      <c r="P35">
        <f>Tabel2425678910111213141517161819212022232614151819[[#This Row],[Stand Coffee Latte einde maand]]-Tabel2425678910111213141517161819212022232614151819[[#This Row],[Coffee Latte vorige maand]]</f>
        <v>0</v>
      </c>
      <c r="Q35" s="53">
        <v>1</v>
      </c>
      <c r="R35">
        <f>juli2025!Q35</f>
        <v>1</v>
      </c>
      <c r="S35">
        <f>Tabel2425678910111213141517161819212022232614151819[[#This Row],[Stand Hot Water einde maand]]-Tabel2425678910111213141517161819212022232614151819[[#This Row],[Hot Water vorige maand]]</f>
        <v>0</v>
      </c>
      <c r="T35" s="53">
        <v>3817</v>
      </c>
      <c r="U35">
        <f>juli2025!T35</f>
        <v>3632</v>
      </c>
      <c r="V35">
        <f>Tabel2425678910111213141517161819212022232614151819[[#This Row],[Stand Cappucino einde maand]]-Tabel2425678910111213141517161819212022232614151819[[#This Row],[Stand Cappucino vorige maand]]</f>
        <v>185</v>
      </c>
      <c r="W35" s="53">
        <v>1136</v>
      </c>
      <c r="X35">
        <f>juli2025!W35</f>
        <v>1087</v>
      </c>
      <c r="Y35">
        <f>Tabel2425678910111213141517161819212022232614151819[[#This Row],[Stand Cappucino Plantaardig einde maand]]-Tabel2425678910111213141517161819212022232614151819[[#This Row],[Stand Cappucino Plantaardig vorige maand]]</f>
        <v>49</v>
      </c>
      <c r="Z35" s="53">
        <v>620</v>
      </c>
      <c r="AA35">
        <f>juli2025!Z35</f>
        <v>611</v>
      </c>
      <c r="AB35">
        <f>Tabel2425678910111213141517161819212022232614151819[[#This Row],[Stand Latte Macchiato Plantaardig einde maand]]-Tabel2425678910111213141517161819212022232614151819[[#This Row],[Stand Latte Macchiato Plantaardig vorige maand]]</f>
        <v>9</v>
      </c>
      <c r="AC35" s="71">
        <f>Tabel2425678910111213141517161819212022232614151819[[#This Row],[Verbruik Stand Latte Macchiato Plantaardig deze maand]]+Tabel2425678910111213141517161819212022232614151819[[#This Row],[Verbruik  Cappucino Plantaardig deze maand]]+Tabel2425678910111213141517161819212022232614151819[[#This Row],[Verbruik Cappucino deze maand]]+Tabel2425678910111213141517161819212022232614151819[[#This Row],[Verbruik Hot Water deze maand]]+Tabel2425678910111213141517161819212022232614151819[[#This Row],[Verbruik Coffee Latte deze maand]]+Tabel2425678910111213141517161819212022232614151819[[#This Row],[Verbruik Latte Macchiato deze maand]]+Tabel2425678910111213141517161819212022232614151819[[#This Row],[Verbruik Espresso deze maand]]+Tabel2425678910111213141517161819212022232614151819[[#This Row],[Verbruik Coffee deze maand]]</f>
        <v>589</v>
      </c>
      <c r="AD35" s="53">
        <v>238.4</v>
      </c>
      <c r="AE35">
        <f>juli2025!AD35</f>
        <v>220.6</v>
      </c>
      <c r="AF35">
        <f>Tabel2425678910111213141517161819212022232614151819[[#This Row],[Stand Kamertemp liter einde maand]]-Tabel2425678910111213141517161819212022232614151819[[#This Row],[Stand Kamertemp liter vorige maand]]</f>
        <v>17.800000000000011</v>
      </c>
      <c r="AG35" s="2">
        <f>Tabel2425678910111213141517161819212022232614151819[[#This Row],[Verbruik Kamertemp liter deze maand]]/0.15</f>
        <v>118.66666666666674</v>
      </c>
      <c r="AH35" s="53">
        <v>1127.7</v>
      </c>
      <c r="AI35">
        <f>juli2025!AH35</f>
        <v>1070.8</v>
      </c>
      <c r="AJ35">
        <f>Tabel2425678910111213141517161819212022232614151819[[#This Row],[Stand Gekoeld liter einde maand]]-Tabel2425678910111213141517161819212022232614151819[[#This Row],[Stand Gekoeld liter vorige maand]]</f>
        <v>56.900000000000091</v>
      </c>
      <c r="AK35" s="2">
        <f>Tabel2425678910111213141517161819212022232614151819[[#This Row],[Verbruik Gekoeld liter deze maand]]/0.15</f>
        <v>379.33333333333394</v>
      </c>
      <c r="AL35" s="53">
        <v>1051.5</v>
      </c>
      <c r="AM35">
        <f>juli2025!AL35</f>
        <v>1013.3</v>
      </c>
      <c r="AN35">
        <f>Tabel2425678910111213141517161819212022232614151819[[#This Row],[Stand Bruisend liter einde maand]]-Tabel2425678910111213141517161819212022232614151819[[#This Row],[Stand Bruisend liter vorige maand]]</f>
        <v>38.200000000000045</v>
      </c>
      <c r="AO35" s="2">
        <f>Tabel2425678910111213141517161819212022232614151819[[#This Row],[Verbruik Bruisend liter deze maand]]/0.15</f>
        <v>254.66666666666697</v>
      </c>
      <c r="AP35" s="53">
        <v>430.3</v>
      </c>
      <c r="AQ35">
        <f>juli2025!AP35</f>
        <v>406.4</v>
      </c>
      <c r="AR35">
        <f>Tabel2425678910111213141517161819212022232614151819[[#This Row],[Stand licht bruisend liter einde maand]]-Tabel2425678910111213141517161819212022232614151819[[#This Row],[Stand licht bruisend liter vorige maand]]</f>
        <v>23.900000000000034</v>
      </c>
      <c r="AS35" s="2">
        <f>Tabel2425678910111213141517161819212022232614151819[[#This Row],[Verbruik licht bruisend liter deze maand]]/0.15</f>
        <v>159.33333333333357</v>
      </c>
      <c r="AT35" s="53">
        <v>6941.1</v>
      </c>
      <c r="AU35">
        <f>juli2025!AT35</f>
        <v>6773.5</v>
      </c>
      <c r="AV35">
        <f>Tabel2425678910111213141517161819212022232614151819[[#This Row],[Stand heet water liter einde maand]]-Tabel2425678910111213141517161819212022232614151819[[#This Row],[Stand heet water liter vorige maand]]</f>
        <v>167.60000000000036</v>
      </c>
      <c r="AW35" s="2">
        <f>Tabel2425678910111213141517161819212022232614151819[[#This Row],[Verbruik heet Water liter deze maand ]]/0.15</f>
        <v>1117.3333333333358</v>
      </c>
      <c r="AX35" s="77">
        <f>Tabel2425678910111213141517161819212022232614151819[[#This Row],[Aantal consumpties heet water deze maand]]+Tabel2425678910111213141517161819212022232614151819[[#This Row],[Aantal consumpties licht bruisend water deze maand]]+Tabel2425678910111213141517161819212022232614151819[[#This Row],[aantal consumpties Bruisend water deze maand]]+Tabel2425678910111213141517161819212022232614151819[[#This Row],[Aantal consumpties gekoeld water deze maand]]+Tabel2425678910111213141517161819212022232614151819[[#This Row],[Aantal consumpties Kamertemp deze maand]]</f>
        <v>2029.3333333333369</v>
      </c>
      <c r="AY35" s="95">
        <f>Tabel2425678910111213141517161819212022232614151819[[#This Row],[Subtotaal waterbar in consumpties]]+Tabel2425678910111213141517161819212022232614151819[[#This Row],[Subtotaal koffieautomaten]]</f>
        <v>2618.3333333333367</v>
      </c>
    </row>
    <row r="36" spans="1:130" ht="14.45" customHeight="1" x14ac:dyDescent="0.25">
      <c r="A36" s="65" t="s">
        <v>54</v>
      </c>
      <c r="B36" t="s">
        <v>84</v>
      </c>
      <c r="C36" t="s">
        <v>31</v>
      </c>
      <c r="E36">
        <v>14987</v>
      </c>
      <c r="F36">
        <f>juli2025!E36</f>
        <v>14539</v>
      </c>
      <c r="G36">
        <f>Tabel2425678910111213141517161819212022232614151819[[#This Row],[Stand Coffee einde maand]]-Tabel2425678910111213141517161819212022232614151819[[#This Row],[Coffee vorige maand]]</f>
        <v>448</v>
      </c>
      <c r="H36" s="53">
        <v>2564</v>
      </c>
      <c r="I36">
        <f>juli2025!H36</f>
        <v>2504</v>
      </c>
      <c r="J36">
        <f>Tabel2425678910111213141517161819212022232614151819[[#This Row],[Stand Espresso Einde maand]]-Tabel2425678910111213141517161819212022232614151819[[#This Row],[Espresso vorige maand]]</f>
        <v>60</v>
      </c>
      <c r="K36" s="53">
        <v>1383</v>
      </c>
      <c r="L36">
        <f>juli2025!K36</f>
        <v>1350</v>
      </c>
      <c r="M36">
        <f>Tabel2425678910111213141517161819212022232614151819[[#This Row],[Stand Latte Macchiato einde maand]]-Tabel2425678910111213141517161819212022232614151819[[#This Row],[Latte Macchiato vorige maand]]</f>
        <v>33</v>
      </c>
      <c r="N36" s="53">
        <v>480</v>
      </c>
      <c r="O36">
        <f>juli2025!N36</f>
        <v>460</v>
      </c>
      <c r="P36">
        <f>Tabel2425678910111213141517161819212022232614151819[[#This Row],[Stand Coffee Latte einde maand]]-Tabel2425678910111213141517161819212022232614151819[[#This Row],[Coffee Latte vorige maand]]</f>
        <v>20</v>
      </c>
      <c r="Q36" s="53">
        <v>21007</v>
      </c>
      <c r="R36">
        <f>juli2025!Q36</f>
        <v>20393</v>
      </c>
      <c r="S36">
        <f>Tabel2425678910111213141517161819212022232614151819[[#This Row],[Stand Hot Water einde maand]]-Tabel2425678910111213141517161819212022232614151819[[#This Row],[Hot Water vorige maand]]</f>
        <v>614</v>
      </c>
      <c r="T36" s="53">
        <v>5028</v>
      </c>
      <c r="U36">
        <f>juli2025!T36</f>
        <v>4866</v>
      </c>
      <c r="V36">
        <f>Tabel2425678910111213141517161819212022232614151819[[#This Row],[Stand Cappucino einde maand]]-Tabel2425678910111213141517161819212022232614151819[[#This Row],[Stand Cappucino vorige maand]]</f>
        <v>162</v>
      </c>
      <c r="W36" s="53">
        <v>674</v>
      </c>
      <c r="X36">
        <f>juli2025!W36</f>
        <v>660</v>
      </c>
      <c r="Y36">
        <f>Tabel2425678910111213141517161819212022232614151819[[#This Row],[Stand Cappucino Plantaardig einde maand]]-Tabel2425678910111213141517161819212022232614151819[[#This Row],[Stand Cappucino Plantaardig vorige maand]]</f>
        <v>14</v>
      </c>
      <c r="Z36" s="53">
        <v>1017</v>
      </c>
      <c r="AA36">
        <f>juli2025!Z36</f>
        <v>960</v>
      </c>
      <c r="AB36">
        <f>Tabel2425678910111213141517161819212022232614151819[[#This Row],[Stand Latte Macchiato Plantaardig einde maand]]-Tabel2425678910111213141517161819212022232614151819[[#This Row],[Stand Latte Macchiato Plantaardig vorige maand]]</f>
        <v>57</v>
      </c>
      <c r="AC36" s="71">
        <f>Tabel2425678910111213141517161819212022232614151819[[#This Row],[Verbruik Stand Latte Macchiato Plantaardig deze maand]]+Tabel2425678910111213141517161819212022232614151819[[#This Row],[Verbruik  Cappucino Plantaardig deze maand]]+Tabel2425678910111213141517161819212022232614151819[[#This Row],[Verbruik Cappucino deze maand]]+Tabel2425678910111213141517161819212022232614151819[[#This Row],[Verbruik Hot Water deze maand]]+Tabel2425678910111213141517161819212022232614151819[[#This Row],[Verbruik Coffee Latte deze maand]]+Tabel2425678910111213141517161819212022232614151819[[#This Row],[Verbruik Latte Macchiato deze maand]]+Tabel2425678910111213141517161819212022232614151819[[#This Row],[Verbruik Espresso deze maand]]+Tabel2425678910111213141517161819212022232614151819[[#This Row],[Verbruik Coffee deze maand]]</f>
        <v>1408</v>
      </c>
      <c r="AD36" s="69"/>
      <c r="AE36" s="41"/>
      <c r="AF36" s="5"/>
      <c r="AG36" s="5"/>
      <c r="AH36" s="75"/>
      <c r="AI36" s="41"/>
      <c r="AJ36" s="5"/>
      <c r="AK36" s="5"/>
      <c r="AL36" s="75"/>
      <c r="AM36" s="41"/>
      <c r="AN36" s="5"/>
      <c r="AO36" s="5"/>
      <c r="AP36" s="75"/>
      <c r="AQ36" s="41"/>
      <c r="AR36" s="5"/>
      <c r="AS36" s="5"/>
      <c r="AT36" s="75"/>
      <c r="AU36" s="41"/>
      <c r="AV36" s="5"/>
      <c r="AW36" s="5"/>
      <c r="AX36" s="79"/>
      <c r="AY36" s="95">
        <f>Tabel2425678910111213141517161819212022232614151819[[#This Row],[Subtotaal waterbar in consumpties]]+Tabel2425678910111213141517161819212022232614151819[[#This Row],[Subtotaal koffieautomaten]]</f>
        <v>1408</v>
      </c>
    </row>
    <row r="37" spans="1:130" ht="14.45" customHeight="1" x14ac:dyDescent="0.25">
      <c r="A37" s="65" t="s">
        <v>56</v>
      </c>
      <c r="B37" t="s">
        <v>85</v>
      </c>
      <c r="C37" t="s">
        <v>36</v>
      </c>
      <c r="E37" s="46"/>
      <c r="F37" s="46"/>
      <c r="G37" s="47"/>
      <c r="H37" s="54"/>
      <c r="I37" s="46"/>
      <c r="J37" s="47"/>
      <c r="K37" s="54"/>
      <c r="L37" s="46"/>
      <c r="M37" s="47"/>
      <c r="N37" s="54"/>
      <c r="O37" s="46"/>
      <c r="P37" s="47"/>
      <c r="Q37" s="54"/>
      <c r="R37" s="46"/>
      <c r="S37" s="47"/>
      <c r="T37" s="54"/>
      <c r="U37" s="46"/>
      <c r="V37" s="47"/>
      <c r="W37" s="54"/>
      <c r="X37" s="46"/>
      <c r="Y37" s="47"/>
      <c r="Z37" s="54"/>
      <c r="AA37" s="46"/>
      <c r="AB37" s="47"/>
      <c r="AC37" s="72"/>
      <c r="AD37" s="53">
        <v>176.8</v>
      </c>
      <c r="AE37">
        <f>juli2025!AD37</f>
        <v>161.30000000000001</v>
      </c>
      <c r="AF37">
        <f>Tabel2425678910111213141517161819212022232614151819[[#This Row],[Stand Kamertemp liter einde maand]]-Tabel2425678910111213141517161819212022232614151819[[#This Row],[Stand Kamertemp liter vorige maand]]</f>
        <v>15.5</v>
      </c>
      <c r="AG37" s="2">
        <f>Tabel2425678910111213141517161819212022232614151819[[#This Row],[Verbruik Kamertemp liter deze maand]]/0.15</f>
        <v>103.33333333333334</v>
      </c>
      <c r="AH37" s="53">
        <v>940</v>
      </c>
      <c r="AI37">
        <f>juli2025!AH37</f>
        <v>891.2</v>
      </c>
      <c r="AJ37">
        <f>Tabel2425678910111213141517161819212022232614151819[[#This Row],[Stand Gekoeld liter einde maand]]-Tabel2425678910111213141517161819212022232614151819[[#This Row],[Stand Gekoeld liter vorige maand]]</f>
        <v>48.799999999999955</v>
      </c>
      <c r="AK37" s="2">
        <f>Tabel2425678910111213141517161819212022232614151819[[#This Row],[Verbruik Gekoeld liter deze maand]]/0.15</f>
        <v>325.33333333333303</v>
      </c>
      <c r="AL37" s="53">
        <v>714.6</v>
      </c>
      <c r="AM37">
        <f>juli2025!AL37</f>
        <v>658.8</v>
      </c>
      <c r="AN37">
        <f>Tabel2425678910111213141517161819212022232614151819[[#This Row],[Stand Bruisend liter einde maand]]-Tabel2425678910111213141517161819212022232614151819[[#This Row],[Stand Bruisend liter vorige maand]]</f>
        <v>55.800000000000068</v>
      </c>
      <c r="AO37" s="2">
        <f>Tabel2425678910111213141517161819212022232614151819[[#This Row],[Verbruik Bruisend liter deze maand]]/0.15</f>
        <v>372.00000000000045</v>
      </c>
      <c r="AP37" s="53">
        <v>381.6</v>
      </c>
      <c r="AQ37">
        <f>juli2025!AP37</f>
        <v>351.5</v>
      </c>
      <c r="AR37">
        <f>Tabel2425678910111213141517161819212022232614151819[[#This Row],[Stand licht bruisend liter einde maand]]-Tabel2425678910111213141517161819212022232614151819[[#This Row],[Stand licht bruisend liter vorige maand]]</f>
        <v>30.100000000000023</v>
      </c>
      <c r="AS37" s="2">
        <f>Tabel2425678910111213141517161819212022232614151819[[#This Row],[Verbruik licht bruisend liter deze maand]]/0.15</f>
        <v>200.66666666666683</v>
      </c>
      <c r="AT37" s="53">
        <v>2679.7</v>
      </c>
      <c r="AU37">
        <f>juli2025!AT37</f>
        <v>2578.6</v>
      </c>
      <c r="AV37">
        <f>Tabel2425678910111213141517161819212022232614151819[[#This Row],[Stand heet water liter einde maand]]-Tabel2425678910111213141517161819212022232614151819[[#This Row],[Stand heet water liter vorige maand]]</f>
        <v>101.09999999999991</v>
      </c>
      <c r="AW37" s="2">
        <f>Tabel2425678910111213141517161819212022232614151819[[#This Row],[Verbruik heet Water liter deze maand ]]/0.15</f>
        <v>673.99999999999943</v>
      </c>
      <c r="AX37" s="77">
        <f>Tabel2425678910111213141517161819212022232614151819[[#This Row],[Aantal consumpties heet water deze maand]]+Tabel2425678910111213141517161819212022232614151819[[#This Row],[Aantal consumpties licht bruisend water deze maand]]+Tabel2425678910111213141517161819212022232614151819[[#This Row],[aantal consumpties Bruisend water deze maand]]+Tabel2425678910111213141517161819212022232614151819[[#This Row],[Aantal consumpties gekoeld water deze maand]]+Tabel2425678910111213141517161819212022232614151819[[#This Row],[Aantal consumpties Kamertemp deze maand]]</f>
        <v>1675.333333333333</v>
      </c>
      <c r="AY37" s="95">
        <f>Tabel2425678910111213141517161819212022232614151819[[#This Row],[Subtotaal waterbar in consumpties]]+Tabel2425678910111213141517161819212022232614151819[[#This Row],[Subtotaal koffieautomaten]]</f>
        <v>1675.333333333333</v>
      </c>
    </row>
    <row r="38" spans="1:130" ht="14.45" customHeight="1" x14ac:dyDescent="0.25">
      <c r="A38" s="65" t="s">
        <v>58</v>
      </c>
      <c r="B38" t="s">
        <v>86</v>
      </c>
      <c r="C38" t="s">
        <v>47</v>
      </c>
      <c r="E38">
        <v>13725</v>
      </c>
      <c r="F38">
        <f>juli2025!E38</f>
        <v>13388</v>
      </c>
      <c r="G38">
        <f>Tabel2425678910111213141517161819212022232614151819[[#This Row],[Stand Coffee einde maand]]-Tabel2425678910111213141517161819212022232614151819[[#This Row],[Coffee vorige maand]]</f>
        <v>337</v>
      </c>
      <c r="H38" s="53">
        <v>3933</v>
      </c>
      <c r="I38">
        <f>juli2025!H38</f>
        <v>3794</v>
      </c>
      <c r="J38">
        <f>Tabel2425678910111213141517161819212022232614151819[[#This Row],[Stand Espresso Einde maand]]-Tabel2425678910111213141517161819212022232614151819[[#This Row],[Espresso vorige maand]]</f>
        <v>139</v>
      </c>
      <c r="K38" s="53">
        <v>2390</v>
      </c>
      <c r="L38">
        <f>juli2025!K38</f>
        <v>2316</v>
      </c>
      <c r="M38">
        <f>Tabel2425678910111213141517161819212022232614151819[[#This Row],[Stand Latte Macchiato einde maand]]-Tabel2425678910111213141517161819212022232614151819[[#This Row],[Latte Macchiato vorige maand]]</f>
        <v>74</v>
      </c>
      <c r="N38" s="53">
        <v>1142</v>
      </c>
      <c r="O38">
        <f>juli2025!N38</f>
        <v>1123</v>
      </c>
      <c r="P38">
        <f>Tabel2425678910111213141517161819212022232614151819[[#This Row],[Stand Coffee Latte einde maand]]-Tabel2425678910111213141517161819212022232614151819[[#This Row],[Coffee Latte vorige maand]]</f>
        <v>19</v>
      </c>
      <c r="Q38" s="53">
        <v>1596</v>
      </c>
      <c r="R38">
        <f>juli2025!Q38</f>
        <v>1493</v>
      </c>
      <c r="S38">
        <f>Tabel2425678910111213141517161819212022232614151819[[#This Row],[Stand Hot Water einde maand]]-Tabel2425678910111213141517161819212022232614151819[[#This Row],[Hot Water vorige maand]]</f>
        <v>103</v>
      </c>
      <c r="T38" s="53">
        <v>7043</v>
      </c>
      <c r="U38">
        <f>juli2025!T38</f>
        <v>6890</v>
      </c>
      <c r="V38">
        <f>Tabel2425678910111213141517161819212022232614151819[[#This Row],[Stand Cappucino einde maand]]-Tabel2425678910111213141517161819212022232614151819[[#This Row],[Stand Cappucino vorige maand]]</f>
        <v>153</v>
      </c>
      <c r="W38" s="53">
        <v>1071</v>
      </c>
      <c r="X38">
        <f>juli2025!W38</f>
        <v>1051</v>
      </c>
      <c r="Y38">
        <f>Tabel2425678910111213141517161819212022232614151819[[#This Row],[Stand Cappucino Plantaardig einde maand]]-Tabel2425678910111213141517161819212022232614151819[[#This Row],[Stand Cappucino Plantaardig vorige maand]]</f>
        <v>20</v>
      </c>
      <c r="Z38" s="53">
        <v>815</v>
      </c>
      <c r="AA38">
        <f>juli2025!Z38</f>
        <v>810</v>
      </c>
      <c r="AB38">
        <f>Tabel2425678910111213141517161819212022232614151819[[#This Row],[Stand Latte Macchiato Plantaardig einde maand]]-Tabel2425678910111213141517161819212022232614151819[[#This Row],[Stand Latte Macchiato Plantaardig vorige maand]]</f>
        <v>5</v>
      </c>
      <c r="AC38" s="71">
        <f>Tabel2425678910111213141517161819212022232614151819[[#This Row],[Verbruik Stand Latte Macchiato Plantaardig deze maand]]+Tabel2425678910111213141517161819212022232614151819[[#This Row],[Verbruik  Cappucino Plantaardig deze maand]]+Tabel2425678910111213141517161819212022232614151819[[#This Row],[Verbruik Cappucino deze maand]]+Tabel2425678910111213141517161819212022232614151819[[#This Row],[Verbruik Hot Water deze maand]]+Tabel2425678910111213141517161819212022232614151819[[#This Row],[Verbruik Coffee Latte deze maand]]+Tabel2425678910111213141517161819212022232614151819[[#This Row],[Verbruik Latte Macchiato deze maand]]+Tabel2425678910111213141517161819212022232614151819[[#This Row],[Verbruik Espresso deze maand]]+Tabel2425678910111213141517161819212022232614151819[[#This Row],[Verbruik Coffee deze maand]]</f>
        <v>850</v>
      </c>
      <c r="AD38" s="53">
        <v>157.5</v>
      </c>
      <c r="AE38">
        <f>juli2025!AD38</f>
        <v>138.1</v>
      </c>
      <c r="AF38">
        <f>Tabel2425678910111213141517161819212022232614151819[[#This Row],[Stand Kamertemp liter einde maand]]-Tabel2425678910111213141517161819212022232614151819[[#This Row],[Stand Kamertemp liter vorige maand]]</f>
        <v>19.400000000000006</v>
      </c>
      <c r="AG38" s="2">
        <f>Tabel2425678910111213141517161819212022232614151819[[#This Row],[Verbruik Kamertemp liter deze maand]]/0.15</f>
        <v>129.33333333333337</v>
      </c>
      <c r="AH38" s="53">
        <v>785.3</v>
      </c>
      <c r="AI38">
        <f>juli2025!AH38</f>
        <v>717.1</v>
      </c>
      <c r="AJ38">
        <f>Tabel2425678910111213141517161819212022232614151819[[#This Row],[Stand Gekoeld liter einde maand]]-Tabel2425678910111213141517161819212022232614151819[[#This Row],[Stand Gekoeld liter vorige maand]]</f>
        <v>68.199999999999932</v>
      </c>
      <c r="AK38" s="2">
        <f>Tabel2425678910111213141517161819212022232614151819[[#This Row],[Verbruik Gekoeld liter deze maand]]/0.15</f>
        <v>454.66666666666623</v>
      </c>
      <c r="AL38" s="53">
        <v>664.4</v>
      </c>
      <c r="AM38">
        <f>juli2025!AL38</f>
        <v>596.1</v>
      </c>
      <c r="AN38">
        <f>Tabel2425678910111213141517161819212022232614151819[[#This Row],[Stand Bruisend liter einde maand]]-Tabel2425678910111213141517161819212022232614151819[[#This Row],[Stand Bruisend liter vorige maand]]</f>
        <v>68.299999999999955</v>
      </c>
      <c r="AO38" s="2">
        <f>Tabel2425678910111213141517161819212022232614151819[[#This Row],[Verbruik Bruisend liter deze maand]]/0.15</f>
        <v>455.33333333333303</v>
      </c>
      <c r="AP38" s="53">
        <v>187.8</v>
      </c>
      <c r="AQ38">
        <f>juli2025!AP38</f>
        <v>169</v>
      </c>
      <c r="AR38">
        <f>Tabel2425678910111213141517161819212022232614151819[[#This Row],[Stand licht bruisend liter einde maand]]-Tabel2425678910111213141517161819212022232614151819[[#This Row],[Stand licht bruisend liter vorige maand]]</f>
        <v>18.800000000000011</v>
      </c>
      <c r="AS38" s="2">
        <f>Tabel2425678910111213141517161819212022232614151819[[#This Row],[Verbruik licht bruisend liter deze maand]]/0.15</f>
        <v>125.33333333333341</v>
      </c>
      <c r="AT38" s="53">
        <v>2293.8000000000002</v>
      </c>
      <c r="AU38">
        <f>juli2025!AT38</f>
        <v>2153.1999999999998</v>
      </c>
      <c r="AV38">
        <f>Tabel2425678910111213141517161819212022232614151819[[#This Row],[Stand heet water liter einde maand]]-Tabel2425678910111213141517161819212022232614151819[[#This Row],[Stand heet water liter vorige maand]]</f>
        <v>140.60000000000036</v>
      </c>
      <c r="AW38" s="2">
        <f>Tabel2425678910111213141517161819212022232614151819[[#This Row],[Verbruik heet Water liter deze maand ]]/0.15</f>
        <v>937.33333333333576</v>
      </c>
      <c r="AX38" s="77">
        <f>Tabel2425678910111213141517161819212022232614151819[[#This Row],[Aantal consumpties heet water deze maand]]+Tabel2425678910111213141517161819212022232614151819[[#This Row],[Aantal consumpties licht bruisend water deze maand]]+Tabel2425678910111213141517161819212022232614151819[[#This Row],[aantal consumpties Bruisend water deze maand]]+Tabel2425678910111213141517161819212022232614151819[[#This Row],[Aantal consumpties gekoeld water deze maand]]+Tabel2425678910111213141517161819212022232614151819[[#This Row],[Aantal consumpties Kamertemp deze maand]]</f>
        <v>2102.0000000000018</v>
      </c>
      <c r="AY38" s="95">
        <f>Tabel2425678910111213141517161819212022232614151819[[#This Row],[Subtotaal waterbar in consumpties]]+Tabel2425678910111213141517161819212022232614151819[[#This Row],[Subtotaal koffieautomaten]]</f>
        <v>2952.0000000000018</v>
      </c>
    </row>
    <row r="39" spans="1:130" ht="14.45" customHeight="1" x14ac:dyDescent="0.25">
      <c r="A39" s="65" t="s">
        <v>60</v>
      </c>
      <c r="B39" t="s">
        <v>87</v>
      </c>
      <c r="C39" t="s">
        <v>31</v>
      </c>
      <c r="E39">
        <v>7670</v>
      </c>
      <c r="F39">
        <f>juli2025!E39</f>
        <v>7479</v>
      </c>
      <c r="G39">
        <f>Tabel2425678910111213141517161819212022232614151819[[#This Row],[Stand Coffee einde maand]]-Tabel2425678910111213141517161819212022232614151819[[#This Row],[Coffee vorige maand]]</f>
        <v>191</v>
      </c>
      <c r="H39" s="53">
        <v>1102</v>
      </c>
      <c r="I39">
        <f>juli2025!H39</f>
        <v>1081</v>
      </c>
      <c r="J39">
        <f>Tabel2425678910111213141517161819212022232614151819[[#This Row],[Stand Espresso Einde maand]]-Tabel2425678910111213141517161819212022232614151819[[#This Row],[Espresso vorige maand]]</f>
        <v>21</v>
      </c>
      <c r="K39" s="53">
        <v>721</v>
      </c>
      <c r="L39">
        <f>juli2025!K39</f>
        <v>711</v>
      </c>
      <c r="M39">
        <f>Tabel2425678910111213141517161819212022232614151819[[#This Row],[Stand Latte Macchiato einde maand]]-Tabel2425678910111213141517161819212022232614151819[[#This Row],[Latte Macchiato vorige maand]]</f>
        <v>10</v>
      </c>
      <c r="N39" s="53">
        <v>898</v>
      </c>
      <c r="O39">
        <f>juli2025!N39</f>
        <v>887</v>
      </c>
      <c r="P39">
        <f>Tabel2425678910111213141517161819212022232614151819[[#This Row],[Stand Coffee Latte einde maand]]-Tabel2425678910111213141517161819212022232614151819[[#This Row],[Coffee Latte vorige maand]]</f>
        <v>11</v>
      </c>
      <c r="Q39" s="53">
        <v>20078</v>
      </c>
      <c r="R39">
        <f>juli2025!Q39</f>
        <v>19580</v>
      </c>
      <c r="S39">
        <f>Tabel2425678910111213141517161819212022232614151819[[#This Row],[Stand Hot Water einde maand]]-Tabel2425678910111213141517161819212022232614151819[[#This Row],[Hot Water vorige maand]]</f>
        <v>498</v>
      </c>
      <c r="T39" s="53">
        <v>4752</v>
      </c>
      <c r="U39">
        <f>juli2025!T39</f>
        <v>4649</v>
      </c>
      <c r="V39">
        <f>Tabel2425678910111213141517161819212022232614151819[[#This Row],[Stand Cappucino einde maand]]-Tabel2425678910111213141517161819212022232614151819[[#This Row],[Stand Cappucino vorige maand]]</f>
        <v>103</v>
      </c>
      <c r="W39" s="53">
        <v>374</v>
      </c>
      <c r="X39">
        <f>juli2025!W39</f>
        <v>367</v>
      </c>
      <c r="Y39">
        <f>Tabel2425678910111213141517161819212022232614151819[[#This Row],[Stand Cappucino Plantaardig einde maand]]-Tabel2425678910111213141517161819212022232614151819[[#This Row],[Stand Cappucino Plantaardig vorige maand]]</f>
        <v>7</v>
      </c>
      <c r="Z39" s="53">
        <v>247</v>
      </c>
      <c r="AA39">
        <f>juli2025!Z39</f>
        <v>244</v>
      </c>
      <c r="AB39">
        <f>Tabel2425678910111213141517161819212022232614151819[[#This Row],[Stand Latte Macchiato Plantaardig einde maand]]-Tabel2425678910111213141517161819212022232614151819[[#This Row],[Stand Latte Macchiato Plantaardig vorige maand]]</f>
        <v>3</v>
      </c>
      <c r="AC39" s="71">
        <f>Tabel2425678910111213141517161819212022232614151819[[#This Row],[Verbruik Stand Latte Macchiato Plantaardig deze maand]]+Tabel2425678910111213141517161819212022232614151819[[#This Row],[Verbruik  Cappucino Plantaardig deze maand]]+Tabel2425678910111213141517161819212022232614151819[[#This Row],[Verbruik Cappucino deze maand]]+Tabel2425678910111213141517161819212022232614151819[[#This Row],[Verbruik Hot Water deze maand]]+Tabel2425678910111213141517161819212022232614151819[[#This Row],[Verbruik Coffee Latte deze maand]]+Tabel2425678910111213141517161819212022232614151819[[#This Row],[Verbruik Latte Macchiato deze maand]]+Tabel2425678910111213141517161819212022232614151819[[#This Row],[Verbruik Espresso deze maand]]+Tabel2425678910111213141517161819212022232614151819[[#This Row],[Verbruik Coffee deze maand]]</f>
        <v>844</v>
      </c>
      <c r="AD39" s="69"/>
      <c r="AE39" s="41"/>
      <c r="AF39" s="5"/>
      <c r="AG39" s="5"/>
      <c r="AH39" s="75"/>
      <c r="AI39" s="41"/>
      <c r="AJ39" s="5"/>
      <c r="AK39" s="5"/>
      <c r="AL39" s="75"/>
      <c r="AM39" s="41"/>
      <c r="AN39" s="5"/>
      <c r="AO39" s="5"/>
      <c r="AP39" s="75"/>
      <c r="AQ39" s="41"/>
      <c r="AR39" s="5"/>
      <c r="AS39" s="5"/>
      <c r="AT39" s="75"/>
      <c r="AU39" s="41"/>
      <c r="AV39" s="5"/>
      <c r="AW39" s="5"/>
      <c r="AX39" s="79"/>
      <c r="AY39" s="95">
        <f>Tabel2425678910111213141517161819212022232614151819[[#This Row],[Subtotaal waterbar in consumpties]]+Tabel2425678910111213141517161819212022232614151819[[#This Row],[Subtotaal koffieautomaten]]</f>
        <v>844</v>
      </c>
    </row>
    <row r="40" spans="1:130" s="81" customFormat="1" ht="14.45" customHeight="1" x14ac:dyDescent="0.25">
      <c r="A40" s="80" t="s">
        <v>88</v>
      </c>
      <c r="D40" s="82"/>
      <c r="H40" s="86"/>
      <c r="K40" s="86"/>
      <c r="N40" s="86"/>
      <c r="Q40" s="86"/>
      <c r="T40" s="86"/>
      <c r="W40" s="86"/>
      <c r="Z40" s="86"/>
      <c r="AC40" s="85"/>
      <c r="AD40" s="86"/>
      <c r="AG40" s="87"/>
      <c r="AH40" s="86"/>
      <c r="AK40" s="87"/>
      <c r="AL40" s="86"/>
      <c r="AO40" s="87"/>
      <c r="AP40" s="86"/>
      <c r="AS40" s="87"/>
      <c r="AT40" s="86"/>
      <c r="AW40" s="87"/>
      <c r="AX40" s="88"/>
      <c r="AY40" s="94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</row>
    <row r="41" spans="1:130" ht="14.45" customHeight="1" x14ac:dyDescent="0.25">
      <c r="A41" s="65" t="s">
        <v>39</v>
      </c>
      <c r="B41" t="s">
        <v>89</v>
      </c>
      <c r="C41" t="s">
        <v>47</v>
      </c>
      <c r="E41">
        <v>10748</v>
      </c>
      <c r="F41">
        <f>juli2025!E41</f>
        <v>10362</v>
      </c>
      <c r="G41" s="40">
        <f>Tabel2425678910111213141517161819212022232614151819[[#This Row],[Stand Coffee einde maand]]-Tabel2425678910111213141517161819212022232614151819[[#This Row],[Coffee vorige maand]]</f>
        <v>386</v>
      </c>
      <c r="H41" s="53">
        <v>2644</v>
      </c>
      <c r="I41">
        <f>juli2025!H41</f>
        <v>2501</v>
      </c>
      <c r="J41" s="40">
        <f>Tabel2425678910111213141517161819212022232614151819[[#This Row],[Stand Espresso Einde maand]]-Tabel2425678910111213141517161819212022232614151819[[#This Row],[Espresso vorige maand]]</f>
        <v>143</v>
      </c>
      <c r="K41" s="53">
        <v>1400</v>
      </c>
      <c r="L41">
        <f>juli2025!K41</f>
        <v>1315</v>
      </c>
      <c r="M41" s="40">
        <f>Tabel2425678910111213141517161819212022232614151819[[#This Row],[Stand Latte Macchiato einde maand]]-Tabel2425678910111213141517161819212022232614151819[[#This Row],[Latte Macchiato vorige maand]]</f>
        <v>85</v>
      </c>
      <c r="N41" s="53">
        <v>675</v>
      </c>
      <c r="O41">
        <f>juli2025!N41</f>
        <v>655</v>
      </c>
      <c r="P41" s="40">
        <f>Tabel2425678910111213141517161819212022232614151819[[#This Row],[Stand Coffee Latte einde maand]]-Tabel2425678910111213141517161819212022232614151819[[#This Row],[Coffee Latte vorige maand]]</f>
        <v>20</v>
      </c>
      <c r="Q41" s="53">
        <v>4467</v>
      </c>
      <c r="R41">
        <f>juli2025!Q41</f>
        <v>4374</v>
      </c>
      <c r="S41" s="40">
        <f>Tabel2425678910111213141517161819212022232614151819[[#This Row],[Stand Hot Water einde maand]]-Tabel2425678910111213141517161819212022232614151819[[#This Row],[Hot Water vorige maand]]</f>
        <v>93</v>
      </c>
      <c r="T41" s="53">
        <v>7668</v>
      </c>
      <c r="U41">
        <f>juli2025!T41</f>
        <v>7457</v>
      </c>
      <c r="V41" s="40">
        <f>Tabel2425678910111213141517161819212022232614151819[[#This Row],[Stand Cappucino einde maand]]-Tabel2425678910111213141517161819212022232614151819[[#This Row],[Stand Cappucino vorige maand]]</f>
        <v>211</v>
      </c>
      <c r="W41" s="53">
        <v>671</v>
      </c>
      <c r="X41">
        <f>juli2025!W41</f>
        <v>659</v>
      </c>
      <c r="Y41" s="40">
        <f>Tabel2425678910111213141517161819212022232614151819[[#This Row],[Stand Cappucino Plantaardig einde maand]]-Tabel2425678910111213141517161819212022232614151819[[#This Row],[Stand Cappucino Plantaardig vorige maand]]</f>
        <v>12</v>
      </c>
      <c r="Z41" s="53">
        <v>218</v>
      </c>
      <c r="AA41">
        <f>juli2025!Z41</f>
        <v>218</v>
      </c>
      <c r="AB41" s="40">
        <f>Tabel2425678910111213141517161819212022232614151819[[#This Row],[Stand Latte Macchiato Plantaardig einde maand]]-Tabel2425678910111213141517161819212022232614151819[[#This Row],[Stand Latte Macchiato Plantaardig vorige maand]]</f>
        <v>0</v>
      </c>
      <c r="AC41" s="73">
        <f>Tabel2425678910111213141517161819212022232614151819[[#This Row],[Verbruik Stand Latte Macchiato Plantaardig deze maand]]+Tabel2425678910111213141517161819212022232614151819[[#This Row],[Verbruik  Cappucino Plantaardig deze maand]]+Tabel2425678910111213141517161819212022232614151819[[#This Row],[Verbruik Cappucino deze maand]]+Tabel2425678910111213141517161819212022232614151819[[#This Row],[Verbruik Hot Water deze maand]]+Tabel2425678910111213141517161819212022232614151819[[#This Row],[Verbruik Coffee Latte deze maand]]+Tabel2425678910111213141517161819212022232614151819[[#This Row],[Verbruik Latte Macchiato deze maand]]+Tabel2425678910111213141517161819212022232614151819[[#This Row],[Verbruik Espresso deze maand]]+Tabel2425678910111213141517161819212022232614151819[[#This Row],[Verbruik Coffee deze maand]]</f>
        <v>950</v>
      </c>
      <c r="AD41" s="53">
        <v>229.8</v>
      </c>
      <c r="AE41">
        <f>juli2025!AD41</f>
        <v>220.8</v>
      </c>
      <c r="AF41">
        <f>Tabel2425678910111213141517161819212022232614151819[[#This Row],[Stand Kamertemp liter einde maand]]-Tabel2425678910111213141517161819212022232614151819[[#This Row],[Stand Kamertemp liter vorige maand]]</f>
        <v>9</v>
      </c>
      <c r="AG41" s="2">
        <f>Tabel2425678910111213141517161819212022232614151819[[#This Row],[Verbruik Kamertemp liter deze maand]]/0.15</f>
        <v>60</v>
      </c>
      <c r="AH41" s="53">
        <v>1646.1</v>
      </c>
      <c r="AI41">
        <f>juli2025!AH41</f>
        <v>1526.7</v>
      </c>
      <c r="AJ41">
        <f>Tabel2425678910111213141517161819212022232614151819[[#This Row],[Stand Gekoeld liter einde maand]]-Tabel2425678910111213141517161819212022232614151819[[#This Row],[Stand Gekoeld liter vorige maand]]</f>
        <v>119.39999999999986</v>
      </c>
      <c r="AK41" s="2">
        <f>Tabel2425678910111213141517161819212022232614151819[[#This Row],[Verbruik Gekoeld liter deze maand]]/0.15</f>
        <v>795.99999999999909</v>
      </c>
      <c r="AL41" s="53">
        <v>726.4</v>
      </c>
      <c r="AM41">
        <f>juli2025!AL41</f>
        <v>655.6</v>
      </c>
      <c r="AN41">
        <f>Tabel2425678910111213141517161819212022232614151819[[#This Row],[Stand Bruisend liter einde maand]]-Tabel2425678910111213141517161819212022232614151819[[#This Row],[Stand Bruisend liter vorige maand]]</f>
        <v>70.799999999999955</v>
      </c>
      <c r="AO41" s="2">
        <f>Tabel2425678910111213141517161819212022232614151819[[#This Row],[Verbruik Bruisend liter deze maand]]/0.15</f>
        <v>471.99999999999972</v>
      </c>
      <c r="AP41" s="53">
        <v>252</v>
      </c>
      <c r="AQ41">
        <f>juli2025!AP41</f>
        <v>235.8</v>
      </c>
      <c r="AR41">
        <f>Tabel2425678910111213141517161819212022232614151819[[#This Row],[Stand licht bruisend liter einde maand]]-Tabel2425678910111213141517161819212022232614151819[[#This Row],[Stand licht bruisend liter vorige maand]]</f>
        <v>16.199999999999989</v>
      </c>
      <c r="AS41" s="2">
        <f>Tabel2425678910111213141517161819212022232614151819[[#This Row],[Verbruik licht bruisend liter deze maand]]/0.15</f>
        <v>107.99999999999993</v>
      </c>
      <c r="AT41" s="53">
        <v>695.8</v>
      </c>
      <c r="AU41">
        <f>juli2025!AT41</f>
        <v>660.3</v>
      </c>
      <c r="AV41">
        <f>Tabel2425678910111213141517161819212022232614151819[[#This Row],[Stand heet water liter einde maand]]-Tabel2425678910111213141517161819212022232614151819[[#This Row],[Stand heet water liter vorige maand]]</f>
        <v>35.5</v>
      </c>
      <c r="AW41" s="2">
        <f>Tabel2425678910111213141517161819212022232614151819[[#This Row],[Verbruik heet Water liter deze maand ]]/0.15</f>
        <v>236.66666666666669</v>
      </c>
      <c r="AX41" s="77">
        <f>Tabel2425678910111213141517161819212022232614151819[[#This Row],[Aantal consumpties heet water deze maand]]+Tabel2425678910111213141517161819212022232614151819[[#This Row],[Aantal consumpties licht bruisend water deze maand]]+Tabel2425678910111213141517161819212022232614151819[[#This Row],[aantal consumpties Bruisend water deze maand]]+Tabel2425678910111213141517161819212022232614151819[[#This Row],[Aantal consumpties gekoeld water deze maand]]+Tabel2425678910111213141517161819212022232614151819[[#This Row],[Aantal consumpties Kamertemp deze maand]]</f>
        <v>1672.6666666666654</v>
      </c>
      <c r="AY41" s="95">
        <f>Tabel2425678910111213141517161819212022232614151819[[#This Row],[Subtotaal waterbar in consumpties]]+Tabel2425678910111213141517161819212022232614151819[[#This Row],[Subtotaal koffieautomaten]]</f>
        <v>2622.6666666666652</v>
      </c>
    </row>
    <row r="42" spans="1:130" ht="14.45" customHeight="1" x14ac:dyDescent="0.25">
      <c r="A42" s="65" t="s">
        <v>41</v>
      </c>
      <c r="B42" t="s">
        <v>90</v>
      </c>
      <c r="C42" t="s">
        <v>31</v>
      </c>
      <c r="E42">
        <v>14577</v>
      </c>
      <c r="F42">
        <f>juli2025!E42</f>
        <v>14265</v>
      </c>
      <c r="G42">
        <f>Tabel2425678910111213141517161819212022232614151819[[#This Row],[Stand Coffee einde maand]]-Tabel2425678910111213141517161819212022232614151819[[#This Row],[Coffee vorige maand]]</f>
        <v>312</v>
      </c>
      <c r="H42" s="53">
        <v>4860</v>
      </c>
      <c r="I42">
        <f>juli2025!H42</f>
        <v>4763</v>
      </c>
      <c r="J42">
        <f>Tabel2425678910111213141517161819212022232614151819[[#This Row],[Stand Espresso Einde maand]]-Tabel2425678910111213141517161819212022232614151819[[#This Row],[Espresso vorige maand]]</f>
        <v>97</v>
      </c>
      <c r="K42" s="53">
        <v>1227</v>
      </c>
      <c r="L42">
        <f>juli2025!K42</f>
        <v>1215</v>
      </c>
      <c r="M42">
        <f>Tabel2425678910111213141517161819212022232614151819[[#This Row],[Stand Latte Macchiato einde maand]]-Tabel2425678910111213141517161819212022232614151819[[#This Row],[Latte Macchiato vorige maand]]</f>
        <v>12</v>
      </c>
      <c r="N42" s="53">
        <v>2528</v>
      </c>
      <c r="O42">
        <f>juli2025!N42</f>
        <v>2420</v>
      </c>
      <c r="P42">
        <f>Tabel2425678910111213141517161819212022232614151819[[#This Row],[Stand Coffee Latte einde maand]]-Tabel2425678910111213141517161819212022232614151819[[#This Row],[Coffee Latte vorige maand]]</f>
        <v>108</v>
      </c>
      <c r="Q42" s="53">
        <v>43827</v>
      </c>
      <c r="R42">
        <f>juli2025!Q42</f>
        <v>43090</v>
      </c>
      <c r="S42">
        <f>Tabel2425678910111213141517161819212022232614151819[[#This Row],[Stand Hot Water einde maand]]-Tabel2425678910111213141517161819212022232614151819[[#This Row],[Hot Water vorige maand]]</f>
        <v>737</v>
      </c>
      <c r="T42" s="53">
        <v>6833</v>
      </c>
      <c r="U42">
        <f>juli2025!T42</f>
        <v>6701</v>
      </c>
      <c r="V42">
        <f>Tabel2425678910111213141517161819212022232614151819[[#This Row],[Stand Cappucino einde maand]]-Tabel2425678910111213141517161819212022232614151819[[#This Row],[Stand Cappucino vorige maand]]</f>
        <v>132</v>
      </c>
      <c r="W42" s="53">
        <v>495</v>
      </c>
      <c r="X42">
        <f>juli2025!W42</f>
        <v>495</v>
      </c>
      <c r="Y42">
        <f>Tabel2425678910111213141517161819212022232614151819[[#This Row],[Stand Cappucino Plantaardig einde maand]]-Tabel2425678910111213141517161819212022232614151819[[#This Row],[Stand Cappucino Plantaardig vorige maand]]</f>
        <v>0</v>
      </c>
      <c r="Z42" s="53">
        <v>500</v>
      </c>
      <c r="AA42">
        <f>juli2025!Z42</f>
        <v>477</v>
      </c>
      <c r="AB42">
        <f>Tabel2425678910111213141517161819212022232614151819[[#This Row],[Stand Latte Macchiato Plantaardig einde maand]]-Tabel2425678910111213141517161819212022232614151819[[#This Row],[Stand Latte Macchiato Plantaardig vorige maand]]</f>
        <v>23</v>
      </c>
      <c r="AC42" s="71">
        <f>Tabel2425678910111213141517161819212022232614151819[[#This Row],[Verbruik Stand Latte Macchiato Plantaardig deze maand]]+Tabel2425678910111213141517161819212022232614151819[[#This Row],[Verbruik  Cappucino Plantaardig deze maand]]+Tabel2425678910111213141517161819212022232614151819[[#This Row],[Verbruik Cappucino deze maand]]+Tabel2425678910111213141517161819212022232614151819[[#This Row],[Verbruik Hot Water deze maand]]+Tabel2425678910111213141517161819212022232614151819[[#This Row],[Verbruik Coffee Latte deze maand]]+Tabel2425678910111213141517161819212022232614151819[[#This Row],[Verbruik Latte Macchiato deze maand]]+Tabel2425678910111213141517161819212022232614151819[[#This Row],[Verbruik Espresso deze maand]]+Tabel2425678910111213141517161819212022232614151819[[#This Row],[Verbruik Coffee deze maand]]</f>
        <v>1421</v>
      </c>
      <c r="AD42" s="69"/>
      <c r="AE42" s="41"/>
      <c r="AF42" s="5"/>
      <c r="AG42" s="5"/>
      <c r="AH42" s="75"/>
      <c r="AI42" s="41"/>
      <c r="AJ42" s="5"/>
      <c r="AK42" s="5"/>
      <c r="AL42" s="75"/>
      <c r="AM42" s="41"/>
      <c r="AN42" s="5"/>
      <c r="AO42" s="5"/>
      <c r="AP42" s="75"/>
      <c r="AQ42" s="41"/>
      <c r="AR42" s="5"/>
      <c r="AS42" s="5"/>
      <c r="AT42" s="75"/>
      <c r="AU42" s="41"/>
      <c r="AV42" s="5"/>
      <c r="AW42" s="5"/>
      <c r="AX42" s="79"/>
      <c r="AY42" s="95">
        <f>Tabel2425678910111213141517161819212022232614151819[[#This Row],[Subtotaal waterbar in consumpties]]+Tabel2425678910111213141517161819212022232614151819[[#This Row],[Subtotaal koffieautomaten]]</f>
        <v>1421</v>
      </c>
    </row>
    <row r="43" spans="1:130" ht="14.45" customHeight="1" x14ac:dyDescent="0.25">
      <c r="A43" s="65" t="s">
        <v>43</v>
      </c>
      <c r="B43" t="s">
        <v>91</v>
      </c>
      <c r="C43" t="s">
        <v>47</v>
      </c>
      <c r="E43">
        <v>16957</v>
      </c>
      <c r="F43">
        <f>juli2025!E43</f>
        <v>16471</v>
      </c>
      <c r="G43">
        <f>Tabel2425678910111213141517161819212022232614151819[[#This Row],[Stand Coffee einde maand]]-Tabel2425678910111213141517161819212022232614151819[[#This Row],[Coffee vorige maand]]</f>
        <v>486</v>
      </c>
      <c r="H43" s="53">
        <v>3369</v>
      </c>
      <c r="I43">
        <f>juli2025!H43</f>
        <v>3256</v>
      </c>
      <c r="J43">
        <f>Tabel2425678910111213141517161819212022232614151819[[#This Row],[Stand Espresso Einde maand]]-Tabel2425678910111213141517161819212022232614151819[[#This Row],[Espresso vorige maand]]</f>
        <v>113</v>
      </c>
      <c r="K43" s="53">
        <v>827</v>
      </c>
      <c r="L43">
        <f>juli2025!K43</f>
        <v>796</v>
      </c>
      <c r="M43">
        <f>Tabel2425678910111213141517161819212022232614151819[[#This Row],[Stand Latte Macchiato einde maand]]-Tabel2425678910111213141517161819212022232614151819[[#This Row],[Latte Macchiato vorige maand]]</f>
        <v>31</v>
      </c>
      <c r="N43" s="53">
        <v>1332</v>
      </c>
      <c r="O43">
        <f>juli2025!N43</f>
        <v>1304</v>
      </c>
      <c r="P43">
        <f>Tabel2425678910111213141517161819212022232614151819[[#This Row],[Stand Coffee Latte einde maand]]-Tabel2425678910111213141517161819212022232614151819[[#This Row],[Coffee Latte vorige maand]]</f>
        <v>28</v>
      </c>
      <c r="Q43" s="53">
        <v>1673</v>
      </c>
      <c r="R43">
        <f>juli2025!Q43</f>
        <v>1654</v>
      </c>
      <c r="S43">
        <f>Tabel2425678910111213141517161819212022232614151819[[#This Row],[Stand Hot Water einde maand]]-Tabel2425678910111213141517161819212022232614151819[[#This Row],[Hot Water vorige maand]]</f>
        <v>19</v>
      </c>
      <c r="T43" s="53">
        <v>5106</v>
      </c>
      <c r="U43">
        <f>juli2025!T43</f>
        <v>4967</v>
      </c>
      <c r="V43">
        <f>Tabel2425678910111213141517161819212022232614151819[[#This Row],[Stand Cappucino einde maand]]-Tabel2425678910111213141517161819212022232614151819[[#This Row],[Stand Cappucino vorige maand]]</f>
        <v>139</v>
      </c>
      <c r="W43" s="53">
        <v>3646</v>
      </c>
      <c r="X43">
        <f>juli2025!W43</f>
        <v>3577</v>
      </c>
      <c r="Y43">
        <f>Tabel2425678910111213141517161819212022232614151819[[#This Row],[Stand Cappucino Plantaardig einde maand]]-Tabel2425678910111213141517161819212022232614151819[[#This Row],[Stand Cappucino Plantaardig vorige maand]]</f>
        <v>69</v>
      </c>
      <c r="Z43" s="53">
        <v>441</v>
      </c>
      <c r="AA43">
        <f>juli2025!Z43</f>
        <v>424</v>
      </c>
      <c r="AB43">
        <f>Tabel2425678910111213141517161819212022232614151819[[#This Row],[Stand Latte Macchiato Plantaardig einde maand]]-Tabel2425678910111213141517161819212022232614151819[[#This Row],[Stand Latte Macchiato Plantaardig vorige maand]]</f>
        <v>17</v>
      </c>
      <c r="AC43" s="71">
        <f>Tabel2425678910111213141517161819212022232614151819[[#This Row],[Verbruik Stand Latte Macchiato Plantaardig deze maand]]+Tabel2425678910111213141517161819212022232614151819[[#This Row],[Verbruik  Cappucino Plantaardig deze maand]]+Tabel2425678910111213141517161819212022232614151819[[#This Row],[Verbruik Cappucino deze maand]]+Tabel2425678910111213141517161819212022232614151819[[#This Row],[Verbruik Hot Water deze maand]]+Tabel2425678910111213141517161819212022232614151819[[#This Row],[Verbruik Coffee Latte deze maand]]+Tabel2425678910111213141517161819212022232614151819[[#This Row],[Verbruik Latte Macchiato deze maand]]+Tabel2425678910111213141517161819212022232614151819[[#This Row],[Verbruik Espresso deze maand]]+Tabel2425678910111213141517161819212022232614151819[[#This Row],[Verbruik Coffee deze maand]]</f>
        <v>902</v>
      </c>
      <c r="AD43" s="53">
        <v>324.89999999999998</v>
      </c>
      <c r="AE43">
        <f>juli2025!AD43</f>
        <v>309.5</v>
      </c>
      <c r="AF43">
        <f>Tabel2425678910111213141517161819212022232614151819[[#This Row],[Stand Kamertemp liter einde maand]]-Tabel2425678910111213141517161819212022232614151819[[#This Row],[Stand Kamertemp liter vorige maand]]</f>
        <v>15.399999999999977</v>
      </c>
      <c r="AG43" s="2">
        <f>Tabel2425678910111213141517161819212022232614151819[[#This Row],[Verbruik Kamertemp liter deze maand]]/0.15</f>
        <v>102.66666666666652</v>
      </c>
      <c r="AH43" s="53">
        <v>2139.8000000000002</v>
      </c>
      <c r="AI43">
        <f>juli2025!AH43</f>
        <v>1967</v>
      </c>
      <c r="AJ43">
        <f>Tabel2425678910111213141517161819212022232614151819[[#This Row],[Stand Gekoeld liter einde maand]]-Tabel2425678910111213141517161819212022232614151819[[#This Row],[Stand Gekoeld liter vorige maand]]</f>
        <v>172.80000000000018</v>
      </c>
      <c r="AK43" s="2">
        <f>Tabel2425678910111213141517161819212022232614151819[[#This Row],[Verbruik Gekoeld liter deze maand]]/0.15</f>
        <v>1152.0000000000014</v>
      </c>
      <c r="AL43" s="53">
        <v>1479</v>
      </c>
      <c r="AM43">
        <f>juli2025!AL43</f>
        <v>1342.8</v>
      </c>
      <c r="AN43">
        <f>Tabel2425678910111213141517161819212022232614151819[[#This Row],[Stand Bruisend liter einde maand]]-Tabel2425678910111213141517161819212022232614151819[[#This Row],[Stand Bruisend liter vorige maand]]</f>
        <v>136.20000000000005</v>
      </c>
      <c r="AO43" s="2">
        <f>Tabel2425678910111213141517161819212022232614151819[[#This Row],[Verbruik Bruisend liter deze maand]]/0.15</f>
        <v>908.00000000000034</v>
      </c>
      <c r="AP43" s="53">
        <v>531</v>
      </c>
      <c r="AQ43">
        <f>juli2025!AP43</f>
        <v>482.5</v>
      </c>
      <c r="AR43">
        <f>Tabel2425678910111213141517161819212022232614151819[[#This Row],[Stand licht bruisend liter einde maand]]-Tabel2425678910111213141517161819212022232614151819[[#This Row],[Stand licht bruisend liter vorige maand]]</f>
        <v>48.5</v>
      </c>
      <c r="AS43" s="2">
        <f>Tabel2425678910111213141517161819212022232614151819[[#This Row],[Verbruik licht bruisend liter deze maand]]/0.15</f>
        <v>323.33333333333337</v>
      </c>
      <c r="AT43" s="53">
        <v>5467.3</v>
      </c>
      <c r="AU43">
        <f>juli2025!AT43</f>
        <v>5147.3</v>
      </c>
      <c r="AV43">
        <f>Tabel2425678910111213141517161819212022232614151819[[#This Row],[Stand heet water liter einde maand]]-Tabel2425678910111213141517161819212022232614151819[[#This Row],[Stand heet water liter vorige maand]]</f>
        <v>320</v>
      </c>
      <c r="AW43" s="2">
        <f>Tabel2425678910111213141517161819212022232614151819[[#This Row],[Verbruik heet Water liter deze maand ]]/0.15</f>
        <v>2133.3333333333335</v>
      </c>
      <c r="AX43" s="77">
        <f>Tabel2425678910111213141517161819212022232614151819[[#This Row],[Aantal consumpties heet water deze maand]]+Tabel2425678910111213141517161819212022232614151819[[#This Row],[Aantal consumpties licht bruisend water deze maand]]+Tabel2425678910111213141517161819212022232614151819[[#This Row],[aantal consumpties Bruisend water deze maand]]+Tabel2425678910111213141517161819212022232614151819[[#This Row],[Aantal consumpties gekoeld water deze maand]]+Tabel2425678910111213141517161819212022232614151819[[#This Row],[Aantal consumpties Kamertemp deze maand]]</f>
        <v>4619.3333333333358</v>
      </c>
      <c r="AY43" s="95">
        <f>Tabel2425678910111213141517161819212022232614151819[[#This Row],[Subtotaal waterbar in consumpties]]+Tabel2425678910111213141517161819212022232614151819[[#This Row],[Subtotaal koffieautomaten]]</f>
        <v>5521.3333333333358</v>
      </c>
    </row>
    <row r="44" spans="1:130" ht="14.45" customHeight="1" x14ac:dyDescent="0.25">
      <c r="A44" s="65" t="s">
        <v>45</v>
      </c>
      <c r="B44" t="s">
        <v>92</v>
      </c>
      <c r="C44" t="s">
        <v>36</v>
      </c>
      <c r="E44" s="46"/>
      <c r="F44" s="46"/>
      <c r="G44" s="47"/>
      <c r="H44" s="54"/>
      <c r="I44" s="46"/>
      <c r="J44" s="47"/>
      <c r="K44" s="54"/>
      <c r="L44" s="46"/>
      <c r="M44" s="47"/>
      <c r="N44" s="54"/>
      <c r="O44" s="46"/>
      <c r="P44" s="47"/>
      <c r="Q44" s="54"/>
      <c r="R44" s="46"/>
      <c r="S44" s="47"/>
      <c r="T44" s="54"/>
      <c r="U44" s="46"/>
      <c r="V44" s="47"/>
      <c r="W44" s="54"/>
      <c r="X44" s="46"/>
      <c r="Y44" s="47"/>
      <c r="Z44" s="54"/>
      <c r="AA44" s="46"/>
      <c r="AB44" s="47"/>
      <c r="AC44" s="72"/>
      <c r="AD44" s="53">
        <v>248.9</v>
      </c>
      <c r="AE44">
        <f>juli2025!AD44</f>
        <v>236.4</v>
      </c>
      <c r="AF44">
        <f>Tabel2425678910111213141517161819212022232614151819[[#This Row],[Stand Kamertemp liter einde maand]]-Tabel2425678910111213141517161819212022232614151819[[#This Row],[Stand Kamertemp liter vorige maand]]</f>
        <v>12.5</v>
      </c>
      <c r="AG44" s="2">
        <f>Tabel2425678910111213141517161819212022232614151819[[#This Row],[Verbruik Kamertemp liter deze maand]]/0.15</f>
        <v>83.333333333333343</v>
      </c>
      <c r="AH44" s="53">
        <v>785.4</v>
      </c>
      <c r="AI44">
        <f>juli2025!AH44</f>
        <v>699.1</v>
      </c>
      <c r="AJ44">
        <f>Tabel2425678910111213141517161819212022232614151819[[#This Row],[Stand Gekoeld liter einde maand]]-Tabel2425678910111213141517161819212022232614151819[[#This Row],[Stand Gekoeld liter vorige maand]]</f>
        <v>86.299999999999955</v>
      </c>
      <c r="AK44" s="2">
        <f>Tabel2425678910111213141517161819212022232614151819[[#This Row],[Verbruik Gekoeld liter deze maand]]/0.15</f>
        <v>575.33333333333303</v>
      </c>
      <c r="AL44" s="53">
        <v>869.8</v>
      </c>
      <c r="AM44">
        <f>juli2025!AL44</f>
        <v>792.3</v>
      </c>
      <c r="AN44">
        <f>Tabel2425678910111213141517161819212022232614151819[[#This Row],[Stand Bruisend liter einde maand]]-Tabel2425678910111213141517161819212022232614151819[[#This Row],[Stand Bruisend liter vorige maand]]</f>
        <v>77.5</v>
      </c>
      <c r="AO44" s="2">
        <f>Tabel2425678910111213141517161819212022232614151819[[#This Row],[Verbruik Bruisend liter deze maand]]/0.15</f>
        <v>516.66666666666674</v>
      </c>
      <c r="AP44" s="53">
        <v>293</v>
      </c>
      <c r="AQ44">
        <f>juli2025!AP44</f>
        <v>264.5</v>
      </c>
      <c r="AR44">
        <f>Tabel2425678910111213141517161819212022232614151819[[#This Row],[Stand licht bruisend liter einde maand]]-Tabel2425678910111213141517161819212022232614151819[[#This Row],[Stand licht bruisend liter vorige maand]]</f>
        <v>28.5</v>
      </c>
      <c r="AS44" s="2">
        <f>Tabel2425678910111213141517161819212022232614151819[[#This Row],[Verbruik licht bruisend liter deze maand]]/0.15</f>
        <v>190</v>
      </c>
      <c r="AT44" s="53">
        <v>2626.4</v>
      </c>
      <c r="AU44">
        <f>juli2025!AT44</f>
        <v>2462.9</v>
      </c>
      <c r="AV44">
        <f>Tabel2425678910111213141517161819212022232614151819[[#This Row],[Stand heet water liter einde maand]]-Tabel2425678910111213141517161819212022232614151819[[#This Row],[Stand heet water liter vorige maand]]</f>
        <v>163.5</v>
      </c>
      <c r="AW44" s="2">
        <f>Tabel2425678910111213141517161819212022232614151819[[#This Row],[Verbruik heet Water liter deze maand ]]/0.15</f>
        <v>1090</v>
      </c>
      <c r="AX44" s="77">
        <f>Tabel2425678910111213141517161819212022232614151819[[#This Row],[Aantal consumpties heet water deze maand]]+Tabel2425678910111213141517161819212022232614151819[[#This Row],[Aantal consumpties licht bruisend water deze maand]]+Tabel2425678910111213141517161819212022232614151819[[#This Row],[aantal consumpties Bruisend water deze maand]]+Tabel2425678910111213141517161819212022232614151819[[#This Row],[Aantal consumpties gekoeld water deze maand]]+Tabel2425678910111213141517161819212022232614151819[[#This Row],[Aantal consumpties Kamertemp deze maand]]</f>
        <v>2455.3333333333335</v>
      </c>
      <c r="AY44" s="95">
        <f>Tabel2425678910111213141517161819212022232614151819[[#This Row],[Subtotaal waterbar in consumpties]]+Tabel2425678910111213141517161819212022232614151819[[#This Row],[Subtotaal koffieautomaten]]</f>
        <v>2455.3333333333335</v>
      </c>
    </row>
    <row r="45" spans="1:130" ht="14.45" customHeight="1" x14ac:dyDescent="0.25">
      <c r="A45" s="65" t="s">
        <v>48</v>
      </c>
      <c r="B45" t="s">
        <v>158</v>
      </c>
      <c r="C45" t="s">
        <v>31</v>
      </c>
      <c r="E45">
        <v>29504</v>
      </c>
      <c r="F45">
        <f>juli2025!E45</f>
        <v>28593</v>
      </c>
      <c r="G45">
        <f>Tabel2425678910111213141517161819212022232614151819[[#This Row],[Stand Coffee einde maand]]-Tabel2425678910111213141517161819212022232614151819[[#This Row],[Coffee vorige maand]]</f>
        <v>911</v>
      </c>
      <c r="H45" s="53">
        <v>7602</v>
      </c>
      <c r="I45">
        <f>juli2025!H45</f>
        <v>7354</v>
      </c>
      <c r="J45">
        <f>Tabel2425678910111213141517161819212022232614151819[[#This Row],[Stand Espresso Einde maand]]-Tabel2425678910111213141517161819212022232614151819[[#This Row],[Espresso vorige maand]]</f>
        <v>248</v>
      </c>
      <c r="K45" s="53">
        <v>2962</v>
      </c>
      <c r="L45">
        <f>juli2025!K45</f>
        <v>2857</v>
      </c>
      <c r="M45">
        <f>Tabel2425678910111213141517161819212022232614151819[[#This Row],[Stand Latte Macchiato einde maand]]-Tabel2425678910111213141517161819212022232614151819[[#This Row],[Latte Macchiato vorige maand]]</f>
        <v>105</v>
      </c>
      <c r="N45" s="53">
        <v>632</v>
      </c>
      <c r="O45">
        <f>juli2025!N45</f>
        <v>623</v>
      </c>
      <c r="P45">
        <f>Tabel2425678910111213141517161819212022232614151819[[#This Row],[Stand Coffee Latte einde maand]]-Tabel2425678910111213141517161819212022232614151819[[#This Row],[Coffee Latte vorige maand]]</f>
        <v>9</v>
      </c>
      <c r="Q45" s="53">
        <v>28031</v>
      </c>
      <c r="R45">
        <f>juli2025!Q45</f>
        <v>27230</v>
      </c>
      <c r="S45">
        <f>Tabel2425678910111213141517161819212022232614151819[[#This Row],[Stand Hot Water einde maand]]-Tabel2425678910111213141517161819212022232614151819[[#This Row],[Hot Water vorige maand]]</f>
        <v>801</v>
      </c>
      <c r="T45" s="53">
        <v>10637</v>
      </c>
      <c r="U45">
        <f>juli2025!T45</f>
        <v>10321</v>
      </c>
      <c r="V45">
        <f>Tabel2425678910111213141517161819212022232614151819[[#This Row],[Stand Cappucino einde maand]]-Tabel2425678910111213141517161819212022232614151819[[#This Row],[Stand Cappucino vorige maand]]</f>
        <v>316</v>
      </c>
      <c r="W45" s="53">
        <v>1658</v>
      </c>
      <c r="X45">
        <f>juli2025!W45</f>
        <v>1636</v>
      </c>
      <c r="Y45">
        <f>Tabel2425678910111213141517161819212022232614151819[[#This Row],[Stand Cappucino Plantaardig einde maand]]-Tabel2425678910111213141517161819212022232614151819[[#This Row],[Stand Cappucino Plantaardig vorige maand]]</f>
        <v>22</v>
      </c>
      <c r="Z45" s="53">
        <v>1325</v>
      </c>
      <c r="AA45">
        <f>juli2025!Z45</f>
        <v>1282</v>
      </c>
      <c r="AB45">
        <f>Tabel2425678910111213141517161819212022232614151819[[#This Row],[Stand Latte Macchiato Plantaardig einde maand]]-Tabel2425678910111213141517161819212022232614151819[[#This Row],[Stand Latte Macchiato Plantaardig vorige maand]]</f>
        <v>43</v>
      </c>
      <c r="AC45" s="71">
        <f>Tabel2425678910111213141517161819212022232614151819[[#This Row],[Verbruik Stand Latte Macchiato Plantaardig deze maand]]+Tabel2425678910111213141517161819212022232614151819[[#This Row],[Verbruik  Cappucino Plantaardig deze maand]]+Tabel2425678910111213141517161819212022232614151819[[#This Row],[Verbruik Cappucino deze maand]]+Tabel2425678910111213141517161819212022232614151819[[#This Row],[Verbruik Hot Water deze maand]]+Tabel2425678910111213141517161819212022232614151819[[#This Row],[Verbruik Coffee Latte deze maand]]+Tabel2425678910111213141517161819212022232614151819[[#This Row],[Verbruik Latte Macchiato deze maand]]+Tabel2425678910111213141517161819212022232614151819[[#This Row],[Verbruik Espresso deze maand]]+Tabel2425678910111213141517161819212022232614151819[[#This Row],[Verbruik Coffee deze maand]]</f>
        <v>2455</v>
      </c>
      <c r="AD45" s="69"/>
      <c r="AE45" s="41"/>
      <c r="AF45" s="5"/>
      <c r="AG45" s="5"/>
      <c r="AH45" s="75"/>
      <c r="AI45" s="41"/>
      <c r="AJ45" s="5"/>
      <c r="AK45" s="5"/>
      <c r="AL45" s="75"/>
      <c r="AM45" s="41"/>
      <c r="AN45" s="5"/>
      <c r="AO45" s="5"/>
      <c r="AP45" s="75"/>
      <c r="AQ45" s="41"/>
      <c r="AR45" s="5"/>
      <c r="AS45" s="5"/>
      <c r="AT45" s="75"/>
      <c r="AU45" s="41"/>
      <c r="AV45" s="5"/>
      <c r="AW45" s="5"/>
      <c r="AX45" s="79"/>
      <c r="AY45" s="95">
        <f>Tabel2425678910111213141517161819212022232614151819[[#This Row],[Subtotaal waterbar in consumpties]]+Tabel2425678910111213141517161819212022232614151819[[#This Row],[Subtotaal koffieautomaten]]</f>
        <v>2455</v>
      </c>
    </row>
    <row r="46" spans="1:130" ht="14.45" customHeight="1" x14ac:dyDescent="0.25">
      <c r="A46" s="65" t="s">
        <v>50</v>
      </c>
      <c r="B46" t="s">
        <v>93</v>
      </c>
      <c r="C46" t="s">
        <v>36</v>
      </c>
      <c r="E46" s="46"/>
      <c r="F46" s="46"/>
      <c r="G46" s="47"/>
      <c r="H46" s="54"/>
      <c r="I46" s="46"/>
      <c r="J46" s="47"/>
      <c r="K46" s="54"/>
      <c r="L46" s="46"/>
      <c r="M46" s="47"/>
      <c r="N46" s="54"/>
      <c r="O46" s="46"/>
      <c r="P46" s="47"/>
      <c r="Q46" s="54"/>
      <c r="R46" s="46"/>
      <c r="S46" s="47"/>
      <c r="T46" s="54"/>
      <c r="U46" s="46"/>
      <c r="V46" s="47"/>
      <c r="W46" s="54"/>
      <c r="X46" s="46"/>
      <c r="Y46" s="47"/>
      <c r="Z46" s="54"/>
      <c r="AA46" s="46"/>
      <c r="AB46" s="47"/>
      <c r="AC46" s="72"/>
      <c r="AD46" s="53">
        <v>104</v>
      </c>
      <c r="AE46">
        <f>juli2025!AD46</f>
        <v>95.4</v>
      </c>
      <c r="AF46">
        <f>Tabel2425678910111213141517161819212022232614151819[[#This Row],[Stand Kamertemp liter einde maand]]-Tabel2425678910111213141517161819212022232614151819[[#This Row],[Stand Kamertemp liter vorige maand]]</f>
        <v>8.5999999999999943</v>
      </c>
      <c r="AG46" s="2">
        <f>Tabel2425678910111213141517161819212022232614151819[[#This Row],[Verbruik Kamertemp liter deze maand]]/0.15</f>
        <v>57.3333333333333</v>
      </c>
      <c r="AH46" s="53">
        <v>821.8</v>
      </c>
      <c r="AI46">
        <f>juli2025!AH46</f>
        <v>756.7</v>
      </c>
      <c r="AJ46">
        <f>Tabel2425678910111213141517161819212022232614151819[[#This Row],[Stand Gekoeld liter einde maand]]-Tabel2425678910111213141517161819212022232614151819[[#This Row],[Stand Gekoeld liter vorige maand]]</f>
        <v>65.099999999999909</v>
      </c>
      <c r="AK46" s="2">
        <f>Tabel2425678910111213141517161819212022232614151819[[#This Row],[Verbruik Gekoeld liter deze maand]]/0.15</f>
        <v>433.99999999999943</v>
      </c>
      <c r="AL46" s="53">
        <v>449</v>
      </c>
      <c r="AM46">
        <f>juli2025!AL46</f>
        <v>396</v>
      </c>
      <c r="AN46">
        <f>Tabel2425678910111213141517161819212022232614151819[[#This Row],[Stand Bruisend liter einde maand]]-Tabel2425678910111213141517161819212022232614151819[[#This Row],[Stand Bruisend liter vorige maand]]</f>
        <v>53</v>
      </c>
      <c r="AO46" s="2">
        <f>Tabel2425678910111213141517161819212022232614151819[[#This Row],[Verbruik Bruisend liter deze maand]]/0.15</f>
        <v>353.33333333333337</v>
      </c>
      <c r="AP46" s="53">
        <v>166.4</v>
      </c>
      <c r="AQ46">
        <f>juli2025!AP46</f>
        <v>154.6</v>
      </c>
      <c r="AR46">
        <f>Tabel2425678910111213141517161819212022232614151819[[#This Row],[Stand licht bruisend liter einde maand]]-Tabel2425678910111213141517161819212022232614151819[[#This Row],[Stand licht bruisend liter vorige maand]]</f>
        <v>11.800000000000011</v>
      </c>
      <c r="AS46" s="2">
        <f>Tabel2425678910111213141517161819212022232614151819[[#This Row],[Verbruik licht bruisend liter deze maand]]/0.15</f>
        <v>78.666666666666742</v>
      </c>
      <c r="AT46" s="53">
        <v>1554.1</v>
      </c>
      <c r="AU46">
        <f>juli2025!AT46</f>
        <v>1455.4</v>
      </c>
      <c r="AV46">
        <f>Tabel2425678910111213141517161819212022232614151819[[#This Row],[Stand heet water liter einde maand]]-Tabel2425678910111213141517161819212022232614151819[[#This Row],[Stand heet water liter vorige maand]]</f>
        <v>98.699999999999818</v>
      </c>
      <c r="AW46" s="2">
        <f>Tabel2425678910111213141517161819212022232614151819[[#This Row],[Verbruik heet Water liter deze maand ]]/0.15</f>
        <v>657.99999999999886</v>
      </c>
      <c r="AX46" s="77">
        <f>Tabel2425678910111213141517161819212022232614151819[[#This Row],[Aantal consumpties heet water deze maand]]+Tabel2425678910111213141517161819212022232614151819[[#This Row],[Aantal consumpties licht bruisend water deze maand]]+Tabel2425678910111213141517161819212022232614151819[[#This Row],[aantal consumpties Bruisend water deze maand]]+Tabel2425678910111213141517161819212022232614151819[[#This Row],[Aantal consumpties gekoeld water deze maand]]+Tabel2425678910111213141517161819212022232614151819[[#This Row],[Aantal consumpties Kamertemp deze maand]]</f>
        <v>1581.3333333333319</v>
      </c>
      <c r="AY46" s="95">
        <f>Tabel2425678910111213141517161819212022232614151819[[#This Row],[Subtotaal waterbar in consumpties]]+Tabel2425678910111213141517161819212022232614151819[[#This Row],[Subtotaal koffieautomaten]]</f>
        <v>1581.3333333333319</v>
      </c>
    </row>
    <row r="47" spans="1:130" ht="14.45" customHeight="1" x14ac:dyDescent="0.25">
      <c r="A47" s="67">
        <v>10</v>
      </c>
      <c r="B47" t="s">
        <v>94</v>
      </c>
      <c r="C47" t="s">
        <v>31</v>
      </c>
      <c r="E47">
        <v>10698</v>
      </c>
      <c r="F47">
        <f>juli2025!E47</f>
        <v>10442</v>
      </c>
      <c r="G47">
        <f>Tabel2425678910111213141517161819212022232614151819[[#This Row],[Stand Coffee einde maand]]-Tabel2425678910111213141517161819212022232614151819[[#This Row],[Coffee vorige maand]]</f>
        <v>256</v>
      </c>
      <c r="H47" s="53">
        <v>8507</v>
      </c>
      <c r="I47">
        <f>juli2025!H47</f>
        <v>8228</v>
      </c>
      <c r="J47">
        <f>Tabel2425678910111213141517161819212022232614151819[[#This Row],[Stand Espresso Einde maand]]-Tabel2425678910111213141517161819212022232614151819[[#This Row],[Espresso vorige maand]]</f>
        <v>279</v>
      </c>
      <c r="K47" s="53">
        <v>1393</v>
      </c>
      <c r="L47">
        <f>juli2025!K47</f>
        <v>1366</v>
      </c>
      <c r="M47">
        <f>Tabel2425678910111213141517161819212022232614151819[[#This Row],[Stand Latte Macchiato einde maand]]-Tabel2425678910111213141517161819212022232614151819[[#This Row],[Latte Macchiato vorige maand]]</f>
        <v>27</v>
      </c>
      <c r="N47" s="53">
        <v>930</v>
      </c>
      <c r="O47">
        <f>juli2025!N47</f>
        <v>925</v>
      </c>
      <c r="P47">
        <f>Tabel2425678910111213141517161819212022232614151819[[#This Row],[Stand Coffee Latte einde maand]]-Tabel2425678910111213141517161819212022232614151819[[#This Row],[Coffee Latte vorige maand]]</f>
        <v>5</v>
      </c>
      <c r="Q47" s="53">
        <v>21567</v>
      </c>
      <c r="R47">
        <f>juli2025!Q47</f>
        <v>21067</v>
      </c>
      <c r="S47">
        <f>Tabel2425678910111213141517161819212022232614151819[[#This Row],[Stand Hot Water einde maand]]-Tabel2425678910111213141517161819212022232614151819[[#This Row],[Hot Water vorige maand]]</f>
        <v>500</v>
      </c>
      <c r="T47" s="53">
        <v>8225</v>
      </c>
      <c r="U47">
        <f>juli2025!T47</f>
        <v>8062</v>
      </c>
      <c r="V47">
        <f>Tabel2425678910111213141517161819212022232614151819[[#This Row],[Stand Cappucino einde maand]]-Tabel2425678910111213141517161819212022232614151819[[#This Row],[Stand Cappucino vorige maand]]</f>
        <v>163</v>
      </c>
      <c r="W47" s="53">
        <v>1105</v>
      </c>
      <c r="X47">
        <f>juli2025!W47</f>
        <v>1094</v>
      </c>
      <c r="Y47">
        <f>Tabel2425678910111213141517161819212022232614151819[[#This Row],[Stand Cappucino Plantaardig einde maand]]-Tabel2425678910111213141517161819212022232614151819[[#This Row],[Stand Cappucino Plantaardig vorige maand]]</f>
        <v>11</v>
      </c>
      <c r="Z47" s="53">
        <v>220</v>
      </c>
      <c r="AA47">
        <f>juli2025!Z47</f>
        <v>218</v>
      </c>
      <c r="AB47">
        <f>Tabel2425678910111213141517161819212022232614151819[[#This Row],[Stand Latte Macchiato Plantaardig einde maand]]-Tabel2425678910111213141517161819212022232614151819[[#This Row],[Stand Latte Macchiato Plantaardig vorige maand]]</f>
        <v>2</v>
      </c>
      <c r="AC47" s="71">
        <f>Tabel2425678910111213141517161819212022232614151819[[#This Row],[Verbruik Stand Latte Macchiato Plantaardig deze maand]]+Tabel2425678910111213141517161819212022232614151819[[#This Row],[Verbruik  Cappucino Plantaardig deze maand]]+Tabel2425678910111213141517161819212022232614151819[[#This Row],[Verbruik Cappucino deze maand]]+Tabel2425678910111213141517161819212022232614151819[[#This Row],[Verbruik Hot Water deze maand]]+Tabel2425678910111213141517161819212022232614151819[[#This Row],[Verbruik Coffee Latte deze maand]]+Tabel2425678910111213141517161819212022232614151819[[#This Row],[Verbruik Latte Macchiato deze maand]]+Tabel2425678910111213141517161819212022232614151819[[#This Row],[Verbruik Espresso deze maand]]+Tabel2425678910111213141517161819212022232614151819[[#This Row],[Verbruik Coffee deze maand]]</f>
        <v>1243</v>
      </c>
      <c r="AD47" s="69"/>
      <c r="AE47" s="41"/>
      <c r="AF47" s="5"/>
      <c r="AG47" s="5"/>
      <c r="AH47" s="75"/>
      <c r="AI47" s="41"/>
      <c r="AJ47" s="5"/>
      <c r="AK47" s="5"/>
      <c r="AL47" s="75"/>
      <c r="AM47" s="41"/>
      <c r="AN47" s="5"/>
      <c r="AO47" s="5"/>
      <c r="AP47" s="75"/>
      <c r="AQ47" s="41"/>
      <c r="AR47" s="5"/>
      <c r="AS47" s="5"/>
      <c r="AT47" s="75"/>
      <c r="AU47" s="41"/>
      <c r="AV47" s="5"/>
      <c r="AW47" s="5"/>
      <c r="AX47" s="79"/>
      <c r="AY47" s="95">
        <f>Tabel2425678910111213141517161819212022232614151819[[#This Row],[Subtotaal waterbar in consumpties]]+Tabel2425678910111213141517161819212022232614151819[[#This Row],[Subtotaal koffieautomaten]]</f>
        <v>1243</v>
      </c>
    </row>
    <row r="48" spans="1:130" ht="14.45" customHeight="1" x14ac:dyDescent="0.25">
      <c r="A48" s="65" t="s">
        <v>54</v>
      </c>
      <c r="B48" t="s">
        <v>95</v>
      </c>
      <c r="C48" t="s">
        <v>47</v>
      </c>
      <c r="E48">
        <v>12907</v>
      </c>
      <c r="F48">
        <f>juli2025!E48</f>
        <v>12630</v>
      </c>
      <c r="G48">
        <f>Tabel2425678910111213141517161819212022232614151819[[#This Row],[Stand Coffee einde maand]]-Tabel2425678910111213141517161819212022232614151819[[#This Row],[Coffee vorige maand]]</f>
        <v>277</v>
      </c>
      <c r="H48" s="53">
        <v>4084</v>
      </c>
      <c r="I48">
        <f>juli2025!H48</f>
        <v>3949</v>
      </c>
      <c r="J48">
        <f>Tabel2425678910111213141517161819212022232614151819[[#This Row],[Stand Espresso Einde maand]]-Tabel2425678910111213141517161819212022232614151819[[#This Row],[Espresso vorige maand]]</f>
        <v>135</v>
      </c>
      <c r="K48" s="53">
        <v>1252</v>
      </c>
      <c r="L48">
        <f>juli2025!K48</f>
        <v>1234</v>
      </c>
      <c r="M48">
        <f>Tabel2425678910111213141517161819212022232614151819[[#This Row],[Stand Latte Macchiato einde maand]]-Tabel2425678910111213141517161819212022232614151819[[#This Row],[Latte Macchiato vorige maand]]</f>
        <v>18</v>
      </c>
      <c r="N48" s="53">
        <v>638</v>
      </c>
      <c r="O48">
        <f>juli2025!N48</f>
        <v>628</v>
      </c>
      <c r="P48">
        <f>Tabel2425678910111213141517161819212022232614151819[[#This Row],[Stand Coffee Latte einde maand]]-Tabel2425678910111213141517161819212022232614151819[[#This Row],[Coffee Latte vorige maand]]</f>
        <v>10</v>
      </c>
      <c r="Q48" s="53">
        <v>0</v>
      </c>
      <c r="R48">
        <f>juli2025!Q48</f>
        <v>0</v>
      </c>
      <c r="S48">
        <v>0</v>
      </c>
      <c r="T48" s="53">
        <v>6020</v>
      </c>
      <c r="U48">
        <f>juli2025!T48</f>
        <v>5884</v>
      </c>
      <c r="V48">
        <f>Tabel2425678910111213141517161819212022232614151819[[#This Row],[Stand Cappucino einde maand]]-Tabel2425678910111213141517161819212022232614151819[[#This Row],[Stand Cappucino vorige maand]]</f>
        <v>136</v>
      </c>
      <c r="W48" s="53">
        <v>1394</v>
      </c>
      <c r="X48">
        <f>juli2025!W48</f>
        <v>1364</v>
      </c>
      <c r="Y48">
        <f>Tabel2425678910111213141517161819212022232614151819[[#This Row],[Stand Cappucino Plantaardig einde maand]]-Tabel2425678910111213141517161819212022232614151819[[#This Row],[Stand Cappucino Plantaardig vorige maand]]</f>
        <v>30</v>
      </c>
      <c r="Z48" s="53">
        <v>854</v>
      </c>
      <c r="AA48">
        <f>juli2025!Z48</f>
        <v>833</v>
      </c>
      <c r="AB48">
        <f>Tabel2425678910111213141517161819212022232614151819[[#This Row],[Stand Latte Macchiato Plantaardig einde maand]]-Tabel2425678910111213141517161819212022232614151819[[#This Row],[Stand Latte Macchiato Plantaardig vorige maand]]</f>
        <v>21</v>
      </c>
      <c r="AC48" s="71">
        <f>Tabel2425678910111213141517161819212022232614151819[[#This Row],[Verbruik Stand Latte Macchiato Plantaardig deze maand]]+Tabel2425678910111213141517161819212022232614151819[[#This Row],[Verbruik  Cappucino Plantaardig deze maand]]+Tabel2425678910111213141517161819212022232614151819[[#This Row],[Verbruik Cappucino deze maand]]+Tabel2425678910111213141517161819212022232614151819[[#This Row],[Verbruik Hot Water deze maand]]+Tabel2425678910111213141517161819212022232614151819[[#This Row],[Verbruik Coffee Latte deze maand]]+Tabel2425678910111213141517161819212022232614151819[[#This Row],[Verbruik Latte Macchiato deze maand]]+Tabel2425678910111213141517161819212022232614151819[[#This Row],[Verbruik Espresso deze maand]]+Tabel2425678910111213141517161819212022232614151819[[#This Row],[Verbruik Coffee deze maand]]</f>
        <v>627</v>
      </c>
      <c r="AD48" s="53">
        <v>226</v>
      </c>
      <c r="AE48">
        <f>juli2025!AD48</f>
        <v>198.2</v>
      </c>
      <c r="AF48">
        <f>Tabel2425678910111213141517161819212022232614151819[[#This Row],[Stand Kamertemp liter einde maand]]-Tabel2425678910111213141517161819212022232614151819[[#This Row],[Stand Kamertemp liter vorige maand]]</f>
        <v>27.800000000000011</v>
      </c>
      <c r="AG48" s="2">
        <f>Tabel2425678910111213141517161819212022232614151819[[#This Row],[Verbruik Kamertemp liter deze maand]]/0.15</f>
        <v>185.33333333333343</v>
      </c>
      <c r="AH48" s="53">
        <v>1653</v>
      </c>
      <c r="AI48">
        <f>juli2025!AH48</f>
        <v>1565</v>
      </c>
      <c r="AJ48">
        <f>Tabel2425678910111213141517161819212022232614151819[[#This Row],[Stand Gekoeld liter einde maand]]-Tabel2425678910111213141517161819212022232614151819[[#This Row],[Stand Gekoeld liter vorige maand]]</f>
        <v>88</v>
      </c>
      <c r="AK48" s="2">
        <f>Tabel2425678910111213141517161819212022232614151819[[#This Row],[Verbruik Gekoeld liter deze maand]]/0.15</f>
        <v>586.66666666666674</v>
      </c>
      <c r="AL48" s="53">
        <v>908.1</v>
      </c>
      <c r="AM48">
        <f>juli2025!AL48</f>
        <v>830.1</v>
      </c>
      <c r="AN48">
        <f>Tabel2425678910111213141517161819212022232614151819[[#This Row],[Stand Bruisend liter einde maand]]-Tabel2425678910111213141517161819212022232614151819[[#This Row],[Stand Bruisend liter vorige maand]]</f>
        <v>78</v>
      </c>
      <c r="AO48" s="2">
        <f>Tabel2425678910111213141517161819212022232614151819[[#This Row],[Verbruik Bruisend liter deze maand]]/0.15</f>
        <v>520</v>
      </c>
      <c r="AP48" s="53">
        <v>340.8</v>
      </c>
      <c r="AQ48">
        <f>juli2025!AP48</f>
        <v>308.2</v>
      </c>
      <c r="AR48">
        <f>Tabel2425678910111213141517161819212022232614151819[[#This Row],[Stand licht bruisend liter einde maand]]-Tabel2425678910111213141517161819212022232614151819[[#This Row],[Stand licht bruisend liter vorige maand]]</f>
        <v>32.600000000000023</v>
      </c>
      <c r="AS48" s="2">
        <f>Tabel2425678910111213141517161819212022232614151819[[#This Row],[Verbruik licht bruisend liter deze maand]]/0.15</f>
        <v>217.33333333333348</v>
      </c>
      <c r="AT48" s="53">
        <v>3148.7</v>
      </c>
      <c r="AU48">
        <f>juli2025!AT48</f>
        <v>2953.7</v>
      </c>
      <c r="AV48">
        <f>Tabel2425678910111213141517161819212022232614151819[[#This Row],[Stand heet water liter einde maand]]-Tabel2425678910111213141517161819212022232614151819[[#This Row],[Stand heet water liter vorige maand]]</f>
        <v>195</v>
      </c>
      <c r="AW48" s="2">
        <f>Tabel2425678910111213141517161819212022232614151819[[#This Row],[Verbruik heet Water liter deze maand ]]/0.15</f>
        <v>1300</v>
      </c>
      <c r="AX48" s="77">
        <f>Tabel2425678910111213141517161819212022232614151819[[#This Row],[Aantal consumpties heet water deze maand]]+Tabel2425678910111213141517161819212022232614151819[[#This Row],[Aantal consumpties licht bruisend water deze maand]]+Tabel2425678910111213141517161819212022232614151819[[#This Row],[aantal consumpties Bruisend water deze maand]]+Tabel2425678910111213141517161819212022232614151819[[#This Row],[Aantal consumpties gekoeld water deze maand]]+Tabel2425678910111213141517161819212022232614151819[[#This Row],[Aantal consumpties Kamertemp deze maand]]</f>
        <v>2809.3333333333335</v>
      </c>
      <c r="AY48" s="95">
        <f>Tabel2425678910111213141517161819212022232614151819[[#This Row],[Subtotaal waterbar in consumpties]]+Tabel2425678910111213141517161819212022232614151819[[#This Row],[Subtotaal koffieautomaten]]</f>
        <v>3436.3333333333335</v>
      </c>
    </row>
    <row r="49" spans="1:130" ht="14.45" customHeight="1" x14ac:dyDescent="0.25">
      <c r="A49" s="65" t="s">
        <v>56</v>
      </c>
      <c r="B49" t="s">
        <v>96</v>
      </c>
      <c r="C49" t="s">
        <v>36</v>
      </c>
      <c r="E49" s="46"/>
      <c r="F49" s="46"/>
      <c r="G49" s="47"/>
      <c r="H49" s="54"/>
      <c r="I49" s="46"/>
      <c r="J49" s="47"/>
      <c r="K49" s="54"/>
      <c r="L49" s="46"/>
      <c r="M49" s="47"/>
      <c r="N49" s="54"/>
      <c r="O49" s="46"/>
      <c r="P49" s="47"/>
      <c r="Q49" s="54"/>
      <c r="R49" s="46"/>
      <c r="S49" s="47"/>
      <c r="T49" s="54"/>
      <c r="U49" s="46"/>
      <c r="V49" s="47"/>
      <c r="W49" s="54"/>
      <c r="X49" s="46"/>
      <c r="Y49" s="47"/>
      <c r="Z49" s="54"/>
      <c r="AA49" s="46"/>
      <c r="AB49" s="47"/>
      <c r="AC49" s="72"/>
      <c r="AD49" s="53">
        <v>203</v>
      </c>
      <c r="AE49">
        <f>juli2025!AD49</f>
        <v>187.3</v>
      </c>
      <c r="AF49">
        <f>Tabel2425678910111213141517161819212022232614151819[[#This Row],[Stand Kamertemp liter einde maand]]-Tabel2425678910111213141517161819212022232614151819[[#This Row],[Stand Kamertemp liter vorige maand]]</f>
        <v>15.699999999999989</v>
      </c>
      <c r="AG49" s="2">
        <f>Tabel2425678910111213141517161819212022232614151819[[#This Row],[Verbruik Kamertemp liter deze maand]]/0.15</f>
        <v>104.6666666666666</v>
      </c>
      <c r="AH49" s="53">
        <v>1280.4000000000001</v>
      </c>
      <c r="AI49">
        <f>juli2025!AH49</f>
        <v>1163.5999999999999</v>
      </c>
      <c r="AJ49">
        <f>Tabel2425678910111213141517161819212022232614151819[[#This Row],[Stand Gekoeld liter einde maand]]-Tabel2425678910111213141517161819212022232614151819[[#This Row],[Stand Gekoeld liter vorige maand]]</f>
        <v>116.80000000000018</v>
      </c>
      <c r="AK49" s="2">
        <f>Tabel2425678910111213141517161819212022232614151819[[#This Row],[Verbruik Gekoeld liter deze maand]]/0.15</f>
        <v>778.66666666666788</v>
      </c>
      <c r="AL49" s="53">
        <v>545.29999999999995</v>
      </c>
      <c r="AM49">
        <f>juli2025!AL49</f>
        <v>495.6</v>
      </c>
      <c r="AN49">
        <f>Tabel2425678910111213141517161819212022232614151819[[#This Row],[Stand Bruisend liter einde maand]]-Tabel2425678910111213141517161819212022232614151819[[#This Row],[Stand Bruisend liter vorige maand]]</f>
        <v>49.699999999999932</v>
      </c>
      <c r="AO49" s="2">
        <f>Tabel2425678910111213141517161819212022232614151819[[#This Row],[Verbruik Bruisend liter deze maand]]/0.15</f>
        <v>331.33333333333292</v>
      </c>
      <c r="AP49" s="53">
        <v>288.2</v>
      </c>
      <c r="AQ49">
        <f>juli2025!AP49</f>
        <v>272.60000000000002</v>
      </c>
      <c r="AR49">
        <f>Tabel2425678910111213141517161819212022232614151819[[#This Row],[Stand licht bruisend liter einde maand]]-Tabel2425678910111213141517161819212022232614151819[[#This Row],[Stand licht bruisend liter vorige maand]]</f>
        <v>15.599999999999966</v>
      </c>
      <c r="AS49" s="2">
        <f>Tabel2425678910111213141517161819212022232614151819[[#This Row],[Verbruik licht bruisend liter deze maand]]/0.15</f>
        <v>103.99999999999977</v>
      </c>
      <c r="AT49" s="53">
        <v>2837.6</v>
      </c>
      <c r="AU49">
        <f>juli2025!AT49</f>
        <v>2662.6</v>
      </c>
      <c r="AV49">
        <f>Tabel2425678910111213141517161819212022232614151819[[#This Row],[Stand heet water liter einde maand]]-Tabel2425678910111213141517161819212022232614151819[[#This Row],[Stand heet water liter vorige maand]]</f>
        <v>175</v>
      </c>
      <c r="AW49" s="2">
        <f>Tabel2425678910111213141517161819212022232614151819[[#This Row],[Verbruik heet Water liter deze maand ]]/0.15</f>
        <v>1166.6666666666667</v>
      </c>
      <c r="AX49" s="77">
        <f>Tabel2425678910111213141517161819212022232614151819[[#This Row],[Aantal consumpties heet water deze maand]]+Tabel2425678910111213141517161819212022232614151819[[#This Row],[Aantal consumpties licht bruisend water deze maand]]+Tabel2425678910111213141517161819212022232614151819[[#This Row],[aantal consumpties Bruisend water deze maand]]+Tabel2425678910111213141517161819212022232614151819[[#This Row],[Aantal consumpties gekoeld water deze maand]]+Tabel2425678910111213141517161819212022232614151819[[#This Row],[Aantal consumpties Kamertemp deze maand]]</f>
        <v>2485.3333333333339</v>
      </c>
      <c r="AY49" s="95">
        <f>Tabel2425678910111213141517161819212022232614151819[[#This Row],[Subtotaal waterbar in consumpties]]+Tabel2425678910111213141517161819212022232614151819[[#This Row],[Subtotaal koffieautomaten]]</f>
        <v>2485.3333333333339</v>
      </c>
    </row>
    <row r="50" spans="1:130" ht="14.45" customHeight="1" x14ac:dyDescent="0.25">
      <c r="A50" s="65" t="s">
        <v>58</v>
      </c>
      <c r="B50" t="s">
        <v>97</v>
      </c>
      <c r="C50" t="s">
        <v>31</v>
      </c>
      <c r="E50">
        <v>16149</v>
      </c>
      <c r="F50">
        <f>juli2025!E50</f>
        <v>15629</v>
      </c>
      <c r="G50">
        <f>Tabel2425678910111213141517161819212022232614151819[[#This Row],[Stand Coffee einde maand]]-Tabel2425678910111213141517161819212022232614151819[[#This Row],[Coffee vorige maand]]</f>
        <v>520</v>
      </c>
      <c r="H50" s="53">
        <v>4444</v>
      </c>
      <c r="I50">
        <f>juli2025!H50</f>
        <v>4282</v>
      </c>
      <c r="J50">
        <f>Tabel2425678910111213141517161819212022232614151819[[#This Row],[Stand Espresso Einde maand]]-Tabel2425678910111213141517161819212022232614151819[[#This Row],[Espresso vorige maand]]</f>
        <v>162</v>
      </c>
      <c r="K50" s="53">
        <v>1680</v>
      </c>
      <c r="L50">
        <f>juli2025!K50</f>
        <v>1657</v>
      </c>
      <c r="M50">
        <f>Tabel2425678910111213141517161819212022232614151819[[#This Row],[Stand Latte Macchiato einde maand]]-Tabel2425678910111213141517161819212022232614151819[[#This Row],[Latte Macchiato vorige maand]]</f>
        <v>23</v>
      </c>
      <c r="N50" s="53">
        <v>1479</v>
      </c>
      <c r="O50">
        <f>juli2025!N50</f>
        <v>1444</v>
      </c>
      <c r="P50">
        <f>Tabel2425678910111213141517161819212022232614151819[[#This Row],[Stand Coffee Latte einde maand]]-Tabel2425678910111213141517161819212022232614151819[[#This Row],[Coffee Latte vorige maand]]</f>
        <v>35</v>
      </c>
      <c r="Q50" s="53">
        <v>14900</v>
      </c>
      <c r="R50">
        <f>juli2025!Q50</f>
        <v>14630</v>
      </c>
      <c r="S50">
        <f>Tabel2425678910111213141517161819212022232614151819[[#This Row],[Stand Hot Water einde maand]]-Tabel2425678910111213141517161819212022232614151819[[#This Row],[Hot Water vorige maand]]</f>
        <v>270</v>
      </c>
      <c r="T50" s="53">
        <v>9218</v>
      </c>
      <c r="U50">
        <f>juli2025!T50</f>
        <v>9104</v>
      </c>
      <c r="V50">
        <f>Tabel2425678910111213141517161819212022232614151819[[#This Row],[Stand Cappucino einde maand]]-Tabel2425678910111213141517161819212022232614151819[[#This Row],[Stand Cappucino vorige maand]]</f>
        <v>114</v>
      </c>
      <c r="W50" s="53">
        <v>1751</v>
      </c>
      <c r="X50">
        <f>juli2025!W50</f>
        <v>1716</v>
      </c>
      <c r="Y50">
        <f>Tabel2425678910111213141517161819212022232614151819[[#This Row],[Stand Cappucino Plantaardig einde maand]]-Tabel2425678910111213141517161819212022232614151819[[#This Row],[Stand Cappucino Plantaardig vorige maand]]</f>
        <v>35</v>
      </c>
      <c r="Z50" s="53">
        <v>625</v>
      </c>
      <c r="AA50">
        <f>juli2025!Z50</f>
        <v>607</v>
      </c>
      <c r="AB50">
        <f>Tabel2425678910111213141517161819212022232614151819[[#This Row],[Stand Latte Macchiato Plantaardig einde maand]]-Tabel2425678910111213141517161819212022232614151819[[#This Row],[Stand Latte Macchiato Plantaardig vorige maand]]</f>
        <v>18</v>
      </c>
      <c r="AC50" s="71">
        <f>Tabel2425678910111213141517161819212022232614151819[[#This Row],[Verbruik Stand Latte Macchiato Plantaardig deze maand]]+Tabel2425678910111213141517161819212022232614151819[[#This Row],[Verbruik  Cappucino Plantaardig deze maand]]+Tabel2425678910111213141517161819212022232614151819[[#This Row],[Verbruik Cappucino deze maand]]+Tabel2425678910111213141517161819212022232614151819[[#This Row],[Verbruik Hot Water deze maand]]+Tabel2425678910111213141517161819212022232614151819[[#This Row],[Verbruik Coffee Latte deze maand]]+Tabel2425678910111213141517161819212022232614151819[[#This Row],[Verbruik Latte Macchiato deze maand]]+Tabel2425678910111213141517161819212022232614151819[[#This Row],[Verbruik Espresso deze maand]]+Tabel2425678910111213141517161819212022232614151819[[#This Row],[Verbruik Coffee deze maand]]</f>
        <v>1177</v>
      </c>
      <c r="AD50" s="69"/>
      <c r="AE50" s="41"/>
      <c r="AF50" s="5"/>
      <c r="AG50" s="5"/>
      <c r="AH50" s="75"/>
      <c r="AI50" s="41"/>
      <c r="AJ50" s="5"/>
      <c r="AK50" s="5"/>
      <c r="AL50" s="75"/>
      <c r="AM50" s="41"/>
      <c r="AN50" s="5"/>
      <c r="AO50" s="5"/>
      <c r="AP50" s="75"/>
      <c r="AQ50" s="41"/>
      <c r="AR50" s="5"/>
      <c r="AS50" s="5"/>
      <c r="AT50" s="75"/>
      <c r="AU50" s="41"/>
      <c r="AV50" s="5"/>
      <c r="AW50" s="5"/>
      <c r="AX50" s="79"/>
      <c r="AY50" s="95">
        <f>Tabel2425678910111213141517161819212022232614151819[[#This Row],[Subtotaal waterbar in consumpties]]+Tabel2425678910111213141517161819212022232614151819[[#This Row],[Subtotaal koffieautomaten]]</f>
        <v>1177</v>
      </c>
    </row>
    <row r="51" spans="1:130" ht="14.45" customHeight="1" x14ac:dyDescent="0.25">
      <c r="A51" s="65" t="s">
        <v>60</v>
      </c>
      <c r="B51" t="s">
        <v>98</v>
      </c>
      <c r="C51" t="s">
        <v>47</v>
      </c>
      <c r="E51">
        <v>9853</v>
      </c>
      <c r="F51">
        <f>juli2025!E51</f>
        <v>9594</v>
      </c>
      <c r="G51">
        <f>Tabel2425678910111213141517161819212022232614151819[[#This Row],[Stand Coffee einde maand]]-Tabel2425678910111213141517161819212022232614151819[[#This Row],[Coffee vorige maand]]</f>
        <v>259</v>
      </c>
      <c r="H51" s="53">
        <v>3202</v>
      </c>
      <c r="I51">
        <f>juli2025!H51</f>
        <v>3133</v>
      </c>
      <c r="J51">
        <f>Tabel2425678910111213141517161819212022232614151819[[#This Row],[Stand Espresso Einde maand]]-Tabel2425678910111213141517161819212022232614151819[[#This Row],[Espresso vorige maand]]</f>
        <v>69</v>
      </c>
      <c r="K51" s="53">
        <v>907</v>
      </c>
      <c r="L51">
        <f>juli2025!K51</f>
        <v>889</v>
      </c>
      <c r="M51">
        <f>Tabel2425678910111213141517161819212022232614151819[[#This Row],[Stand Latte Macchiato einde maand]]-Tabel2425678910111213141517161819212022232614151819[[#This Row],[Latte Macchiato vorige maand]]</f>
        <v>18</v>
      </c>
      <c r="N51" s="53">
        <v>1281</v>
      </c>
      <c r="O51">
        <f>juli2025!N51</f>
        <v>1233</v>
      </c>
      <c r="P51">
        <f>Tabel2425678910111213141517161819212022232614151819[[#This Row],[Stand Coffee Latte einde maand]]-Tabel2425678910111213141517161819212022232614151819[[#This Row],[Coffee Latte vorige maand]]</f>
        <v>48</v>
      </c>
      <c r="Q51" s="53">
        <v>1</v>
      </c>
      <c r="R51">
        <f>juli2025!Q51</f>
        <v>1</v>
      </c>
      <c r="S51">
        <f>Tabel2425678910111213141517161819212022232614151819[[#This Row],[Stand Hot Water einde maand]]-Tabel2425678910111213141517161819212022232614151819[[#This Row],[Hot Water vorige maand]]</f>
        <v>0</v>
      </c>
      <c r="T51" s="53">
        <v>6523</v>
      </c>
      <c r="U51">
        <f>juli2025!T51</f>
        <v>6365</v>
      </c>
      <c r="V51">
        <f>Tabel2425678910111213141517161819212022232614151819[[#This Row],[Stand Cappucino einde maand]]-Tabel2425678910111213141517161819212022232614151819[[#This Row],[Stand Cappucino vorige maand]]</f>
        <v>158</v>
      </c>
      <c r="W51" s="53">
        <v>887</v>
      </c>
      <c r="X51">
        <f>juli2025!W51</f>
        <v>872</v>
      </c>
      <c r="Y51">
        <f>Tabel2425678910111213141517161819212022232614151819[[#This Row],[Stand Cappucino Plantaardig einde maand]]-Tabel2425678910111213141517161819212022232614151819[[#This Row],[Stand Cappucino Plantaardig vorige maand]]</f>
        <v>15</v>
      </c>
      <c r="Z51" s="53">
        <v>192</v>
      </c>
      <c r="AA51">
        <f>juli2025!Z51</f>
        <v>191</v>
      </c>
      <c r="AB51">
        <f>Tabel2425678910111213141517161819212022232614151819[[#This Row],[Stand Latte Macchiato Plantaardig einde maand]]-Tabel2425678910111213141517161819212022232614151819[[#This Row],[Stand Latte Macchiato Plantaardig vorige maand]]</f>
        <v>1</v>
      </c>
      <c r="AC51" s="71">
        <f>Tabel2425678910111213141517161819212022232614151819[[#This Row],[Verbruik Stand Latte Macchiato Plantaardig deze maand]]+Tabel2425678910111213141517161819212022232614151819[[#This Row],[Verbruik  Cappucino Plantaardig deze maand]]+Tabel2425678910111213141517161819212022232614151819[[#This Row],[Verbruik Cappucino deze maand]]+Tabel2425678910111213141517161819212022232614151819[[#This Row],[Verbruik Hot Water deze maand]]+Tabel2425678910111213141517161819212022232614151819[[#This Row],[Verbruik Coffee Latte deze maand]]+Tabel2425678910111213141517161819212022232614151819[[#This Row],[Verbruik Latte Macchiato deze maand]]+Tabel2425678910111213141517161819212022232614151819[[#This Row],[Verbruik Espresso deze maand]]+Tabel2425678910111213141517161819212022232614151819[[#This Row],[Verbruik Coffee deze maand]]</f>
        <v>568</v>
      </c>
      <c r="AD51" s="53">
        <v>69.400000000000006</v>
      </c>
      <c r="AE51">
        <f>juli2025!AD51</f>
        <v>59</v>
      </c>
      <c r="AF51">
        <f>Tabel2425678910111213141517161819212022232614151819[[#This Row],[Stand Kamertemp liter einde maand]]-Tabel2425678910111213141517161819212022232614151819[[#This Row],[Stand Kamertemp liter vorige maand]]</f>
        <v>10.400000000000006</v>
      </c>
      <c r="AG51" s="2">
        <f>Tabel2425678910111213141517161819212022232614151819[[#This Row],[Verbruik Kamertemp liter deze maand]]/0.15</f>
        <v>69.333333333333371</v>
      </c>
      <c r="AH51" s="53">
        <v>964.2</v>
      </c>
      <c r="AI51">
        <f>juli2025!AH51</f>
        <v>824.5</v>
      </c>
      <c r="AJ51">
        <f>Tabel2425678910111213141517161819212022232614151819[[#This Row],[Stand Gekoeld liter einde maand]]-Tabel2425678910111213141517161819212022232614151819[[#This Row],[Stand Gekoeld liter vorige maand]]</f>
        <v>139.70000000000005</v>
      </c>
      <c r="AK51" s="2">
        <f>Tabel2425678910111213141517161819212022232614151819[[#This Row],[Verbruik Gekoeld liter deze maand]]/0.15</f>
        <v>931.33333333333371</v>
      </c>
      <c r="AL51" s="53">
        <v>645.1</v>
      </c>
      <c r="AM51">
        <f>juli2025!AL51</f>
        <v>577.20000000000005</v>
      </c>
      <c r="AN51">
        <f>Tabel2425678910111213141517161819212022232614151819[[#This Row],[Stand Bruisend liter einde maand]]-Tabel2425678910111213141517161819212022232614151819[[#This Row],[Stand Bruisend liter vorige maand]]</f>
        <v>67.899999999999977</v>
      </c>
      <c r="AO51" s="2">
        <f>Tabel2425678910111213141517161819212022232614151819[[#This Row],[Verbruik Bruisend liter deze maand]]/0.15</f>
        <v>452.66666666666652</v>
      </c>
      <c r="AP51" s="53">
        <v>99.7</v>
      </c>
      <c r="AQ51">
        <f>juli2025!AP51</f>
        <v>89.5</v>
      </c>
      <c r="AR51">
        <f>Tabel2425678910111213141517161819212022232614151819[[#This Row],[Stand licht bruisend liter einde maand]]-Tabel2425678910111213141517161819212022232614151819[[#This Row],[Stand licht bruisend liter vorige maand]]</f>
        <v>10.200000000000003</v>
      </c>
      <c r="AS51" s="2">
        <f>Tabel2425678910111213141517161819212022232614151819[[#This Row],[Verbruik licht bruisend liter deze maand]]/0.15</f>
        <v>68.000000000000028</v>
      </c>
      <c r="AT51" s="53">
        <v>1386.3</v>
      </c>
      <c r="AU51">
        <f>juli2025!AT51</f>
        <v>1304.9000000000001</v>
      </c>
      <c r="AV51">
        <f>Tabel2425678910111213141517161819212022232614151819[[#This Row],[Stand heet water liter einde maand]]-Tabel2425678910111213141517161819212022232614151819[[#This Row],[Stand heet water liter vorige maand]]</f>
        <v>81.399999999999864</v>
      </c>
      <c r="AW51" s="2">
        <f>Tabel2425678910111213141517161819212022232614151819[[#This Row],[Verbruik heet Water liter deze maand ]]/0.15</f>
        <v>542.66666666666583</v>
      </c>
      <c r="AX51" s="77">
        <f>Tabel2425678910111213141517161819212022232614151819[[#This Row],[Aantal consumpties heet water deze maand]]+Tabel2425678910111213141517161819212022232614151819[[#This Row],[Aantal consumpties licht bruisend water deze maand]]+Tabel2425678910111213141517161819212022232614151819[[#This Row],[aantal consumpties Bruisend water deze maand]]+Tabel2425678910111213141517161819212022232614151819[[#This Row],[Aantal consumpties gekoeld water deze maand]]+Tabel2425678910111213141517161819212022232614151819[[#This Row],[Aantal consumpties Kamertemp deze maand]]</f>
        <v>2063.9999999999995</v>
      </c>
      <c r="AY51" s="95">
        <f>Tabel2425678910111213141517161819212022232614151819[[#This Row],[Subtotaal waterbar in consumpties]]+Tabel2425678910111213141517161819212022232614151819[[#This Row],[Subtotaal koffieautomaten]]</f>
        <v>2631.9999999999995</v>
      </c>
    </row>
    <row r="52" spans="1:130" s="81" customFormat="1" ht="14.45" customHeight="1" x14ac:dyDescent="0.25">
      <c r="A52" s="80" t="s">
        <v>99</v>
      </c>
      <c r="D52" s="82"/>
      <c r="H52" s="86"/>
      <c r="K52" s="86"/>
      <c r="N52" s="86"/>
      <c r="Q52" s="86"/>
      <c r="T52" s="86"/>
      <c r="W52" s="86"/>
      <c r="Z52" s="86"/>
      <c r="AC52" s="85"/>
      <c r="AD52" s="86"/>
      <c r="AG52" s="87"/>
      <c r="AH52" s="86"/>
      <c r="AK52" s="87"/>
      <c r="AL52" s="86"/>
      <c r="AO52" s="87"/>
      <c r="AP52" s="86"/>
      <c r="AS52" s="87"/>
      <c r="AT52" s="86"/>
      <c r="AW52" s="87"/>
      <c r="AX52" s="88"/>
      <c r="AY52" s="94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</row>
    <row r="53" spans="1:130" ht="14.45" customHeight="1" x14ac:dyDescent="0.25">
      <c r="A53" s="65" t="s">
        <v>43</v>
      </c>
      <c r="B53" t="s">
        <v>100</v>
      </c>
      <c r="C53" t="s">
        <v>31</v>
      </c>
      <c r="E53">
        <v>14500</v>
      </c>
      <c r="F53">
        <f>juli2025!E53</f>
        <v>13965</v>
      </c>
      <c r="G53">
        <f>Tabel2425678910111213141517161819212022232614151819[[#This Row],[Stand Coffee einde maand]]-Tabel2425678910111213141517161819212022232614151819[[#This Row],[Coffee vorige maand]]</f>
        <v>535</v>
      </c>
      <c r="H53" s="53">
        <f>824+4347</f>
        <v>5171</v>
      </c>
      <c r="I53">
        <f>juli2025!H53</f>
        <v>4995</v>
      </c>
      <c r="J53">
        <f>Tabel2425678910111213141517161819212022232614151819[[#This Row],[Stand Espresso Einde maand]]-Tabel2425678910111213141517161819212022232614151819[[#This Row],[Espresso vorige maand]]</f>
        <v>176</v>
      </c>
      <c r="K53" s="53">
        <v>1486</v>
      </c>
      <c r="L53">
        <f>juli2025!K53</f>
        <v>1435</v>
      </c>
      <c r="M53">
        <f>Tabel2425678910111213141517161819212022232614151819[[#This Row],[Stand Latte Macchiato einde maand]]-Tabel2425678910111213141517161819212022232614151819[[#This Row],[Latte Macchiato vorige maand]]</f>
        <v>51</v>
      </c>
      <c r="N53" s="53">
        <v>657</v>
      </c>
      <c r="O53">
        <f>juli2025!N53</f>
        <v>634</v>
      </c>
      <c r="P53">
        <f>Tabel2425678910111213141517161819212022232614151819[[#This Row],[Stand Coffee Latte einde maand]]-Tabel2425678910111213141517161819212022232614151819[[#This Row],[Coffee Latte vorige maand]]</f>
        <v>23</v>
      </c>
      <c r="Q53" s="53">
        <v>35244</v>
      </c>
      <c r="R53">
        <f>juli2025!Q53</f>
        <v>34296</v>
      </c>
      <c r="S53">
        <f>Tabel2425678910111213141517161819212022232614151819[[#This Row],[Stand Hot Water einde maand]]-Tabel2425678910111213141517161819212022232614151819[[#This Row],[Hot Water vorige maand]]</f>
        <v>948</v>
      </c>
      <c r="T53" s="53">
        <v>4091</v>
      </c>
      <c r="U53">
        <f>juli2025!T53</f>
        <v>4022</v>
      </c>
      <c r="V53">
        <f>Tabel2425678910111213141517161819212022232614151819[[#This Row],[Stand Cappucino einde maand]]-Tabel2425678910111213141517161819212022232614151819[[#This Row],[Stand Cappucino vorige maand]]</f>
        <v>69</v>
      </c>
      <c r="W53" s="53">
        <v>1242</v>
      </c>
      <c r="X53">
        <f>juli2025!W53</f>
        <v>1211</v>
      </c>
      <c r="Y53">
        <f>Tabel2425678910111213141517161819212022232614151819[[#This Row],[Stand Cappucino Plantaardig einde maand]]-Tabel2425678910111213141517161819212022232614151819[[#This Row],[Stand Cappucino Plantaardig vorige maand]]</f>
        <v>31</v>
      </c>
      <c r="Z53" s="53">
        <v>250</v>
      </c>
      <c r="AA53">
        <f>juli2025!Z53</f>
        <v>248</v>
      </c>
      <c r="AB53">
        <f>Tabel2425678910111213141517161819212022232614151819[[#This Row],[Stand Latte Macchiato Plantaardig einde maand]]-Tabel2425678910111213141517161819212022232614151819[[#This Row],[Stand Latte Macchiato Plantaardig vorige maand]]</f>
        <v>2</v>
      </c>
      <c r="AC53" s="71">
        <f>Tabel2425678910111213141517161819212022232614151819[[#This Row],[Verbruik Stand Latte Macchiato Plantaardig deze maand]]+Tabel2425678910111213141517161819212022232614151819[[#This Row],[Verbruik  Cappucino Plantaardig deze maand]]+Tabel2425678910111213141517161819212022232614151819[[#This Row],[Verbruik Cappucino deze maand]]+Tabel2425678910111213141517161819212022232614151819[[#This Row],[Verbruik Hot Water deze maand]]+Tabel2425678910111213141517161819212022232614151819[[#This Row],[Verbruik Coffee Latte deze maand]]+Tabel2425678910111213141517161819212022232614151819[[#This Row],[Verbruik Latte Macchiato deze maand]]+Tabel2425678910111213141517161819212022232614151819[[#This Row],[Verbruik Espresso deze maand]]+Tabel2425678910111213141517161819212022232614151819[[#This Row],[Verbruik Coffee deze maand]]</f>
        <v>1835</v>
      </c>
      <c r="AD53" s="69"/>
      <c r="AE53" s="41"/>
      <c r="AF53" s="5"/>
      <c r="AG53" s="5"/>
      <c r="AH53" s="75"/>
      <c r="AI53" s="41"/>
      <c r="AJ53" s="5"/>
      <c r="AK53" s="5"/>
      <c r="AL53" s="75"/>
      <c r="AM53" s="41"/>
      <c r="AN53" s="5"/>
      <c r="AO53" s="5"/>
      <c r="AP53" s="75"/>
      <c r="AQ53" s="41"/>
      <c r="AR53" s="5"/>
      <c r="AS53" s="5"/>
      <c r="AT53" s="75"/>
      <c r="AU53" s="41"/>
      <c r="AV53" s="5"/>
      <c r="AW53" s="5"/>
      <c r="AX53" s="79"/>
      <c r="AY53" s="95">
        <f>Tabel2425678910111213141517161819212022232614151819[[#This Row],[Subtotaal waterbar in consumpties]]+Tabel2425678910111213141517161819212022232614151819[[#This Row],[Subtotaal koffieautomaten]]</f>
        <v>1835</v>
      </c>
    </row>
    <row r="54" spans="1:130" ht="14.45" customHeight="1" x14ac:dyDescent="0.25">
      <c r="A54" s="65" t="s">
        <v>45</v>
      </c>
      <c r="B54" t="s">
        <v>101</v>
      </c>
      <c r="C54" t="s">
        <v>47</v>
      </c>
      <c r="E54">
        <v>10792</v>
      </c>
      <c r="F54">
        <f>juli2025!E54</f>
        <v>10509</v>
      </c>
      <c r="G54">
        <f>Tabel2425678910111213141517161819212022232614151819[[#This Row],[Stand Coffee einde maand]]-Tabel2425678910111213141517161819212022232614151819[[#This Row],[Coffee vorige maand]]</f>
        <v>283</v>
      </c>
      <c r="H54" s="53">
        <v>5209</v>
      </c>
      <c r="I54">
        <f>juli2025!H54</f>
        <v>5119</v>
      </c>
      <c r="J54">
        <f>Tabel2425678910111213141517161819212022232614151819[[#This Row],[Stand Espresso Einde maand]]-Tabel2425678910111213141517161819212022232614151819[[#This Row],[Espresso vorige maand]]</f>
        <v>90</v>
      </c>
      <c r="K54" s="53">
        <v>716</v>
      </c>
      <c r="L54">
        <f>juli2025!K54</f>
        <v>709</v>
      </c>
      <c r="M54">
        <f>Tabel2425678910111213141517161819212022232614151819[[#This Row],[Stand Latte Macchiato einde maand]]-Tabel2425678910111213141517161819212022232614151819[[#This Row],[Latte Macchiato vorige maand]]</f>
        <v>7</v>
      </c>
      <c r="N54" s="53">
        <v>589</v>
      </c>
      <c r="O54">
        <f>juli2025!N54</f>
        <v>574</v>
      </c>
      <c r="P54">
        <f>Tabel2425678910111213141517161819212022232614151819[[#This Row],[Stand Coffee Latte einde maand]]-Tabel2425678910111213141517161819212022232614151819[[#This Row],[Coffee Latte vorige maand]]</f>
        <v>15</v>
      </c>
      <c r="Q54" s="53">
        <v>1</v>
      </c>
      <c r="R54">
        <f>juli2025!Q54</f>
        <v>1</v>
      </c>
      <c r="S54">
        <f>Tabel2425678910111213141517161819212022232614151819[[#This Row],[Stand Hot Water einde maand]]-Tabel2425678910111213141517161819212022232614151819[[#This Row],[Hot Water vorige maand]]</f>
        <v>0</v>
      </c>
      <c r="T54" s="53">
        <v>4815</v>
      </c>
      <c r="U54">
        <f>juli2025!T54</f>
        <v>4734</v>
      </c>
      <c r="V54">
        <f>Tabel2425678910111213141517161819212022232614151819[[#This Row],[Stand Cappucino einde maand]]-Tabel2425678910111213141517161819212022232614151819[[#This Row],[Stand Cappucino vorige maand]]</f>
        <v>81</v>
      </c>
      <c r="W54" s="53">
        <v>991</v>
      </c>
      <c r="X54">
        <f>juli2025!W54</f>
        <v>972</v>
      </c>
      <c r="Y54">
        <f>Tabel2425678910111213141517161819212022232614151819[[#This Row],[Stand Cappucino Plantaardig einde maand]]-Tabel2425678910111213141517161819212022232614151819[[#This Row],[Stand Cappucino Plantaardig vorige maand]]</f>
        <v>19</v>
      </c>
      <c r="Z54" s="53">
        <v>256</v>
      </c>
      <c r="AA54">
        <f>juli2025!Z54</f>
        <v>255</v>
      </c>
      <c r="AB54">
        <f>Tabel2425678910111213141517161819212022232614151819[[#This Row],[Stand Latte Macchiato Plantaardig einde maand]]-Tabel2425678910111213141517161819212022232614151819[[#This Row],[Stand Latte Macchiato Plantaardig vorige maand]]</f>
        <v>1</v>
      </c>
      <c r="AC54" s="71">
        <f>Tabel2425678910111213141517161819212022232614151819[[#This Row],[Verbruik Stand Latte Macchiato Plantaardig deze maand]]+Tabel2425678910111213141517161819212022232614151819[[#This Row],[Verbruik  Cappucino Plantaardig deze maand]]+Tabel2425678910111213141517161819212022232614151819[[#This Row],[Verbruik Cappucino deze maand]]+Tabel2425678910111213141517161819212022232614151819[[#This Row],[Verbruik Hot Water deze maand]]+Tabel2425678910111213141517161819212022232614151819[[#This Row],[Verbruik Coffee Latte deze maand]]+Tabel2425678910111213141517161819212022232614151819[[#This Row],[Verbruik Latte Macchiato deze maand]]+Tabel2425678910111213141517161819212022232614151819[[#This Row],[Verbruik Espresso deze maand]]+Tabel2425678910111213141517161819212022232614151819[[#This Row],[Verbruik Coffee deze maand]]</f>
        <v>496</v>
      </c>
      <c r="AD54" s="53">
        <v>112.8</v>
      </c>
      <c r="AE54">
        <f>juli2025!AD54</f>
        <v>84.2</v>
      </c>
      <c r="AF54">
        <f>Tabel2425678910111213141517161819212022232614151819[[#This Row],[Stand Kamertemp liter einde maand]]-Tabel2425678910111213141517161819212022232614151819[[#This Row],[Stand Kamertemp liter vorige maand]]</f>
        <v>28.599999999999994</v>
      </c>
      <c r="AG54" s="2">
        <f>Tabel2425678910111213141517161819212022232614151819[[#This Row],[Verbruik Kamertemp liter deze maand]]/0.15</f>
        <v>190.66666666666663</v>
      </c>
      <c r="AH54" s="53">
        <v>589.6</v>
      </c>
      <c r="AI54">
        <f>juli2025!AH54</f>
        <v>490</v>
      </c>
      <c r="AJ54">
        <f>Tabel2425678910111213141517161819212022232614151819[[#This Row],[Stand Gekoeld liter einde maand]]-Tabel2425678910111213141517161819212022232614151819[[#This Row],[Stand Gekoeld liter vorige maand]]</f>
        <v>99.600000000000023</v>
      </c>
      <c r="AK54" s="2">
        <f>Tabel2425678910111213141517161819212022232614151819[[#This Row],[Verbruik Gekoeld liter deze maand]]/0.15</f>
        <v>664.00000000000023</v>
      </c>
      <c r="AL54" s="53">
        <v>523.79999999999995</v>
      </c>
      <c r="AM54">
        <f>juli2025!AL54</f>
        <v>420.8</v>
      </c>
      <c r="AN54">
        <f>Tabel2425678910111213141517161819212022232614151819[[#This Row],[Stand Bruisend liter einde maand]]-Tabel2425678910111213141517161819212022232614151819[[#This Row],[Stand Bruisend liter vorige maand]]</f>
        <v>102.99999999999994</v>
      </c>
      <c r="AO54" s="2">
        <f>Tabel2425678910111213141517161819212022232614151819[[#This Row],[Verbruik Bruisend liter deze maand]]/0.15</f>
        <v>686.66666666666629</v>
      </c>
      <c r="AP54" s="53">
        <v>81.5</v>
      </c>
      <c r="AQ54">
        <f>juli2025!AP54</f>
        <v>44.1</v>
      </c>
      <c r="AR54">
        <f>Tabel2425678910111213141517161819212022232614151819[[#This Row],[Stand licht bruisend liter einde maand]]-Tabel2425678910111213141517161819212022232614151819[[#This Row],[Stand licht bruisend liter vorige maand]]</f>
        <v>37.4</v>
      </c>
      <c r="AS54" s="2">
        <f>Tabel2425678910111213141517161819212022232614151819[[#This Row],[Verbruik licht bruisend liter deze maand]]/0.15</f>
        <v>249.33333333333334</v>
      </c>
      <c r="AT54" s="53">
        <v>1149.3</v>
      </c>
      <c r="AU54">
        <f>juli2025!AT54</f>
        <v>909</v>
      </c>
      <c r="AV54">
        <f>Tabel2425678910111213141517161819212022232614151819[[#This Row],[Stand heet water liter einde maand]]-Tabel2425678910111213141517161819212022232614151819[[#This Row],[Stand heet water liter vorige maand]]</f>
        <v>240.29999999999995</v>
      </c>
      <c r="AW54" s="2">
        <f>Tabel2425678910111213141517161819212022232614151819[[#This Row],[Verbruik heet Water liter deze maand ]]/0.15</f>
        <v>1601.9999999999998</v>
      </c>
      <c r="AX54" s="77">
        <f>Tabel2425678910111213141517161819212022232614151819[[#This Row],[Aantal consumpties heet water deze maand]]+Tabel2425678910111213141517161819212022232614151819[[#This Row],[Aantal consumpties licht bruisend water deze maand]]+Tabel2425678910111213141517161819212022232614151819[[#This Row],[aantal consumpties Bruisend water deze maand]]+Tabel2425678910111213141517161819212022232614151819[[#This Row],[Aantal consumpties gekoeld water deze maand]]+Tabel2425678910111213141517161819212022232614151819[[#This Row],[Aantal consumpties Kamertemp deze maand]]</f>
        <v>3392.6666666666656</v>
      </c>
      <c r="AY54" s="95">
        <f>Tabel2425678910111213141517161819212022232614151819[[#This Row],[Subtotaal waterbar in consumpties]]+Tabel2425678910111213141517161819212022232614151819[[#This Row],[Subtotaal koffieautomaten]]</f>
        <v>3888.6666666666656</v>
      </c>
    </row>
    <row r="55" spans="1:130" ht="14.45" customHeight="1" x14ac:dyDescent="0.25">
      <c r="A55" s="65" t="s">
        <v>48</v>
      </c>
      <c r="B55" t="s">
        <v>102</v>
      </c>
      <c r="C55" t="s">
        <v>31</v>
      </c>
      <c r="E55">
        <v>9089</v>
      </c>
      <c r="F55">
        <f>juli2025!E55</f>
        <v>8911</v>
      </c>
      <c r="G55">
        <f>Tabel2425678910111213141517161819212022232614151819[[#This Row],[Stand Coffee einde maand]]-Tabel2425678910111213141517161819212022232614151819[[#This Row],[Coffee vorige maand]]</f>
        <v>178</v>
      </c>
      <c r="H55" s="53">
        <v>2323</v>
      </c>
      <c r="I55">
        <f>juli2025!H55</f>
        <v>2305</v>
      </c>
      <c r="J55">
        <f>Tabel2425678910111213141517161819212022232614151819[[#This Row],[Stand Espresso Einde maand]]-Tabel2425678910111213141517161819212022232614151819[[#This Row],[Espresso vorige maand]]</f>
        <v>18</v>
      </c>
      <c r="K55" s="53">
        <v>902</v>
      </c>
      <c r="L55">
        <f>juli2025!K55</f>
        <v>868</v>
      </c>
      <c r="M55">
        <f>Tabel2425678910111213141517161819212022232614151819[[#This Row],[Stand Latte Macchiato einde maand]]-Tabel2425678910111213141517161819212022232614151819[[#This Row],[Latte Macchiato vorige maand]]</f>
        <v>34</v>
      </c>
      <c r="N55" s="53">
        <v>486</v>
      </c>
      <c r="O55">
        <f>juli2025!N55</f>
        <v>455</v>
      </c>
      <c r="P55">
        <f>Tabel2425678910111213141517161819212022232614151819[[#This Row],[Stand Coffee Latte einde maand]]-Tabel2425678910111213141517161819212022232614151819[[#This Row],[Coffee Latte vorige maand]]</f>
        <v>31</v>
      </c>
      <c r="Q55" s="53">
        <v>23374</v>
      </c>
      <c r="R55">
        <f>juli2025!Q55</f>
        <v>22861</v>
      </c>
      <c r="S55">
        <f>Tabel2425678910111213141517161819212022232614151819[[#This Row],[Stand Hot Water einde maand]]-Tabel2425678910111213141517161819212022232614151819[[#This Row],[Hot Water vorige maand]]</f>
        <v>513</v>
      </c>
      <c r="T55" s="53">
        <v>4114</v>
      </c>
      <c r="U55">
        <f>juli2025!T55</f>
        <v>4050</v>
      </c>
      <c r="V55">
        <f>Tabel2425678910111213141517161819212022232614151819[[#This Row],[Stand Cappucino einde maand]]-Tabel2425678910111213141517161819212022232614151819[[#This Row],[Stand Cappucino vorige maand]]</f>
        <v>64</v>
      </c>
      <c r="W55" s="53">
        <v>1940</v>
      </c>
      <c r="X55">
        <f>juli2025!W55</f>
        <v>1911</v>
      </c>
      <c r="Y55">
        <f>Tabel2425678910111213141517161819212022232614151819[[#This Row],[Stand Cappucino Plantaardig einde maand]]-Tabel2425678910111213141517161819212022232614151819[[#This Row],[Stand Cappucino Plantaardig vorige maand]]</f>
        <v>29</v>
      </c>
      <c r="Z55" s="53">
        <v>250</v>
      </c>
      <c r="AA55">
        <f>juli2025!Z55</f>
        <v>236</v>
      </c>
      <c r="AB55">
        <f>Tabel2425678910111213141517161819212022232614151819[[#This Row],[Stand Latte Macchiato Plantaardig einde maand]]-Tabel2425678910111213141517161819212022232614151819[[#This Row],[Stand Latte Macchiato Plantaardig vorige maand]]</f>
        <v>14</v>
      </c>
      <c r="AC55" s="71">
        <f>Tabel2425678910111213141517161819212022232614151819[[#This Row],[Verbruik Stand Latte Macchiato Plantaardig deze maand]]+Tabel2425678910111213141517161819212022232614151819[[#This Row],[Verbruik  Cappucino Plantaardig deze maand]]+Tabel2425678910111213141517161819212022232614151819[[#This Row],[Verbruik Cappucino deze maand]]+Tabel2425678910111213141517161819212022232614151819[[#This Row],[Verbruik Hot Water deze maand]]+Tabel2425678910111213141517161819212022232614151819[[#This Row],[Verbruik Coffee Latte deze maand]]+Tabel2425678910111213141517161819212022232614151819[[#This Row],[Verbruik Latte Macchiato deze maand]]+Tabel2425678910111213141517161819212022232614151819[[#This Row],[Verbruik Espresso deze maand]]+Tabel2425678910111213141517161819212022232614151819[[#This Row],[Verbruik Coffee deze maand]]</f>
        <v>881</v>
      </c>
      <c r="AD55" s="69"/>
      <c r="AE55" s="41"/>
      <c r="AF55" s="5"/>
      <c r="AG55" s="5"/>
      <c r="AH55" s="75"/>
      <c r="AI55" s="41"/>
      <c r="AJ55" s="5"/>
      <c r="AK55" s="5"/>
      <c r="AL55" s="75"/>
      <c r="AM55" s="41"/>
      <c r="AN55" s="5"/>
      <c r="AO55" s="5"/>
      <c r="AP55" s="75"/>
      <c r="AQ55" s="41"/>
      <c r="AR55" s="5"/>
      <c r="AS55" s="5"/>
      <c r="AT55" s="75"/>
      <c r="AU55" s="41"/>
      <c r="AV55" s="5"/>
      <c r="AW55" s="5"/>
      <c r="AX55" s="79"/>
      <c r="AY55" s="95">
        <f>Tabel2425678910111213141517161819212022232614151819[[#This Row],[Subtotaal waterbar in consumpties]]+Tabel2425678910111213141517161819212022232614151819[[#This Row],[Subtotaal koffieautomaten]]</f>
        <v>881</v>
      </c>
    </row>
    <row r="56" spans="1:130" ht="14.45" customHeight="1" x14ac:dyDescent="0.25">
      <c r="A56" s="65" t="s">
        <v>50</v>
      </c>
      <c r="B56" t="s">
        <v>103</v>
      </c>
      <c r="C56" t="s">
        <v>47</v>
      </c>
      <c r="E56">
        <v>9470</v>
      </c>
      <c r="F56">
        <f>juli2025!E56</f>
        <v>9305</v>
      </c>
      <c r="G56">
        <f>Tabel2425678910111213141517161819212022232614151819[[#This Row],[Stand Coffee einde maand]]-Tabel2425678910111213141517161819212022232614151819[[#This Row],[Coffee vorige maand]]</f>
        <v>165</v>
      </c>
      <c r="H56" s="53">
        <v>4124</v>
      </c>
      <c r="I56">
        <f>juli2025!H56</f>
        <v>4023</v>
      </c>
      <c r="J56">
        <f>Tabel2425678910111213141517161819212022232614151819[[#This Row],[Stand Espresso Einde maand]]-Tabel2425678910111213141517161819212022232614151819[[#This Row],[Espresso vorige maand]]</f>
        <v>101</v>
      </c>
      <c r="K56" s="53">
        <v>336</v>
      </c>
      <c r="L56">
        <f>juli2025!K56</f>
        <v>332</v>
      </c>
      <c r="M56">
        <f>Tabel2425678910111213141517161819212022232614151819[[#This Row],[Stand Latte Macchiato einde maand]]-Tabel2425678910111213141517161819212022232614151819[[#This Row],[Latte Macchiato vorige maand]]</f>
        <v>4</v>
      </c>
      <c r="N56" s="53">
        <v>134</v>
      </c>
      <c r="O56">
        <f>juli2025!N56</f>
        <v>132</v>
      </c>
      <c r="P56">
        <f>Tabel2425678910111213141517161819212022232614151819[[#This Row],[Stand Coffee Latte einde maand]]-Tabel2425678910111213141517161819212022232614151819[[#This Row],[Coffee Latte vorige maand]]</f>
        <v>2</v>
      </c>
      <c r="Q56" s="53">
        <v>1</v>
      </c>
      <c r="R56">
        <f>juli2025!Q56</f>
        <v>1</v>
      </c>
      <c r="S56">
        <f>Tabel2425678910111213141517161819212022232614151819[[#This Row],[Stand Hot Water einde maand]]-Tabel2425678910111213141517161819212022232614151819[[#This Row],[Hot Water vorige maand]]</f>
        <v>0</v>
      </c>
      <c r="T56" s="53">
        <v>7176</v>
      </c>
      <c r="U56">
        <f>juli2025!T56</f>
        <v>7137</v>
      </c>
      <c r="V56">
        <f>Tabel2425678910111213141517161819212022232614151819[[#This Row],[Stand Cappucino einde maand]]-Tabel2425678910111213141517161819212022232614151819[[#This Row],[Stand Cappucino vorige maand]]</f>
        <v>39</v>
      </c>
      <c r="W56" s="53">
        <v>673</v>
      </c>
      <c r="X56">
        <f>juli2025!W56</f>
        <v>636</v>
      </c>
      <c r="Y56">
        <f>Tabel2425678910111213141517161819212022232614151819[[#This Row],[Stand Cappucino Plantaardig einde maand]]-Tabel2425678910111213141517161819212022232614151819[[#This Row],[Stand Cappucino Plantaardig vorige maand]]</f>
        <v>37</v>
      </c>
      <c r="Z56" s="53">
        <v>130</v>
      </c>
      <c r="AA56">
        <f>juli2025!Z56</f>
        <v>126</v>
      </c>
      <c r="AB56">
        <f>Tabel2425678910111213141517161819212022232614151819[[#This Row],[Stand Latte Macchiato Plantaardig einde maand]]-Tabel2425678910111213141517161819212022232614151819[[#This Row],[Stand Latte Macchiato Plantaardig vorige maand]]</f>
        <v>4</v>
      </c>
      <c r="AC56" s="71">
        <f>Tabel2425678910111213141517161819212022232614151819[[#This Row],[Verbruik Stand Latte Macchiato Plantaardig deze maand]]+Tabel2425678910111213141517161819212022232614151819[[#This Row],[Verbruik  Cappucino Plantaardig deze maand]]+Tabel2425678910111213141517161819212022232614151819[[#This Row],[Verbruik Cappucino deze maand]]+Tabel2425678910111213141517161819212022232614151819[[#This Row],[Verbruik Hot Water deze maand]]+Tabel2425678910111213141517161819212022232614151819[[#This Row],[Verbruik Coffee Latte deze maand]]+Tabel2425678910111213141517161819212022232614151819[[#This Row],[Verbruik Latte Macchiato deze maand]]+Tabel2425678910111213141517161819212022232614151819[[#This Row],[Verbruik Espresso deze maand]]+Tabel2425678910111213141517161819212022232614151819[[#This Row],[Verbruik Coffee deze maand]]</f>
        <v>352</v>
      </c>
      <c r="AD56" s="53">
        <v>118.7</v>
      </c>
      <c r="AE56">
        <f>juli2025!AD56</f>
        <v>104.5</v>
      </c>
      <c r="AF56">
        <f>Tabel2425678910111213141517161819212022232614151819[[#This Row],[Stand Kamertemp liter einde maand]]-Tabel2425678910111213141517161819212022232614151819[[#This Row],[Stand Kamertemp liter vorige maand]]</f>
        <v>14.200000000000003</v>
      </c>
      <c r="AG56" s="2">
        <f>Tabel2425678910111213141517161819212022232614151819[[#This Row],[Verbruik Kamertemp liter deze maand]]/0.15</f>
        <v>94.666666666666686</v>
      </c>
      <c r="AH56" s="53">
        <v>688.6</v>
      </c>
      <c r="AI56">
        <f>juli2025!AH56</f>
        <v>615.70000000000005</v>
      </c>
      <c r="AJ56">
        <f>Tabel2425678910111213141517161819212022232614151819[[#This Row],[Stand Gekoeld liter einde maand]]-Tabel2425678910111213141517161819212022232614151819[[#This Row],[Stand Gekoeld liter vorige maand]]</f>
        <v>72.899999999999977</v>
      </c>
      <c r="AK56" s="2">
        <f>Tabel2425678910111213141517161819212022232614151819[[#This Row],[Verbruik Gekoeld liter deze maand]]/0.15</f>
        <v>485.99999999999989</v>
      </c>
      <c r="AL56" s="53">
        <v>753.8</v>
      </c>
      <c r="AM56">
        <f>juli2025!AL56</f>
        <v>661.6</v>
      </c>
      <c r="AN56">
        <f>Tabel2425678910111213141517161819212022232614151819[[#This Row],[Stand Bruisend liter einde maand]]-Tabel2425678910111213141517161819212022232614151819[[#This Row],[Stand Bruisend liter vorige maand]]</f>
        <v>92.199999999999932</v>
      </c>
      <c r="AO56" s="2">
        <f>Tabel2425678910111213141517161819212022232614151819[[#This Row],[Verbruik Bruisend liter deze maand]]/0.15</f>
        <v>614.66666666666629</v>
      </c>
      <c r="AP56" s="53">
        <v>265</v>
      </c>
      <c r="AQ56">
        <f>juli2025!AP56</f>
        <v>235.2</v>
      </c>
      <c r="AR56">
        <f>Tabel2425678910111213141517161819212022232614151819[[#This Row],[Stand licht bruisend liter einde maand]]-Tabel2425678910111213141517161819212022232614151819[[#This Row],[Stand licht bruisend liter vorige maand]]</f>
        <v>29.800000000000011</v>
      </c>
      <c r="AS56" s="2">
        <f>Tabel2425678910111213141517161819212022232614151819[[#This Row],[Verbruik licht bruisend liter deze maand]]/0.15</f>
        <v>198.66666666666674</v>
      </c>
      <c r="AT56" s="53">
        <v>2279.9</v>
      </c>
      <c r="AU56">
        <f>juli2025!AT56</f>
        <v>2104</v>
      </c>
      <c r="AV56">
        <f>Tabel2425678910111213141517161819212022232614151819[[#This Row],[Stand heet water liter einde maand]]-Tabel2425678910111213141517161819212022232614151819[[#This Row],[Stand heet water liter vorige maand]]</f>
        <v>175.90000000000009</v>
      </c>
      <c r="AW56" s="2">
        <f>Tabel2425678910111213141517161819212022232614151819[[#This Row],[Verbruik heet Water liter deze maand ]]/0.15</f>
        <v>1172.6666666666674</v>
      </c>
      <c r="AX56" s="77">
        <f>Tabel2425678910111213141517161819212022232614151819[[#This Row],[Aantal consumpties heet water deze maand]]+Tabel2425678910111213141517161819212022232614151819[[#This Row],[Aantal consumpties licht bruisend water deze maand]]+Tabel2425678910111213141517161819212022232614151819[[#This Row],[aantal consumpties Bruisend water deze maand]]+Tabel2425678910111213141517161819212022232614151819[[#This Row],[Aantal consumpties gekoeld water deze maand]]+Tabel2425678910111213141517161819212022232614151819[[#This Row],[Aantal consumpties Kamertemp deze maand]]</f>
        <v>2566.666666666667</v>
      </c>
      <c r="AY56" s="95">
        <f>Tabel2425678910111213141517161819212022232614151819[[#This Row],[Subtotaal waterbar in consumpties]]+Tabel2425678910111213141517161819212022232614151819[[#This Row],[Subtotaal koffieautomaten]]</f>
        <v>2918.666666666667</v>
      </c>
    </row>
    <row r="57" spans="1:130" ht="14.45" customHeight="1" x14ac:dyDescent="0.25">
      <c r="A57" s="65" t="s">
        <v>52</v>
      </c>
      <c r="B57" t="s">
        <v>104</v>
      </c>
      <c r="C57" t="s">
        <v>47</v>
      </c>
      <c r="E57">
        <v>4886</v>
      </c>
      <c r="F57">
        <f>juli2025!E57</f>
        <v>4721</v>
      </c>
      <c r="G57">
        <f>Tabel2425678910111213141517161819212022232614151819[[#This Row],[Stand Coffee einde maand]]-Tabel2425678910111213141517161819212022232614151819[[#This Row],[Coffee vorige maand]]</f>
        <v>165</v>
      </c>
      <c r="H57" s="53">
        <v>819</v>
      </c>
      <c r="I57">
        <f>juli2025!H57</f>
        <v>797</v>
      </c>
      <c r="J57">
        <f>Tabel2425678910111213141517161819212022232614151819[[#This Row],[Stand Espresso Einde maand]]-Tabel2425678910111213141517161819212022232614151819[[#This Row],[Espresso vorige maand]]</f>
        <v>22</v>
      </c>
      <c r="K57" s="53">
        <v>446</v>
      </c>
      <c r="L57">
        <f>juli2025!K57</f>
        <v>432</v>
      </c>
      <c r="M57">
        <f>Tabel2425678910111213141517161819212022232614151819[[#This Row],[Stand Latte Macchiato einde maand]]-Tabel2425678910111213141517161819212022232614151819[[#This Row],[Latte Macchiato vorige maand]]</f>
        <v>14</v>
      </c>
      <c r="N57" s="53">
        <v>1056</v>
      </c>
      <c r="O57">
        <f>juli2025!N57</f>
        <v>1040</v>
      </c>
      <c r="P57">
        <f>Tabel2425678910111213141517161819212022232614151819[[#This Row],[Stand Coffee Latte einde maand]]-Tabel2425678910111213141517161819212022232614151819[[#This Row],[Coffee Latte vorige maand]]</f>
        <v>16</v>
      </c>
      <c r="Q57" s="53">
        <v>881</v>
      </c>
      <c r="R57">
        <f>juli2025!Q57</f>
        <v>849</v>
      </c>
      <c r="S57">
        <f>Tabel2425678910111213141517161819212022232614151819[[#This Row],[Stand Hot Water einde maand]]-Tabel2425678910111213141517161819212022232614151819[[#This Row],[Hot Water vorige maand]]</f>
        <v>32</v>
      </c>
      <c r="T57" s="53">
        <v>4945</v>
      </c>
      <c r="U57">
        <f>juli2025!T57</f>
        <v>4732</v>
      </c>
      <c r="V57">
        <f>Tabel2425678910111213141517161819212022232614151819[[#This Row],[Stand Cappucino einde maand]]-Tabel2425678910111213141517161819212022232614151819[[#This Row],[Stand Cappucino vorige maand]]</f>
        <v>213</v>
      </c>
      <c r="W57" s="53">
        <v>881</v>
      </c>
      <c r="X57">
        <f>juli2025!W57</f>
        <v>845</v>
      </c>
      <c r="Y57">
        <f>Tabel2425678910111213141517161819212022232614151819[[#This Row],[Stand Cappucino Plantaardig einde maand]]-Tabel2425678910111213141517161819212022232614151819[[#This Row],[Stand Cappucino Plantaardig vorige maand]]</f>
        <v>36</v>
      </c>
      <c r="Z57" s="53">
        <v>131</v>
      </c>
      <c r="AA57">
        <f>juli2025!Z57</f>
        <v>113</v>
      </c>
      <c r="AB57">
        <f>Tabel2425678910111213141517161819212022232614151819[[#This Row],[Stand Latte Macchiato Plantaardig einde maand]]-Tabel2425678910111213141517161819212022232614151819[[#This Row],[Stand Latte Macchiato Plantaardig vorige maand]]</f>
        <v>18</v>
      </c>
      <c r="AC57" s="71">
        <f>Tabel2425678910111213141517161819212022232614151819[[#This Row],[Verbruik Stand Latte Macchiato Plantaardig deze maand]]+Tabel2425678910111213141517161819212022232614151819[[#This Row],[Verbruik  Cappucino Plantaardig deze maand]]+Tabel2425678910111213141517161819212022232614151819[[#This Row],[Verbruik Cappucino deze maand]]+Tabel2425678910111213141517161819212022232614151819[[#This Row],[Verbruik Hot Water deze maand]]+Tabel2425678910111213141517161819212022232614151819[[#This Row],[Verbruik Coffee Latte deze maand]]+Tabel2425678910111213141517161819212022232614151819[[#This Row],[Verbruik Latte Macchiato deze maand]]+Tabel2425678910111213141517161819212022232614151819[[#This Row],[Verbruik Espresso deze maand]]+Tabel2425678910111213141517161819212022232614151819[[#This Row],[Verbruik Coffee deze maand]]</f>
        <v>516</v>
      </c>
      <c r="AD57" s="53">
        <v>5.8</v>
      </c>
      <c r="AE57">
        <f>juli2025!AD57</f>
        <v>1.4</v>
      </c>
      <c r="AF57">
        <f>Tabel2425678910111213141517161819212022232614151819[[#This Row],[Stand Kamertemp liter einde maand]]-Tabel2425678910111213141517161819212022232614151819[[#This Row],[Stand Kamertemp liter vorige maand]]</f>
        <v>4.4000000000000004</v>
      </c>
      <c r="AG57" s="2">
        <f>Tabel2425678910111213141517161819212022232614151819[[#This Row],[Verbruik Kamertemp liter deze maand]]/0.15</f>
        <v>29.333333333333336</v>
      </c>
      <c r="AH57" s="53">
        <v>162.5</v>
      </c>
      <c r="AI57">
        <f>juli2025!AH57</f>
        <v>66.900000000000006</v>
      </c>
      <c r="AJ57">
        <f>Tabel2425678910111213141517161819212022232614151819[[#This Row],[Stand Gekoeld liter einde maand]]-Tabel2425678910111213141517161819212022232614151819[[#This Row],[Stand Gekoeld liter vorige maand]]</f>
        <v>95.6</v>
      </c>
      <c r="AK57" s="2">
        <f>Tabel2425678910111213141517161819212022232614151819[[#This Row],[Verbruik Gekoeld liter deze maand]]/0.15</f>
        <v>637.33333333333337</v>
      </c>
      <c r="AL57" s="53">
        <v>66.7</v>
      </c>
      <c r="AM57">
        <f>juli2025!AL57</f>
        <v>34.700000000000003</v>
      </c>
      <c r="AN57">
        <f>Tabel2425678910111213141517161819212022232614151819[[#This Row],[Stand Bruisend liter einde maand]]-Tabel2425678910111213141517161819212022232614151819[[#This Row],[Stand Bruisend liter vorige maand]]</f>
        <v>32</v>
      </c>
      <c r="AO57" s="2">
        <f>Tabel2425678910111213141517161819212022232614151819[[#This Row],[Verbruik Bruisend liter deze maand]]/0.15</f>
        <v>213.33333333333334</v>
      </c>
      <c r="AP57" s="53">
        <v>28.1</v>
      </c>
      <c r="AQ57">
        <f>juli2025!AP57</f>
        <v>13.2</v>
      </c>
      <c r="AR57">
        <f>Tabel2425678910111213141517161819212022232614151819[[#This Row],[Stand licht bruisend liter einde maand]]-Tabel2425678910111213141517161819212022232614151819[[#This Row],[Stand licht bruisend liter vorige maand]]</f>
        <v>14.900000000000002</v>
      </c>
      <c r="AS57" s="2">
        <f>Tabel2425678910111213141517161819212022232614151819[[#This Row],[Verbruik licht bruisend liter deze maand]]/0.15</f>
        <v>99.333333333333357</v>
      </c>
      <c r="AT57" s="53">
        <v>339.1</v>
      </c>
      <c r="AU57">
        <f>juli2025!AT57</f>
        <v>118.3</v>
      </c>
      <c r="AV57">
        <f>Tabel2425678910111213141517161819212022232614151819[[#This Row],[Stand heet water liter einde maand]]-Tabel2425678910111213141517161819212022232614151819[[#This Row],[Stand heet water liter vorige maand]]</f>
        <v>220.8</v>
      </c>
      <c r="AW57" s="2">
        <f>Tabel2425678910111213141517161819212022232614151819[[#This Row],[Verbruik heet Water liter deze maand ]]/0.15</f>
        <v>1472.0000000000002</v>
      </c>
      <c r="AX57" s="77">
        <f>Tabel2425678910111213141517161819212022232614151819[[#This Row],[Aantal consumpties heet water deze maand]]+Tabel2425678910111213141517161819212022232614151819[[#This Row],[Aantal consumpties licht bruisend water deze maand]]+Tabel2425678910111213141517161819212022232614151819[[#This Row],[aantal consumpties Bruisend water deze maand]]+Tabel2425678910111213141517161819212022232614151819[[#This Row],[Aantal consumpties gekoeld water deze maand]]+Tabel2425678910111213141517161819212022232614151819[[#This Row],[Aantal consumpties Kamertemp deze maand]]</f>
        <v>2451.3333333333335</v>
      </c>
      <c r="AY57" s="95">
        <f>Tabel2425678910111213141517161819212022232614151819[[#This Row],[Subtotaal waterbar in consumpties]]+Tabel2425678910111213141517161819212022232614151819[[#This Row],[Subtotaal koffieautomaten]]</f>
        <v>2967.3333333333335</v>
      </c>
    </row>
    <row r="58" spans="1:130" ht="14.45" customHeight="1" x14ac:dyDescent="0.25">
      <c r="A58" s="65" t="s">
        <v>54</v>
      </c>
      <c r="B58" t="s">
        <v>105</v>
      </c>
      <c r="C58" t="s">
        <v>31</v>
      </c>
      <c r="E58">
        <v>8350</v>
      </c>
      <c r="F58">
        <f>juli2025!E58</f>
        <v>8221</v>
      </c>
      <c r="G58">
        <f>Tabel2425678910111213141517161819212022232614151819[[#This Row],[Stand Coffee einde maand]]-Tabel2425678910111213141517161819212022232614151819[[#This Row],[Coffee vorige maand]]</f>
        <v>129</v>
      </c>
      <c r="H58" s="53">
        <v>3836</v>
      </c>
      <c r="I58">
        <f>juli2025!H58</f>
        <v>3775</v>
      </c>
      <c r="J58">
        <f>Tabel2425678910111213141517161819212022232614151819[[#This Row],[Stand Espresso Einde maand]]-Tabel2425678910111213141517161819212022232614151819[[#This Row],[Espresso vorige maand]]</f>
        <v>61</v>
      </c>
      <c r="K58" s="53">
        <v>3431</v>
      </c>
      <c r="L58">
        <f>juli2025!K58</f>
        <v>3387</v>
      </c>
      <c r="M58">
        <f>Tabel2425678910111213141517161819212022232614151819[[#This Row],[Stand Latte Macchiato einde maand]]-Tabel2425678910111213141517161819212022232614151819[[#This Row],[Latte Macchiato vorige maand]]</f>
        <v>44</v>
      </c>
      <c r="N58" s="53">
        <v>1086</v>
      </c>
      <c r="O58">
        <f>juli2025!N58</f>
        <v>1046</v>
      </c>
      <c r="P58">
        <f>Tabel2425678910111213141517161819212022232614151819[[#This Row],[Stand Coffee Latte einde maand]]-Tabel2425678910111213141517161819212022232614151819[[#This Row],[Coffee Latte vorige maand]]</f>
        <v>40</v>
      </c>
      <c r="Q58" s="53">
        <v>36204</v>
      </c>
      <c r="R58">
        <f>juli2025!Q58</f>
        <v>35797</v>
      </c>
      <c r="S58">
        <f>Tabel2425678910111213141517161819212022232614151819[[#This Row],[Stand Hot Water einde maand]]-Tabel2425678910111213141517161819212022232614151819[[#This Row],[Hot Water vorige maand]]</f>
        <v>407</v>
      </c>
      <c r="T58" s="53">
        <v>6805</v>
      </c>
      <c r="U58">
        <f>juli2025!T58</f>
        <v>6692</v>
      </c>
      <c r="V58">
        <f>Tabel2425678910111213141517161819212022232614151819[[#This Row],[Stand Cappucino einde maand]]-Tabel2425678910111213141517161819212022232614151819[[#This Row],[Stand Cappucino vorige maand]]</f>
        <v>113</v>
      </c>
      <c r="W58" s="53">
        <v>1124</v>
      </c>
      <c r="X58">
        <f>juli2025!W58</f>
        <v>1108</v>
      </c>
      <c r="Y58">
        <f>Tabel2425678910111213141517161819212022232614151819[[#This Row],[Stand Cappucino Plantaardig einde maand]]-Tabel2425678910111213141517161819212022232614151819[[#This Row],[Stand Cappucino Plantaardig vorige maand]]</f>
        <v>16</v>
      </c>
      <c r="Z58" s="53">
        <v>272</v>
      </c>
      <c r="AA58">
        <f>juli2025!Z58</f>
        <v>266</v>
      </c>
      <c r="AB58">
        <f>Tabel2425678910111213141517161819212022232614151819[[#This Row],[Stand Latte Macchiato Plantaardig einde maand]]-Tabel2425678910111213141517161819212022232614151819[[#This Row],[Stand Latte Macchiato Plantaardig vorige maand]]</f>
        <v>6</v>
      </c>
      <c r="AC58" s="71">
        <f>Tabel2425678910111213141517161819212022232614151819[[#This Row],[Verbruik Stand Latte Macchiato Plantaardig deze maand]]+Tabel2425678910111213141517161819212022232614151819[[#This Row],[Verbruik  Cappucino Plantaardig deze maand]]+Tabel2425678910111213141517161819212022232614151819[[#This Row],[Verbruik Cappucino deze maand]]+Tabel2425678910111213141517161819212022232614151819[[#This Row],[Verbruik Hot Water deze maand]]+Tabel2425678910111213141517161819212022232614151819[[#This Row],[Verbruik Coffee Latte deze maand]]+Tabel2425678910111213141517161819212022232614151819[[#This Row],[Verbruik Latte Macchiato deze maand]]+Tabel2425678910111213141517161819212022232614151819[[#This Row],[Verbruik Espresso deze maand]]+Tabel2425678910111213141517161819212022232614151819[[#This Row],[Verbruik Coffee deze maand]]</f>
        <v>816</v>
      </c>
      <c r="AD58" s="69"/>
      <c r="AE58" s="41"/>
      <c r="AF58" s="5"/>
      <c r="AG58" s="5"/>
      <c r="AH58" s="75"/>
      <c r="AI58" s="41"/>
      <c r="AJ58" s="5"/>
      <c r="AK58" s="5"/>
      <c r="AL58" s="75"/>
      <c r="AM58" s="41"/>
      <c r="AN58" s="5"/>
      <c r="AO58" s="5"/>
      <c r="AP58" s="75"/>
      <c r="AQ58" s="41"/>
      <c r="AR58" s="5"/>
      <c r="AS58" s="5"/>
      <c r="AT58" s="75"/>
      <c r="AU58" s="41"/>
      <c r="AV58" s="5"/>
      <c r="AW58" s="5"/>
      <c r="AX58" s="79"/>
      <c r="AY58" s="95">
        <f>Tabel2425678910111213141517161819212022232614151819[[#This Row],[Subtotaal waterbar in consumpties]]+Tabel2425678910111213141517161819212022232614151819[[#This Row],[Subtotaal koffieautomaten]]</f>
        <v>816</v>
      </c>
    </row>
    <row r="59" spans="1:130" ht="14.45" customHeight="1" x14ac:dyDescent="0.25">
      <c r="A59" s="65" t="s">
        <v>56</v>
      </c>
      <c r="B59" t="s">
        <v>106</v>
      </c>
      <c r="C59" t="s">
        <v>47</v>
      </c>
      <c r="E59">
        <v>13166</v>
      </c>
      <c r="F59">
        <f>juli2025!E59</f>
        <v>12781</v>
      </c>
      <c r="G59">
        <f>Tabel2425678910111213141517161819212022232614151819[[#This Row],[Stand Coffee einde maand]]-Tabel2425678910111213141517161819212022232614151819[[#This Row],[Coffee vorige maand]]</f>
        <v>385</v>
      </c>
      <c r="H59" s="53">
        <v>3866</v>
      </c>
      <c r="I59">
        <f>juli2025!H59</f>
        <v>3742</v>
      </c>
      <c r="J59">
        <f>Tabel2425678910111213141517161819212022232614151819[[#This Row],[Stand Espresso Einde maand]]-Tabel2425678910111213141517161819212022232614151819[[#This Row],[Espresso vorige maand]]</f>
        <v>124</v>
      </c>
      <c r="K59" s="53">
        <v>3586</v>
      </c>
      <c r="L59">
        <f>juli2025!K59</f>
        <v>3518</v>
      </c>
      <c r="M59">
        <f>Tabel2425678910111213141517161819212022232614151819[[#This Row],[Stand Latte Macchiato einde maand]]-Tabel2425678910111213141517161819212022232614151819[[#This Row],[Latte Macchiato vorige maand]]</f>
        <v>68</v>
      </c>
      <c r="N59" s="53">
        <v>407</v>
      </c>
      <c r="O59">
        <f>juli2025!N59</f>
        <v>398</v>
      </c>
      <c r="P59">
        <f>Tabel2425678910111213141517161819212022232614151819[[#This Row],[Stand Coffee Latte einde maand]]-Tabel2425678910111213141517161819212022232614151819[[#This Row],[Coffee Latte vorige maand]]</f>
        <v>9</v>
      </c>
      <c r="Q59" s="53">
        <v>1</v>
      </c>
      <c r="R59">
        <f>juli2025!Q59</f>
        <v>1</v>
      </c>
      <c r="S59">
        <f>Tabel2425678910111213141517161819212022232614151819[[#This Row],[Stand Hot Water einde maand]]-Tabel2425678910111213141517161819212022232614151819[[#This Row],[Hot Water vorige maand]]</f>
        <v>0</v>
      </c>
      <c r="T59" s="53">
        <v>7035</v>
      </c>
      <c r="U59">
        <f>juli2025!T59</f>
        <v>6899</v>
      </c>
      <c r="V59">
        <f>Tabel2425678910111213141517161819212022232614151819[[#This Row],[Stand Cappucino einde maand]]-Tabel2425678910111213141517161819212022232614151819[[#This Row],[Stand Cappucino vorige maand]]</f>
        <v>136</v>
      </c>
      <c r="W59" s="53">
        <v>1328</v>
      </c>
      <c r="X59">
        <f>juli2025!W59</f>
        <v>1316</v>
      </c>
      <c r="Y59">
        <f>Tabel2425678910111213141517161819212022232614151819[[#This Row],[Stand Cappucino Plantaardig einde maand]]-Tabel2425678910111213141517161819212022232614151819[[#This Row],[Stand Cappucino Plantaardig vorige maand]]</f>
        <v>12</v>
      </c>
      <c r="Z59" s="53">
        <v>186</v>
      </c>
      <c r="AA59">
        <f>juli2025!Z59</f>
        <v>179</v>
      </c>
      <c r="AB59">
        <f>Tabel2425678910111213141517161819212022232614151819[[#This Row],[Stand Latte Macchiato Plantaardig einde maand]]-Tabel2425678910111213141517161819212022232614151819[[#This Row],[Stand Latte Macchiato Plantaardig vorige maand]]</f>
        <v>7</v>
      </c>
      <c r="AC59" s="71">
        <f>Tabel2425678910111213141517161819212022232614151819[[#This Row],[Verbruik Stand Latte Macchiato Plantaardig deze maand]]+Tabel2425678910111213141517161819212022232614151819[[#This Row],[Verbruik  Cappucino Plantaardig deze maand]]+Tabel2425678910111213141517161819212022232614151819[[#This Row],[Verbruik Cappucino deze maand]]+Tabel2425678910111213141517161819212022232614151819[[#This Row],[Verbruik Hot Water deze maand]]+Tabel2425678910111213141517161819212022232614151819[[#This Row],[Verbruik Coffee Latte deze maand]]+Tabel2425678910111213141517161819212022232614151819[[#This Row],[Verbruik Latte Macchiato deze maand]]+Tabel2425678910111213141517161819212022232614151819[[#This Row],[Verbruik Espresso deze maand]]+Tabel2425678910111213141517161819212022232614151819[[#This Row],[Verbruik Coffee deze maand]]</f>
        <v>741</v>
      </c>
      <c r="AD59" s="53">
        <v>385.9</v>
      </c>
      <c r="AE59">
        <f>juli2025!AD59</f>
        <v>382.6</v>
      </c>
      <c r="AF59">
        <f>Tabel2425678910111213141517161819212022232614151819[[#This Row],[Stand Kamertemp liter einde maand]]-Tabel2425678910111213141517161819212022232614151819[[#This Row],[Stand Kamertemp liter vorige maand]]</f>
        <v>3.2999999999999545</v>
      </c>
      <c r="AG59" s="2">
        <f>Tabel2425678910111213141517161819212022232614151819[[#This Row],[Verbruik Kamertemp liter deze maand]]/0.15</f>
        <v>21.999999999999698</v>
      </c>
      <c r="AH59" s="53">
        <v>3735.2</v>
      </c>
      <c r="AI59">
        <f>juli2025!AH59</f>
        <v>3573.7</v>
      </c>
      <c r="AJ59">
        <f>Tabel2425678910111213141517161819212022232614151819[[#This Row],[Stand Gekoeld liter einde maand]]-Tabel2425678910111213141517161819212022232614151819[[#This Row],[Stand Gekoeld liter vorige maand]]</f>
        <v>161.5</v>
      </c>
      <c r="AK59" s="2">
        <f>Tabel2425678910111213141517161819212022232614151819[[#This Row],[Verbruik Gekoeld liter deze maand]]/0.15</f>
        <v>1076.6666666666667</v>
      </c>
      <c r="AL59" s="53">
        <v>2634.3</v>
      </c>
      <c r="AM59">
        <f>juli2025!AL59</f>
        <v>2518.6</v>
      </c>
      <c r="AN59">
        <f>Tabel2425678910111213141517161819212022232614151819[[#This Row],[Stand Bruisend liter einde maand]]-Tabel2425678910111213141517161819212022232614151819[[#This Row],[Stand Bruisend liter vorige maand]]</f>
        <v>115.70000000000027</v>
      </c>
      <c r="AO59" s="2">
        <f>Tabel2425678910111213141517161819212022232614151819[[#This Row],[Verbruik Bruisend liter deze maand]]/0.15</f>
        <v>771.33333333333519</v>
      </c>
      <c r="AP59" s="53">
        <v>1401.3</v>
      </c>
      <c r="AQ59">
        <f>juli2025!AP59</f>
        <v>1350.4</v>
      </c>
      <c r="AR59">
        <f>Tabel2425678910111213141517161819212022232614151819[[#This Row],[Stand licht bruisend liter einde maand]]-Tabel2425678910111213141517161819212022232614151819[[#This Row],[Stand licht bruisend liter vorige maand]]</f>
        <v>50.899999999999864</v>
      </c>
      <c r="AS59" s="2">
        <f>Tabel2425678910111213141517161819212022232614151819[[#This Row],[Verbruik licht bruisend liter deze maand]]/0.15</f>
        <v>339.33333333333246</v>
      </c>
      <c r="AT59" s="53">
        <v>8807.2000000000007</v>
      </c>
      <c r="AU59">
        <f>juli2025!AT59</f>
        <v>8685.6</v>
      </c>
      <c r="AV59">
        <f>Tabel2425678910111213141517161819212022232614151819[[#This Row],[Stand heet water liter einde maand]]-Tabel2425678910111213141517161819212022232614151819[[#This Row],[Stand heet water liter vorige maand]]</f>
        <v>121.60000000000036</v>
      </c>
      <c r="AW59" s="2">
        <f>Tabel2425678910111213141517161819212022232614151819[[#This Row],[Verbruik heet Water liter deze maand ]]/0.15</f>
        <v>810.66666666666913</v>
      </c>
      <c r="AX59" s="77">
        <f>Tabel2425678910111213141517161819212022232614151819[[#This Row],[Aantal consumpties heet water deze maand]]+Tabel2425678910111213141517161819212022232614151819[[#This Row],[Aantal consumpties licht bruisend water deze maand]]+Tabel2425678910111213141517161819212022232614151819[[#This Row],[aantal consumpties Bruisend water deze maand]]+Tabel2425678910111213141517161819212022232614151819[[#This Row],[Aantal consumpties gekoeld water deze maand]]+Tabel2425678910111213141517161819212022232614151819[[#This Row],[Aantal consumpties Kamertemp deze maand]]</f>
        <v>3020.0000000000032</v>
      </c>
      <c r="AY59" s="95">
        <f>Tabel2425678910111213141517161819212022232614151819[[#This Row],[Subtotaal waterbar in consumpties]]+Tabel2425678910111213141517161819212022232614151819[[#This Row],[Subtotaal koffieautomaten]]</f>
        <v>3761.0000000000032</v>
      </c>
    </row>
    <row r="60" spans="1:130" ht="14.45" customHeight="1" x14ac:dyDescent="0.25">
      <c r="A60" s="65" t="s">
        <v>58</v>
      </c>
      <c r="B60" t="s">
        <v>107</v>
      </c>
      <c r="C60" t="s">
        <v>31</v>
      </c>
      <c r="E60">
        <v>14294</v>
      </c>
      <c r="F60">
        <f>juli2025!E60</f>
        <v>13728</v>
      </c>
      <c r="G60">
        <f>Tabel2425678910111213141517161819212022232614151819[[#This Row],[Stand Coffee einde maand]]-Tabel2425678910111213141517161819212022232614151819[[#This Row],[Coffee vorige maand]]</f>
        <v>566</v>
      </c>
      <c r="H60" s="53">
        <v>2775</v>
      </c>
      <c r="I60">
        <f>juli2025!H60</f>
        <v>2608</v>
      </c>
      <c r="J60">
        <f>Tabel2425678910111213141517161819212022232614151819[[#This Row],[Stand Espresso Einde maand]]-Tabel2425678910111213141517161819212022232614151819[[#This Row],[Espresso vorige maand]]</f>
        <v>167</v>
      </c>
      <c r="K60" s="53">
        <v>2180</v>
      </c>
      <c r="L60">
        <f>juli2025!K60</f>
        <v>2144</v>
      </c>
      <c r="M60">
        <f>Tabel2425678910111213141517161819212022232614151819[[#This Row],[Stand Latte Macchiato einde maand]]-Tabel2425678910111213141517161819212022232614151819[[#This Row],[Latte Macchiato vorige maand]]</f>
        <v>36</v>
      </c>
      <c r="N60" s="53">
        <v>377</v>
      </c>
      <c r="O60">
        <f>juli2025!N60</f>
        <v>360</v>
      </c>
      <c r="P60">
        <f>Tabel2425678910111213141517161819212022232614151819[[#This Row],[Stand Coffee Latte einde maand]]-Tabel2425678910111213141517161819212022232614151819[[#This Row],[Coffee Latte vorige maand]]</f>
        <v>17</v>
      </c>
      <c r="Q60" s="53">
        <v>27015</v>
      </c>
      <c r="R60">
        <f>juli2025!Q60</f>
        <v>26277</v>
      </c>
      <c r="S60">
        <f>Tabel2425678910111213141517161819212022232614151819[[#This Row],[Stand Hot Water einde maand]]-Tabel2425678910111213141517161819212022232614151819[[#This Row],[Hot Water vorige maand]]</f>
        <v>738</v>
      </c>
      <c r="T60" s="53">
        <v>3837</v>
      </c>
      <c r="U60">
        <f>juli2025!T60</f>
        <v>3735</v>
      </c>
      <c r="V60">
        <f>Tabel2425678910111213141517161819212022232614151819[[#This Row],[Stand Cappucino einde maand]]-Tabel2425678910111213141517161819212022232614151819[[#This Row],[Stand Cappucino vorige maand]]</f>
        <v>102</v>
      </c>
      <c r="W60" s="53">
        <v>2492</v>
      </c>
      <c r="X60">
        <f>juli2025!W60</f>
        <v>2448</v>
      </c>
      <c r="Y60">
        <f>Tabel2425678910111213141517161819212022232614151819[[#This Row],[Stand Cappucino Plantaardig einde maand]]-Tabel2425678910111213141517161819212022232614151819[[#This Row],[Stand Cappucino Plantaardig vorige maand]]</f>
        <v>44</v>
      </c>
      <c r="Z60" s="53">
        <v>489</v>
      </c>
      <c r="AA60">
        <f>juli2025!Z60</f>
        <v>488</v>
      </c>
      <c r="AB60">
        <f>Tabel2425678910111213141517161819212022232614151819[[#This Row],[Stand Latte Macchiato Plantaardig einde maand]]-Tabel2425678910111213141517161819212022232614151819[[#This Row],[Stand Latte Macchiato Plantaardig vorige maand]]</f>
        <v>1</v>
      </c>
      <c r="AC60" s="71">
        <f>Tabel2425678910111213141517161819212022232614151819[[#This Row],[Verbruik Stand Latte Macchiato Plantaardig deze maand]]+Tabel2425678910111213141517161819212022232614151819[[#This Row],[Verbruik  Cappucino Plantaardig deze maand]]+Tabel2425678910111213141517161819212022232614151819[[#This Row],[Verbruik Cappucino deze maand]]+Tabel2425678910111213141517161819212022232614151819[[#This Row],[Verbruik Hot Water deze maand]]+Tabel2425678910111213141517161819212022232614151819[[#This Row],[Verbruik Coffee Latte deze maand]]+Tabel2425678910111213141517161819212022232614151819[[#This Row],[Verbruik Latte Macchiato deze maand]]+Tabel2425678910111213141517161819212022232614151819[[#This Row],[Verbruik Espresso deze maand]]+Tabel2425678910111213141517161819212022232614151819[[#This Row],[Verbruik Coffee deze maand]]</f>
        <v>1671</v>
      </c>
      <c r="AD60" s="69"/>
      <c r="AE60" s="41"/>
      <c r="AF60" s="5"/>
      <c r="AG60" s="5"/>
      <c r="AH60" s="75"/>
      <c r="AI60" s="41"/>
      <c r="AJ60" s="5"/>
      <c r="AK60" s="5"/>
      <c r="AL60" s="75"/>
      <c r="AM60" s="41"/>
      <c r="AN60" s="5"/>
      <c r="AO60" s="5"/>
      <c r="AP60" s="75"/>
      <c r="AQ60" s="41"/>
      <c r="AR60" s="5"/>
      <c r="AS60" s="5"/>
      <c r="AT60" s="75"/>
      <c r="AU60" s="41"/>
      <c r="AV60" s="5"/>
      <c r="AW60" s="5"/>
      <c r="AX60" s="79"/>
      <c r="AY60" s="95">
        <f>Tabel2425678910111213141517161819212022232614151819[[#This Row],[Subtotaal waterbar in consumpties]]+Tabel2425678910111213141517161819212022232614151819[[#This Row],[Subtotaal koffieautomaten]]</f>
        <v>1671</v>
      </c>
    </row>
    <row r="61" spans="1:130" ht="14.45" customHeight="1" x14ac:dyDescent="0.25">
      <c r="A61" s="65" t="s">
        <v>60</v>
      </c>
      <c r="B61" t="s">
        <v>108</v>
      </c>
      <c r="C61" t="s">
        <v>36</v>
      </c>
      <c r="E61" s="46"/>
      <c r="F61" s="46"/>
      <c r="G61" s="47"/>
      <c r="H61" s="54"/>
      <c r="I61" s="46"/>
      <c r="J61" s="47"/>
      <c r="K61" s="54"/>
      <c r="L61" s="46"/>
      <c r="M61" s="47"/>
      <c r="N61" s="54"/>
      <c r="O61" s="46"/>
      <c r="P61" s="47"/>
      <c r="Q61" s="54"/>
      <c r="R61" s="46"/>
      <c r="S61" s="47"/>
      <c r="T61" s="54"/>
      <c r="U61" s="46"/>
      <c r="V61" s="47"/>
      <c r="W61" s="54"/>
      <c r="X61" s="46"/>
      <c r="Y61" s="47"/>
      <c r="Z61" s="54"/>
      <c r="AA61" s="46"/>
      <c r="AB61" s="47"/>
      <c r="AC61" s="72"/>
      <c r="AD61" s="130">
        <v>0</v>
      </c>
      <c r="AE61" s="50">
        <f>juli2025!AD61</f>
        <v>348.2</v>
      </c>
      <c r="AF61" s="50">
        <v>0</v>
      </c>
      <c r="AG61" s="131">
        <f>Tabel2425678910111213141517161819212022232614151819[[#This Row],[Verbruik Kamertemp liter deze maand]]/0.15</f>
        <v>0</v>
      </c>
      <c r="AH61" s="130"/>
      <c r="AI61" s="50">
        <f>juli2025!AH61</f>
        <v>1848.1</v>
      </c>
      <c r="AJ61" s="50">
        <v>0</v>
      </c>
      <c r="AK61" s="131">
        <f>Tabel2425678910111213141517161819212022232614151819[[#This Row],[Verbruik Gekoeld liter deze maand]]/0.15</f>
        <v>0</v>
      </c>
      <c r="AL61" s="130"/>
      <c r="AM61" s="50">
        <f>juli2025!AL61</f>
        <v>945.2</v>
      </c>
      <c r="AN61" s="50">
        <v>0</v>
      </c>
      <c r="AO61" s="131">
        <f>Tabel2425678910111213141517161819212022232614151819[[#This Row],[Verbruik Bruisend liter deze maand]]/0.15</f>
        <v>0</v>
      </c>
      <c r="AP61" s="130"/>
      <c r="AQ61" s="50">
        <f>juli2025!AP61</f>
        <v>1303</v>
      </c>
      <c r="AR61" s="50">
        <v>0</v>
      </c>
      <c r="AS61" s="131">
        <f>Tabel2425678910111213141517161819212022232614151819[[#This Row],[Verbruik licht bruisend liter deze maand]]/0.15</f>
        <v>0</v>
      </c>
      <c r="AT61" s="130"/>
      <c r="AU61" s="50">
        <f>juli2025!AT61</f>
        <v>4633.1000000000004</v>
      </c>
      <c r="AV61" s="50">
        <v>0</v>
      </c>
      <c r="AW61" s="131">
        <f>Tabel2425678910111213141517161819212022232614151819[[#This Row],[Verbruik heet Water liter deze maand ]]/0.15</f>
        <v>0</v>
      </c>
      <c r="AX61" s="132">
        <f>Tabel2425678910111213141517161819212022232614151819[[#This Row],[Aantal consumpties heet water deze maand]]+Tabel2425678910111213141517161819212022232614151819[[#This Row],[Aantal consumpties licht bruisend water deze maand]]+Tabel2425678910111213141517161819212022232614151819[[#This Row],[aantal consumpties Bruisend water deze maand]]+Tabel2425678910111213141517161819212022232614151819[[#This Row],[Aantal consumpties gekoeld water deze maand]]+Tabel2425678910111213141517161819212022232614151819[[#This Row],[Aantal consumpties Kamertemp deze maand]]</f>
        <v>0</v>
      </c>
      <c r="AY61" s="133">
        <f>Tabel2425678910111213141517161819212022232614151819[[#This Row],[Subtotaal waterbar in consumpties]]+Tabel2425678910111213141517161819212022232614151819[[#This Row],[Subtotaal koffieautomaten]]</f>
        <v>0</v>
      </c>
    </row>
    <row r="62" spans="1:130" s="81" customFormat="1" x14ac:dyDescent="0.25">
      <c r="A62" s="165" t="s">
        <v>109</v>
      </c>
      <c r="B62" s="151"/>
      <c r="C62" s="151"/>
      <c r="D62" s="166"/>
      <c r="E62" s="151"/>
      <c r="F62" s="151"/>
      <c r="G62" s="151"/>
      <c r="H62" s="167"/>
      <c r="I62" s="151"/>
      <c r="J62" s="151"/>
      <c r="K62" s="167"/>
      <c r="L62" s="151"/>
      <c r="M62" s="151"/>
      <c r="N62" s="167"/>
      <c r="O62" s="151"/>
      <c r="P62" s="151"/>
      <c r="Q62" s="167"/>
      <c r="R62" s="151"/>
      <c r="S62" s="151"/>
      <c r="T62" s="167"/>
      <c r="U62" s="151"/>
      <c r="V62" s="151"/>
      <c r="W62" s="167"/>
      <c r="X62" s="151"/>
      <c r="Y62" s="151"/>
      <c r="Z62" s="167"/>
      <c r="AA62" s="151"/>
      <c r="AB62" s="151"/>
      <c r="AC62" s="168"/>
      <c r="AD62" s="169"/>
      <c r="AE62" s="154"/>
      <c r="AF62" s="151"/>
      <c r="AG62" s="155"/>
      <c r="AH62" s="169"/>
      <c r="AI62" s="154"/>
      <c r="AJ62" s="151"/>
      <c r="AK62" s="155"/>
      <c r="AL62" s="169"/>
      <c r="AM62" s="154"/>
      <c r="AN62" s="151"/>
      <c r="AO62" s="155"/>
      <c r="AP62" s="169"/>
      <c r="AQ62" s="154"/>
      <c r="AR62" s="151"/>
      <c r="AS62" s="155"/>
      <c r="AT62" s="169"/>
      <c r="AU62" s="154"/>
      <c r="AV62" s="151"/>
      <c r="AW62" s="155"/>
      <c r="AX62" s="170"/>
      <c r="AY62" s="171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</row>
    <row r="63" spans="1:130" x14ac:dyDescent="0.25">
      <c r="A63" s="67">
        <v>1</v>
      </c>
      <c r="B63" t="s">
        <v>110</v>
      </c>
      <c r="C63" t="s">
        <v>31</v>
      </c>
      <c r="E63">
        <v>12395</v>
      </c>
      <c r="F63">
        <f>juli2025!E63</f>
        <v>12199</v>
      </c>
      <c r="G63">
        <f>Tabel2425678910111213141517161819212022232614151819[[#This Row],[Stand Coffee einde maand]]-Tabel2425678910111213141517161819212022232614151819[[#This Row],[Coffee vorige maand]]</f>
        <v>196</v>
      </c>
      <c r="H63" s="53">
        <v>1679</v>
      </c>
      <c r="I63">
        <f>juli2025!H63</f>
        <v>1662</v>
      </c>
      <c r="J63">
        <f>Tabel2425678910111213141517161819212022232614151819[[#This Row],[Stand Espresso Einde maand]]-Tabel2425678910111213141517161819212022232614151819[[#This Row],[Espresso vorige maand]]</f>
        <v>17</v>
      </c>
      <c r="K63" s="53">
        <v>1146</v>
      </c>
      <c r="L63">
        <f>juli2025!K63</f>
        <v>1134</v>
      </c>
      <c r="M63">
        <f>Tabel2425678910111213141517161819212022232614151819[[#This Row],[Stand Latte Macchiato einde maand]]-Tabel2425678910111213141517161819212022232614151819[[#This Row],[Latte Macchiato vorige maand]]</f>
        <v>12</v>
      </c>
      <c r="N63" s="53">
        <v>531</v>
      </c>
      <c r="O63">
        <f>juli2025!N63</f>
        <v>527</v>
      </c>
      <c r="P63">
        <f>Tabel2425678910111213141517161819212022232614151819[[#This Row],[Stand Coffee Latte einde maand]]-Tabel2425678910111213141517161819212022232614151819[[#This Row],[Coffee Latte vorige maand]]</f>
        <v>4</v>
      </c>
      <c r="Q63" s="53">
        <v>10783</v>
      </c>
      <c r="R63">
        <f>juli2025!Q63</f>
        <v>10477</v>
      </c>
      <c r="S63">
        <f>Tabel2425678910111213141517161819212022232614151819[[#This Row],[Stand Hot Water einde maand]]-Tabel2425678910111213141517161819212022232614151819[[#This Row],[Hot Water vorige maand]]</f>
        <v>306</v>
      </c>
      <c r="T63" s="53">
        <v>4337</v>
      </c>
      <c r="U63">
        <f>juli2025!T63</f>
        <v>4250</v>
      </c>
      <c r="V63">
        <f>Tabel2425678910111213141517161819212022232614151819[[#This Row],[Stand Cappucino einde maand]]-Tabel2425678910111213141517161819212022232614151819[[#This Row],[Stand Cappucino vorige maand]]</f>
        <v>87</v>
      </c>
      <c r="W63" s="53">
        <v>59</v>
      </c>
      <c r="X63">
        <f>juli2025!W63</f>
        <v>57</v>
      </c>
      <c r="Y63">
        <f>Tabel2425678910111213141517161819212022232614151819[[#This Row],[Stand Cappucino Plantaardig einde maand]]-Tabel2425678910111213141517161819212022232614151819[[#This Row],[Stand Cappucino Plantaardig vorige maand]]</f>
        <v>2</v>
      </c>
      <c r="Z63" s="53">
        <v>250</v>
      </c>
      <c r="AA63">
        <f>juli2025!Z63</f>
        <v>247</v>
      </c>
      <c r="AB63">
        <f>Tabel2425678910111213141517161819212022232614151819[[#This Row],[Stand Latte Macchiato Plantaardig einde maand]]-Tabel2425678910111213141517161819212022232614151819[[#This Row],[Stand Latte Macchiato Plantaardig vorige maand]]</f>
        <v>3</v>
      </c>
      <c r="AC63" s="71">
        <f>Tabel2425678910111213141517161819212022232614151819[[#This Row],[Verbruik Stand Latte Macchiato Plantaardig deze maand]]+Tabel2425678910111213141517161819212022232614151819[[#This Row],[Verbruik  Cappucino Plantaardig deze maand]]+Tabel2425678910111213141517161819212022232614151819[[#This Row],[Verbruik Cappucino deze maand]]+Tabel2425678910111213141517161819212022232614151819[[#This Row],[Verbruik Hot Water deze maand]]+Tabel2425678910111213141517161819212022232614151819[[#This Row],[Verbruik Coffee Latte deze maand]]+Tabel2425678910111213141517161819212022232614151819[[#This Row],[Verbruik Latte Macchiato deze maand]]+Tabel2425678910111213141517161819212022232614151819[[#This Row],[Verbruik Espresso deze maand]]+Tabel2425678910111213141517161819212022232614151819[[#This Row],[Verbruik Coffee deze maand]]</f>
        <v>627</v>
      </c>
      <c r="AD63" s="69"/>
      <c r="AE63" s="41"/>
      <c r="AF63" s="5"/>
      <c r="AG63" s="5"/>
      <c r="AH63" s="69"/>
      <c r="AI63" s="41"/>
      <c r="AJ63" s="5"/>
      <c r="AK63" s="5"/>
      <c r="AL63" s="69"/>
      <c r="AM63" s="41"/>
      <c r="AN63" s="5"/>
      <c r="AO63" s="5"/>
      <c r="AP63" s="69"/>
      <c r="AQ63" s="41"/>
      <c r="AR63" s="5"/>
      <c r="AS63" s="5"/>
      <c r="AT63" s="69"/>
      <c r="AU63" s="41"/>
      <c r="AV63" s="5"/>
      <c r="AW63" s="7"/>
      <c r="AX63" s="78"/>
      <c r="AY63" s="95">
        <f>Tabel2425678910111213141517161819212022232614151819[[#This Row],[Subtotaal waterbar in consumpties]]+Tabel2425678910111213141517161819212022232614151819[[#This Row],[Subtotaal koffieautomaten]]</f>
        <v>627</v>
      </c>
    </row>
    <row r="64" spans="1:130" x14ac:dyDescent="0.25">
      <c r="A64" s="67">
        <v>1</v>
      </c>
      <c r="B64" t="s">
        <v>111</v>
      </c>
      <c r="C64" t="s">
        <v>31</v>
      </c>
      <c r="E64">
        <v>12925</v>
      </c>
      <c r="F64">
        <f>juli2025!E64</f>
        <v>12817</v>
      </c>
      <c r="G64">
        <f>Tabel2425678910111213141517161819212022232614151819[[#This Row],[Stand Coffee einde maand]]-Tabel2425678910111213141517161819212022232614151819[[#This Row],[Coffee vorige maand]]</f>
        <v>108</v>
      </c>
      <c r="H64" s="53">
        <v>680</v>
      </c>
      <c r="I64">
        <f>juli2025!H64</f>
        <v>664</v>
      </c>
      <c r="J64">
        <f>Tabel2425678910111213141517161819212022232614151819[[#This Row],[Stand Espresso Einde maand]]-Tabel2425678910111213141517161819212022232614151819[[#This Row],[Espresso vorige maand]]</f>
        <v>16</v>
      </c>
      <c r="K64" s="53">
        <v>2259</v>
      </c>
      <c r="L64">
        <f>juli2025!K64</f>
        <v>2248</v>
      </c>
      <c r="M64">
        <f>Tabel2425678910111213141517161819212022232614151819[[#This Row],[Stand Latte Macchiato einde maand]]-Tabel2425678910111213141517161819212022232614151819[[#This Row],[Latte Macchiato vorige maand]]</f>
        <v>11</v>
      </c>
      <c r="N64" s="53">
        <v>1340</v>
      </c>
      <c r="O64">
        <f>juli2025!N64</f>
        <v>1335</v>
      </c>
      <c r="P64">
        <f>Tabel2425678910111213141517161819212022232614151819[[#This Row],[Stand Coffee Latte einde maand]]-Tabel2425678910111213141517161819212022232614151819[[#This Row],[Coffee Latte vorige maand]]</f>
        <v>5</v>
      </c>
      <c r="Q64" s="53">
        <v>10641</v>
      </c>
      <c r="R64">
        <f>juli2025!Q64</f>
        <v>10532</v>
      </c>
      <c r="S64">
        <f>Tabel2425678910111213141517161819212022232614151819[[#This Row],[Stand Hot Water einde maand]]-Tabel2425678910111213141517161819212022232614151819[[#This Row],[Hot Water vorige maand]]</f>
        <v>109</v>
      </c>
      <c r="T64" s="53">
        <v>3854</v>
      </c>
      <c r="U64">
        <f>juli2025!T64</f>
        <v>3787</v>
      </c>
      <c r="V64">
        <f>Tabel2425678910111213141517161819212022232614151819[[#This Row],[Stand Cappucino einde maand]]-Tabel2425678910111213141517161819212022232614151819[[#This Row],[Stand Cappucino vorige maand]]</f>
        <v>67</v>
      </c>
      <c r="W64" s="53">
        <v>292</v>
      </c>
      <c r="X64">
        <f>juli2025!W64</f>
        <v>290</v>
      </c>
      <c r="Y64">
        <f>Tabel2425678910111213141517161819212022232614151819[[#This Row],[Stand Cappucino Plantaardig einde maand]]-Tabel2425678910111213141517161819212022232614151819[[#This Row],[Stand Cappucino Plantaardig vorige maand]]</f>
        <v>2</v>
      </c>
      <c r="Z64" s="53">
        <v>341</v>
      </c>
      <c r="AA64">
        <f>juli2025!Z64</f>
        <v>339</v>
      </c>
      <c r="AB64">
        <f>Tabel2425678910111213141517161819212022232614151819[[#This Row],[Stand Latte Macchiato Plantaardig einde maand]]-Tabel2425678910111213141517161819212022232614151819[[#This Row],[Stand Latte Macchiato Plantaardig vorige maand]]</f>
        <v>2</v>
      </c>
      <c r="AC64" s="71">
        <f>Tabel2425678910111213141517161819212022232614151819[[#This Row],[Verbruik Stand Latte Macchiato Plantaardig deze maand]]+Tabel2425678910111213141517161819212022232614151819[[#This Row],[Verbruik  Cappucino Plantaardig deze maand]]+Tabel2425678910111213141517161819212022232614151819[[#This Row],[Verbruik Cappucino deze maand]]+Tabel2425678910111213141517161819212022232614151819[[#This Row],[Verbruik Hot Water deze maand]]+Tabel2425678910111213141517161819212022232614151819[[#This Row],[Verbruik Coffee Latte deze maand]]+Tabel2425678910111213141517161819212022232614151819[[#This Row],[Verbruik Latte Macchiato deze maand]]+Tabel2425678910111213141517161819212022232614151819[[#This Row],[Verbruik Espresso deze maand]]+Tabel2425678910111213141517161819212022232614151819[[#This Row],[Verbruik Coffee deze maand]]</f>
        <v>320</v>
      </c>
      <c r="AD64" s="69"/>
      <c r="AE64" s="41"/>
      <c r="AF64" s="5"/>
      <c r="AG64" s="5"/>
      <c r="AH64" s="69"/>
      <c r="AI64" s="41"/>
      <c r="AJ64" s="5"/>
      <c r="AK64" s="5"/>
      <c r="AL64" s="69"/>
      <c r="AM64" s="41"/>
      <c r="AN64" s="5"/>
      <c r="AO64" s="5"/>
      <c r="AP64" s="69"/>
      <c r="AQ64" s="41"/>
      <c r="AR64" s="5"/>
      <c r="AS64" s="5"/>
      <c r="AT64" s="69"/>
      <c r="AU64" s="41"/>
      <c r="AV64" s="5"/>
      <c r="AW64" s="7"/>
      <c r="AX64" s="78"/>
      <c r="AY64" s="95">
        <f>Tabel2425678910111213141517161819212022232614151819[[#This Row],[Subtotaal waterbar in consumpties]]+Tabel2425678910111213141517161819212022232614151819[[#This Row],[Subtotaal koffieautomaten]]</f>
        <v>320</v>
      </c>
    </row>
    <row r="65" spans="1:53" x14ac:dyDescent="0.25">
      <c r="A65" s="66" t="s">
        <v>112</v>
      </c>
      <c r="E65" s="3">
        <f>SUM(E5:E64)</f>
        <v>785932</v>
      </c>
      <c r="F65" s="3">
        <f>SUM(F5:F64)</f>
        <v>765550</v>
      </c>
      <c r="G65" s="3">
        <f>SUM(G4:G64)</f>
        <v>20382</v>
      </c>
      <c r="H65" s="55">
        <f>SUM(H5:H64)</f>
        <v>205275</v>
      </c>
      <c r="I65" s="3">
        <f>SUM(I5:I64)</f>
        <v>199050</v>
      </c>
      <c r="J65" s="3">
        <f>SUM(J4:J64)</f>
        <v>6225</v>
      </c>
      <c r="K65" s="55">
        <f>SUM(K5:K64)</f>
        <v>91081</v>
      </c>
      <c r="L65" s="3">
        <f>SUM(L5:L64)</f>
        <v>89260</v>
      </c>
      <c r="M65" s="3">
        <f>SUM(M4:M64)</f>
        <v>1821</v>
      </c>
      <c r="N65" s="55">
        <f>SUM(N5:N64)</f>
        <v>54002</v>
      </c>
      <c r="O65" s="3">
        <f>SUM(O5:O64)</f>
        <v>52762</v>
      </c>
      <c r="P65" s="3">
        <f>SUM(P4:P64)</f>
        <v>1240</v>
      </c>
      <c r="Q65" s="55">
        <f>SUM(Q5:Q64)</f>
        <v>942748</v>
      </c>
      <c r="R65" s="3">
        <f>SUM(R5:R64)</f>
        <v>920197</v>
      </c>
      <c r="S65" s="3">
        <f>SUM(S4:S64)</f>
        <v>22551</v>
      </c>
      <c r="T65" s="55">
        <f>SUM(T5:T64)</f>
        <v>422977</v>
      </c>
      <c r="U65" s="3">
        <f>SUM(U5:U64)</f>
        <v>413824</v>
      </c>
      <c r="V65" s="3">
        <f>SUM(V4:V64)</f>
        <v>9153</v>
      </c>
      <c r="W65" s="55">
        <f>SUM(W5:W64)</f>
        <v>76243</v>
      </c>
      <c r="X65" s="3">
        <f>SUM(X5:X64)</f>
        <v>74657</v>
      </c>
      <c r="Y65" s="3">
        <f>SUM(Y4:Y64)</f>
        <v>1586</v>
      </c>
      <c r="Z65" s="55">
        <f>SUM(Z5:Z64)</f>
        <v>28283</v>
      </c>
      <c r="AA65" s="3">
        <f>SUM(AA5:AA64)</f>
        <v>27649</v>
      </c>
      <c r="AB65" s="3">
        <f t="shared" ref="AB65:AQ65" si="0">SUM(AB4:AB64)</f>
        <v>634</v>
      </c>
      <c r="AC65" s="71">
        <f t="shared" si="0"/>
        <v>63592</v>
      </c>
      <c r="AD65" s="55">
        <f t="shared" si="0"/>
        <v>5913.1999999999989</v>
      </c>
      <c r="AE65" s="3">
        <f t="shared" si="0"/>
        <v>5820.5999999999995</v>
      </c>
      <c r="AF65" s="4">
        <f t="shared" si="0"/>
        <v>440.7999999999999</v>
      </c>
      <c r="AG65" s="4">
        <f t="shared" si="0"/>
        <v>2938.6666666666661</v>
      </c>
      <c r="AH65" s="76"/>
      <c r="AI65" s="4">
        <f t="shared" si="0"/>
        <v>35094.499999999993</v>
      </c>
      <c r="AJ65" s="4">
        <f t="shared" si="0"/>
        <v>3274.8000000000006</v>
      </c>
      <c r="AK65" s="4">
        <f t="shared" si="0"/>
        <v>21832</v>
      </c>
      <c r="AL65" s="76">
        <f t="shared" si="0"/>
        <v>25817.099999999995</v>
      </c>
      <c r="AM65" s="4">
        <f t="shared" si="0"/>
        <v>24618.099999999991</v>
      </c>
      <c r="AN65" s="4">
        <f t="shared" si="0"/>
        <v>2144.2000000000003</v>
      </c>
      <c r="AO65" s="4">
        <f t="shared" si="0"/>
        <v>14294.666666666668</v>
      </c>
      <c r="AP65" s="76">
        <f t="shared" si="0"/>
        <v>9924.6999999999989</v>
      </c>
      <c r="AQ65" s="4">
        <f t="shared" si="0"/>
        <v>10420.9</v>
      </c>
      <c r="AR65" s="3">
        <f>SUM(AR5:AR64)</f>
        <v>806.79999999999984</v>
      </c>
      <c r="AS65" s="4">
        <f>SUM(AS4:AS64)</f>
        <v>5378.6666666666652</v>
      </c>
      <c r="AT65" s="76">
        <f>SUM(AT4:AT64)</f>
        <v>77247.7</v>
      </c>
      <c r="AU65" s="4">
        <f>SUM(AU4:AU64)</f>
        <v>77342.100000000006</v>
      </c>
      <c r="AV65" s="3">
        <f>SUM(AV5:AV64)</f>
        <v>4538.7000000000016</v>
      </c>
      <c r="AW65" s="4">
        <f>SUM(AW4:AW64)</f>
        <v>30258.000000000007</v>
      </c>
      <c r="AX65" s="77">
        <f>SUM(AX4:AX64)</f>
        <v>74702.000000000015</v>
      </c>
      <c r="AY65" s="95">
        <f>Tabel2425678910111213141517161819212022232614151819[[#This Row],[Subtotaal waterbar in consumpties]]+Tabel2425678910111213141517161819212022232614151819[[#This Row],[Subtotaal koffieautomaten]]</f>
        <v>138294</v>
      </c>
    </row>
    <row r="66" spans="1:53" x14ac:dyDescent="0.25">
      <c r="A66" s="91"/>
      <c r="B66" s="57"/>
      <c r="C66" s="57"/>
      <c r="D66" s="58"/>
      <c r="E66" s="57"/>
      <c r="F66" s="57"/>
      <c r="G66" s="57"/>
      <c r="H66" s="56"/>
      <c r="I66" s="57"/>
      <c r="J66" s="57"/>
      <c r="K66" s="56"/>
      <c r="L66" s="57"/>
      <c r="M66" s="57"/>
      <c r="N66" s="56"/>
      <c r="O66" s="57"/>
      <c r="P66" s="57"/>
      <c r="Q66" s="56"/>
      <c r="R66" s="57"/>
      <c r="S66" s="57"/>
      <c r="T66" s="56"/>
      <c r="U66" s="57"/>
      <c r="V66" s="57"/>
      <c r="W66" s="56"/>
      <c r="X66" s="57"/>
      <c r="Y66" s="57"/>
      <c r="Z66" s="56"/>
      <c r="AA66" s="57"/>
      <c r="AB66" s="57"/>
      <c r="AC66" s="90"/>
      <c r="AD66" s="56"/>
      <c r="AE66" s="57"/>
      <c r="AF66" s="57"/>
      <c r="AG66" s="57"/>
      <c r="AH66" s="56"/>
      <c r="AI66" s="57"/>
      <c r="AJ66" s="57"/>
      <c r="AK66" s="57"/>
      <c r="AL66" s="56"/>
      <c r="AM66" s="57"/>
      <c r="AN66" s="57"/>
      <c r="AO66" s="57"/>
      <c r="AP66" s="56"/>
      <c r="AQ66" s="57"/>
      <c r="AR66" s="57"/>
      <c r="AS66" s="57"/>
      <c r="AT66" s="56"/>
      <c r="AU66" s="57"/>
      <c r="AV66" s="57"/>
      <c r="AW66" s="57"/>
      <c r="AX66" s="92"/>
      <c r="AY66" s="96"/>
    </row>
    <row r="67" spans="1:53" x14ac:dyDescent="0.25">
      <c r="A67"/>
      <c r="D67"/>
      <c r="K67"/>
      <c r="N67"/>
      <c r="Q67"/>
      <c r="T67"/>
      <c r="W67"/>
      <c r="Z67"/>
      <c r="AC67"/>
      <c r="AD67"/>
      <c r="AH67"/>
      <c r="AL67"/>
      <c r="AP67"/>
      <c r="AT67"/>
      <c r="AX67"/>
      <c r="AY67"/>
    </row>
    <row r="68" spans="1:53" x14ac:dyDescent="0.25">
      <c r="A68"/>
      <c r="D68"/>
      <c r="K68"/>
      <c r="N68"/>
      <c r="Q68"/>
      <c r="T68"/>
      <c r="W68"/>
      <c r="Z68"/>
      <c r="AC68"/>
      <c r="AD68"/>
      <c r="AH68"/>
      <c r="AL68"/>
      <c r="AP68"/>
      <c r="AT68"/>
      <c r="AX68"/>
      <c r="AY68" s="2"/>
      <c r="AZ68" s="2"/>
    </row>
    <row r="69" spans="1:53" x14ac:dyDescent="0.25">
      <c r="A69" s="49"/>
      <c r="B69" t="s">
        <v>166</v>
      </c>
      <c r="D69"/>
      <c r="K69"/>
      <c r="N69"/>
      <c r="Q69"/>
      <c r="T69"/>
      <c r="W69"/>
      <c r="Z69"/>
      <c r="AC69"/>
      <c r="AD69"/>
      <c r="AH69"/>
      <c r="AL69"/>
      <c r="AP69"/>
      <c r="AT69"/>
      <c r="AX69"/>
      <c r="AY69" s="4"/>
      <c r="AZ69" s="4"/>
      <c r="BA69" s="48"/>
    </row>
    <row r="70" spans="1:53" x14ac:dyDescent="0.25">
      <c r="A70" s="50"/>
      <c r="B70" t="s">
        <v>167</v>
      </c>
      <c r="D70"/>
      <c r="K70"/>
      <c r="N70"/>
      <c r="Q70"/>
      <c r="T70"/>
      <c r="W70"/>
      <c r="Z70"/>
      <c r="AC70"/>
      <c r="AD70"/>
      <c r="AH70"/>
      <c r="AL70"/>
      <c r="AP70"/>
      <c r="AT70"/>
      <c r="AX70"/>
      <c r="AY70" s="3"/>
      <c r="AZ70" s="4"/>
      <c r="BA70" s="48"/>
    </row>
    <row r="71" spans="1:53" x14ac:dyDescent="0.25">
      <c r="A71"/>
      <c r="D71"/>
      <c r="K71"/>
      <c r="N71"/>
      <c r="Q71"/>
      <c r="T71"/>
      <c r="W71"/>
      <c r="Z71"/>
      <c r="AC71"/>
      <c r="AD71"/>
      <c r="AH71"/>
      <c r="AL71"/>
      <c r="AP71"/>
      <c r="AT71"/>
      <c r="AX71"/>
      <c r="AY71"/>
      <c r="AZ71" s="2"/>
    </row>
    <row r="72" spans="1:53" x14ac:dyDescent="0.25">
      <c r="A72"/>
      <c r="D72"/>
      <c r="K72"/>
      <c r="N72"/>
      <c r="Q72"/>
      <c r="T72"/>
      <c r="W72"/>
      <c r="Z72"/>
      <c r="AC72"/>
      <c r="AD72"/>
      <c r="AH72"/>
      <c r="AL72"/>
      <c r="AP72"/>
      <c r="AT72"/>
      <c r="AX72"/>
      <c r="AY72"/>
    </row>
    <row r="73" spans="1:53" x14ac:dyDescent="0.25">
      <c r="A73"/>
      <c r="D73"/>
      <c r="K73"/>
      <c r="N73"/>
      <c r="Q73"/>
      <c r="T73"/>
      <c r="W73"/>
      <c r="Z73"/>
      <c r="AC73"/>
      <c r="AD73"/>
      <c r="AH73"/>
      <c r="AL73"/>
      <c r="AP73"/>
      <c r="AT73"/>
      <c r="AX73"/>
      <c r="AY73"/>
    </row>
    <row r="74" spans="1:53" x14ac:dyDescent="0.25">
      <c r="A74"/>
      <c r="D74"/>
      <c r="K74"/>
      <c r="N74"/>
      <c r="Q74"/>
      <c r="T74"/>
      <c r="W74"/>
      <c r="Z74"/>
      <c r="AC74"/>
      <c r="AD74"/>
      <c r="AH74"/>
      <c r="AL74"/>
      <c r="AP74"/>
      <c r="AT74"/>
      <c r="AX74"/>
      <c r="AY74"/>
    </row>
    <row r="75" spans="1:53" x14ac:dyDescent="0.25">
      <c r="A75"/>
      <c r="D75"/>
      <c r="K75"/>
      <c r="N75"/>
      <c r="Q75"/>
      <c r="T75"/>
      <c r="W75"/>
      <c r="Z75"/>
      <c r="AC75"/>
      <c r="AD75"/>
      <c r="AH75"/>
      <c r="AL75"/>
      <c r="AP75"/>
      <c r="AT75"/>
      <c r="AX75"/>
      <c r="AY75"/>
    </row>
    <row r="76" spans="1:53" x14ac:dyDescent="0.25">
      <c r="A76"/>
      <c r="D76"/>
      <c r="K76"/>
      <c r="N76"/>
      <c r="Q76"/>
      <c r="T76"/>
      <c r="W76"/>
      <c r="Z76"/>
      <c r="AC76"/>
      <c r="AD76"/>
      <c r="AH76"/>
      <c r="AL76"/>
      <c r="AP76"/>
      <c r="AT76"/>
      <c r="AX76"/>
      <c r="AY76"/>
    </row>
    <row r="77" spans="1:53" x14ac:dyDescent="0.25">
      <c r="A77"/>
      <c r="D77"/>
      <c r="K77"/>
      <c r="N77"/>
      <c r="Q77"/>
      <c r="T77"/>
      <c r="W77"/>
      <c r="Z77"/>
      <c r="AC77"/>
      <c r="AD77"/>
      <c r="AH77"/>
      <c r="AL77"/>
      <c r="AP77"/>
      <c r="AT77"/>
      <c r="AX77"/>
      <c r="AY77"/>
    </row>
    <row r="78" spans="1:53" x14ac:dyDescent="0.25">
      <c r="A78"/>
      <c r="D78"/>
      <c r="K78"/>
      <c r="N78"/>
      <c r="Q78"/>
      <c r="T78"/>
      <c r="W78"/>
      <c r="Z78"/>
      <c r="AC78"/>
      <c r="AD78"/>
      <c r="AH78"/>
      <c r="AL78"/>
      <c r="AP78"/>
      <c r="AT78"/>
      <c r="AX78"/>
      <c r="AY78"/>
    </row>
    <row r="79" spans="1:53" x14ac:dyDescent="0.25">
      <c r="A79"/>
      <c r="D79"/>
      <c r="K79"/>
      <c r="N79"/>
      <c r="Q79"/>
      <c r="T79"/>
      <c r="W79"/>
      <c r="Z79"/>
      <c r="AC79"/>
      <c r="AD79"/>
      <c r="AH79"/>
      <c r="AL79"/>
      <c r="AP79"/>
      <c r="AT79"/>
      <c r="AX79"/>
      <c r="AY79"/>
    </row>
    <row r="80" spans="1:53" x14ac:dyDescent="0.25">
      <c r="A80"/>
      <c r="D80"/>
      <c r="K80"/>
      <c r="N80"/>
      <c r="Q80"/>
      <c r="T80"/>
      <c r="W80"/>
      <c r="Z80"/>
      <c r="AC80"/>
      <c r="AD80"/>
      <c r="AH80"/>
      <c r="AL80"/>
      <c r="AP80"/>
      <c r="AT80"/>
      <c r="AX80"/>
      <c r="AY80"/>
    </row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</sheetData>
  <mergeCells count="2">
    <mergeCell ref="E1:AC1"/>
    <mergeCell ref="AD1:AY1"/>
  </mergeCells>
  <pageMargins left="0.7" right="0.7" top="0.75" bottom="0.75" header="0.3" footer="0.3"/>
  <legacyDrawing r:id="rId1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0989D-602A-480F-AB8F-1620C1061965}">
  <dimension ref="A1:DZ147"/>
  <sheetViews>
    <sheetView topLeftCell="T1" zoomScale="130" zoomScaleNormal="130" workbookViewId="0">
      <pane ySplit="2" topLeftCell="A46" activePane="bottomLeft" state="frozen"/>
      <selection pane="bottomLeft" activeCell="A61" sqref="A61"/>
    </sheetView>
  </sheetViews>
  <sheetFormatPr defaultRowHeight="15" x14ac:dyDescent="0.25"/>
  <cols>
    <col min="1" max="1" width="32.140625" style="65" bestFit="1" customWidth="1"/>
    <col min="2" max="2" width="21.42578125" bestFit="1" customWidth="1"/>
    <col min="3" max="3" width="25.42578125" bestFit="1" customWidth="1"/>
    <col min="4" max="4" width="18.5703125" style="52" customWidth="1"/>
    <col min="5" max="5" width="10.140625" customWidth="1"/>
    <col min="6" max="6" width="10.42578125" customWidth="1"/>
    <col min="7" max="7" width="10.5703125" customWidth="1"/>
    <col min="8" max="8" width="11.85546875" customWidth="1"/>
    <col min="9" max="9" width="11.7109375" customWidth="1"/>
    <col min="10" max="10" width="12.42578125" customWidth="1"/>
    <col min="11" max="11" width="17.140625" style="53" customWidth="1"/>
    <col min="12" max="12" width="13.5703125" customWidth="1"/>
    <col min="13" max="13" width="13.42578125" bestFit="1" customWidth="1"/>
    <col min="14" max="14" width="14" style="53" customWidth="1"/>
    <col min="15" max="16" width="14" customWidth="1"/>
    <col min="17" max="17" width="14.140625" style="53" customWidth="1"/>
    <col min="18" max="19" width="12.28515625" customWidth="1"/>
    <col min="20" max="20" width="12.42578125" style="53" customWidth="1"/>
    <col min="21" max="22" width="12.42578125" customWidth="1"/>
    <col min="23" max="23" width="17" style="53" customWidth="1"/>
    <col min="24" max="25" width="17" customWidth="1"/>
    <col min="26" max="26" width="20.7109375" style="53" customWidth="1"/>
    <col min="27" max="28" width="20.7109375" customWidth="1"/>
    <col min="29" max="29" width="14.7109375" style="74" customWidth="1"/>
    <col min="30" max="30" width="17.5703125" style="53" customWidth="1"/>
    <col min="31" max="32" width="17.5703125" customWidth="1"/>
    <col min="33" max="33" width="20.28515625" customWidth="1"/>
    <col min="34" max="34" width="14.42578125" style="53" customWidth="1"/>
    <col min="35" max="36" width="14.42578125" customWidth="1"/>
    <col min="37" max="37" width="21.28515625" customWidth="1"/>
    <col min="38" max="38" width="15.140625" style="53" customWidth="1"/>
    <col min="39" max="40" width="15.140625" customWidth="1"/>
    <col min="41" max="41" width="21.28515625" customWidth="1"/>
    <col min="42" max="42" width="19.42578125" style="53" customWidth="1"/>
    <col min="43" max="44" width="19.42578125" customWidth="1"/>
    <col min="45" max="45" width="21.28515625" customWidth="1"/>
    <col min="46" max="46" width="17" style="53" customWidth="1"/>
    <col min="47" max="48" width="17" customWidth="1"/>
    <col min="49" max="49" width="21.28515625" customWidth="1"/>
    <col min="50" max="50" width="20" style="74" customWidth="1"/>
    <col min="51" max="51" width="23.5703125" style="68" bestFit="1" customWidth="1"/>
    <col min="52" max="52" width="10" bestFit="1" customWidth="1"/>
    <col min="53" max="53" width="14.28515625" bestFit="1" customWidth="1"/>
  </cols>
  <sheetData>
    <row r="1" spans="1:130" ht="14.45" customHeight="1" x14ac:dyDescent="0.25">
      <c r="A1" s="61" t="s">
        <v>0</v>
      </c>
      <c r="B1" s="62"/>
      <c r="C1" s="62"/>
      <c r="D1" s="63"/>
      <c r="E1" s="174" t="s">
        <v>1</v>
      </c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3" t="s">
        <v>2</v>
      </c>
      <c r="AE1" s="174"/>
      <c r="AF1" s="174"/>
      <c r="AG1" s="174"/>
      <c r="AH1" s="174"/>
      <c r="AI1" s="174"/>
      <c r="AJ1" s="174"/>
      <c r="AK1" s="174"/>
      <c r="AL1" s="174"/>
      <c r="AM1" s="174"/>
      <c r="AN1" s="174"/>
      <c r="AO1" s="174"/>
      <c r="AP1" s="174"/>
      <c r="AQ1" s="174"/>
      <c r="AR1" s="174"/>
      <c r="AS1" s="174"/>
      <c r="AT1" s="174"/>
      <c r="AU1" s="174"/>
      <c r="AV1" s="174"/>
      <c r="AW1" s="174"/>
      <c r="AX1" s="174"/>
      <c r="AY1" s="174"/>
    </row>
    <row r="2" spans="1:130" ht="120" customHeight="1" x14ac:dyDescent="0.25">
      <c r="A2" s="65" t="s">
        <v>3</v>
      </c>
      <c r="B2" t="s">
        <v>4</v>
      </c>
      <c r="C2" t="s">
        <v>5</v>
      </c>
      <c r="D2" s="52" t="s">
        <v>6</v>
      </c>
      <c r="E2" s="1" t="s">
        <v>113</v>
      </c>
      <c r="F2" s="1" t="s">
        <v>114</v>
      </c>
      <c r="G2" s="60" t="s">
        <v>115</v>
      </c>
      <c r="H2" s="1" t="s">
        <v>116</v>
      </c>
      <c r="I2" s="1" t="s">
        <v>117</v>
      </c>
      <c r="J2" s="1" t="s">
        <v>118</v>
      </c>
      <c r="K2" s="59" t="s">
        <v>119</v>
      </c>
      <c r="L2" s="1" t="s">
        <v>120</v>
      </c>
      <c r="M2" s="1" t="s">
        <v>121</v>
      </c>
      <c r="N2" s="59" t="s">
        <v>122</v>
      </c>
      <c r="O2" s="1" t="s">
        <v>123</v>
      </c>
      <c r="P2" s="1" t="s">
        <v>124</v>
      </c>
      <c r="Q2" s="59" t="s">
        <v>125</v>
      </c>
      <c r="R2" s="1" t="s">
        <v>126</v>
      </c>
      <c r="S2" s="1" t="s">
        <v>127</v>
      </c>
      <c r="T2" s="59" t="s">
        <v>128</v>
      </c>
      <c r="U2" s="1" t="s">
        <v>129</v>
      </c>
      <c r="V2" s="1" t="s">
        <v>130</v>
      </c>
      <c r="W2" s="59" t="s">
        <v>131</v>
      </c>
      <c r="X2" s="1" t="s">
        <v>132</v>
      </c>
      <c r="Y2" s="1" t="s">
        <v>133</v>
      </c>
      <c r="Z2" s="59" t="s">
        <v>134</v>
      </c>
      <c r="AA2" s="1" t="s">
        <v>135</v>
      </c>
      <c r="AB2" s="1" t="s">
        <v>136</v>
      </c>
      <c r="AC2" s="70" t="s">
        <v>15</v>
      </c>
      <c r="AD2" s="59" t="s">
        <v>137</v>
      </c>
      <c r="AE2" s="1" t="s">
        <v>138</v>
      </c>
      <c r="AF2" s="1" t="s">
        <v>139</v>
      </c>
      <c r="AG2" s="1" t="s">
        <v>140</v>
      </c>
      <c r="AH2" s="59" t="s">
        <v>141</v>
      </c>
      <c r="AI2" s="1" t="s">
        <v>142</v>
      </c>
      <c r="AJ2" s="1" t="s">
        <v>143</v>
      </c>
      <c r="AK2" s="1" t="s">
        <v>144</v>
      </c>
      <c r="AL2" s="59" t="s">
        <v>145</v>
      </c>
      <c r="AM2" s="1" t="s">
        <v>146</v>
      </c>
      <c r="AN2" s="1" t="s">
        <v>147</v>
      </c>
      <c r="AO2" s="1" t="s">
        <v>148</v>
      </c>
      <c r="AP2" s="59" t="s">
        <v>149</v>
      </c>
      <c r="AQ2" s="1" t="s">
        <v>150</v>
      </c>
      <c r="AR2" s="1" t="s">
        <v>151</v>
      </c>
      <c r="AS2" s="1" t="s">
        <v>152</v>
      </c>
      <c r="AT2" s="59" t="s">
        <v>153</v>
      </c>
      <c r="AU2" s="1" t="s">
        <v>154</v>
      </c>
      <c r="AV2" s="1" t="s">
        <v>155</v>
      </c>
      <c r="AW2" s="1" t="s">
        <v>156</v>
      </c>
      <c r="AX2" s="70" t="s">
        <v>157</v>
      </c>
      <c r="AY2" s="93" t="s">
        <v>27</v>
      </c>
    </row>
    <row r="3" spans="1:130" s="146" customFormat="1" x14ac:dyDescent="0.25">
      <c r="A3" s="158" t="s">
        <v>168</v>
      </c>
      <c r="B3" s="147"/>
      <c r="C3" s="147"/>
      <c r="D3" s="159"/>
      <c r="E3" s="149"/>
      <c r="F3" s="147"/>
      <c r="G3" s="147"/>
      <c r="H3" s="149"/>
      <c r="I3" s="147"/>
      <c r="J3" s="147"/>
      <c r="K3" s="160"/>
      <c r="L3" s="147"/>
      <c r="M3" s="147"/>
      <c r="N3" s="160"/>
      <c r="O3" s="147"/>
      <c r="P3" s="147"/>
      <c r="Q3" s="160"/>
      <c r="R3" s="147"/>
      <c r="S3" s="147"/>
      <c r="T3" s="160"/>
      <c r="U3" s="147"/>
      <c r="V3" s="147"/>
      <c r="W3" s="160"/>
      <c r="X3" s="147"/>
      <c r="Y3" s="147"/>
      <c r="Z3" s="160"/>
      <c r="AA3" s="147"/>
      <c r="AB3" s="147"/>
      <c r="AC3" s="161"/>
      <c r="AD3" s="162"/>
      <c r="AE3" s="147"/>
      <c r="AF3" s="147"/>
      <c r="AG3" s="148"/>
      <c r="AH3" s="160"/>
      <c r="AI3" s="147"/>
      <c r="AJ3" s="147"/>
      <c r="AK3" s="148"/>
      <c r="AL3" s="160"/>
      <c r="AM3" s="147"/>
      <c r="AN3" s="147"/>
      <c r="AO3" s="148"/>
      <c r="AP3" s="160"/>
      <c r="AQ3" s="147"/>
      <c r="AR3" s="147"/>
      <c r="AS3" s="148"/>
      <c r="AT3" s="160"/>
      <c r="AU3" s="147"/>
      <c r="AV3" s="147"/>
      <c r="AW3" s="148"/>
      <c r="AX3" s="163"/>
      <c r="AY3" s="164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</row>
    <row r="4" spans="1:130" s="81" customFormat="1" ht="14.45" customHeight="1" x14ac:dyDescent="0.25">
      <c r="A4" s="80" t="s">
        <v>28</v>
      </c>
      <c r="D4" s="82"/>
      <c r="E4" s="83"/>
      <c r="H4" s="84"/>
      <c r="K4" s="84"/>
      <c r="N4" s="84"/>
      <c r="Q4" s="84"/>
      <c r="T4" s="84"/>
      <c r="W4" s="84"/>
      <c r="Z4" s="84"/>
      <c r="AC4" s="85"/>
      <c r="AD4" s="86"/>
      <c r="AG4" s="87"/>
      <c r="AH4" s="84"/>
      <c r="AK4" s="87"/>
      <c r="AL4" s="84"/>
      <c r="AO4" s="87"/>
      <c r="AP4" s="84"/>
      <c r="AS4" s="87"/>
      <c r="AT4" s="84"/>
      <c r="AW4" s="87"/>
      <c r="AX4" s="88"/>
      <c r="AY4" s="9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</row>
    <row r="5" spans="1:130" ht="14.45" customHeight="1" x14ac:dyDescent="0.25">
      <c r="A5" s="65" t="s">
        <v>29</v>
      </c>
      <c r="B5" t="s">
        <v>30</v>
      </c>
      <c r="C5" t="s">
        <v>31</v>
      </c>
      <c r="E5">
        <v>9639</v>
      </c>
      <c r="F5">
        <f>augustus2025!E5</f>
        <v>9412</v>
      </c>
      <c r="G5">
        <f>Tabel242567891011121314151716181921202223261415181920[[#This Row],[Stand Coffee einde maand]]-Tabel242567891011121314151716181921202223261415181920[[#This Row],[Coffee vorige maand]]</f>
        <v>227</v>
      </c>
      <c r="H5" s="53">
        <v>4390</v>
      </c>
      <c r="I5">
        <f>augustus2025!H5</f>
        <v>4220</v>
      </c>
      <c r="J5">
        <f>Tabel242567891011121314151716181921202223261415181920[[#This Row],[Stand Espresso Einde maand]]-Tabel242567891011121314151716181921202223261415181920[[#This Row],[Espresso vorige maand]]</f>
        <v>170</v>
      </c>
      <c r="K5" s="53">
        <v>2595</v>
      </c>
      <c r="L5">
        <f>augustus2025!K5</f>
        <v>2540</v>
      </c>
      <c r="M5">
        <f>Tabel242567891011121314151716181921202223261415181920[[#This Row],[Stand Latte Macchiato einde maand]]-Tabel242567891011121314151716181921202223261415181920[[#This Row],[Latte Macchiato vorige maand]]</f>
        <v>55</v>
      </c>
      <c r="N5" s="53">
        <v>1318</v>
      </c>
      <c r="O5">
        <f>augustus2025!N5</f>
        <v>1291</v>
      </c>
      <c r="P5">
        <f>Tabel242567891011121314151716181921202223261415181920[[#This Row],[Stand Coffee Latte einde maand]]-Tabel242567891011121314151716181921202223261415181920[[#This Row],[Coffee Latte vorige maand]]</f>
        <v>27</v>
      </c>
      <c r="Q5" s="53">
        <v>7874</v>
      </c>
      <c r="R5">
        <f>augustus2025!Q5</f>
        <v>7734</v>
      </c>
      <c r="S5">
        <f>Tabel242567891011121314151716181921202223261415181920[[#This Row],[Stand Hot Water einde maand]]-Tabel242567891011121314151716181921202223261415181920[[#This Row],[Hot Water vorige maand]]</f>
        <v>140</v>
      </c>
      <c r="T5" s="53">
        <v>10033</v>
      </c>
      <c r="U5">
        <f>augustus2025!T5</f>
        <v>9861</v>
      </c>
      <c r="V5">
        <f>Tabel242567891011121314151716181921202223261415181920[[#This Row],[Stand Cappucino einde maand]]-Tabel242567891011121314151716181921202223261415181920[[#This Row],[Stand Cappucino vorige maand]]</f>
        <v>172</v>
      </c>
      <c r="W5" s="53">
        <v>219</v>
      </c>
      <c r="X5">
        <f>augustus2025!W5</f>
        <v>218</v>
      </c>
      <c r="Y5">
        <f>Tabel242567891011121314151716181921202223261415181920[[#This Row],[Stand Cappucino Plantaardig einde maand]]-Tabel242567891011121314151716181921202223261415181920[[#This Row],[Stand Cappucino Plantaardig vorige maand]]</f>
        <v>1</v>
      </c>
      <c r="Z5" s="53">
        <v>373</v>
      </c>
      <c r="AA5">
        <f>augustus2025!Z5</f>
        <v>370</v>
      </c>
      <c r="AB5">
        <f>Tabel242567891011121314151716181921202223261415181920[[#This Row],[Stand Latte Macchiato Plantaardig einde maand]]-Tabel242567891011121314151716181921202223261415181920[[#This Row],[Stand Latte Macchiato Plantaardig vorige maand]]</f>
        <v>3</v>
      </c>
      <c r="AC5" s="71">
        <f>Tabel242567891011121314151716181921202223261415181920[[#This Row],[Verbruik Stand Latte Macchiato Plantaardig deze maand]]+Tabel242567891011121314151716181921202223261415181920[[#This Row],[Verbruik  Cappucino Plantaardig deze maand]]+Tabel242567891011121314151716181921202223261415181920[[#This Row],[Verbruik Cappucino deze maand]]+Tabel242567891011121314151716181921202223261415181920[[#This Row],[Verbruik Hot Water deze maand]]+Tabel242567891011121314151716181921202223261415181920[[#This Row],[Verbruik Coffee Latte deze maand]]+Tabel242567891011121314151716181921202223261415181920[[#This Row],[Verbruik Latte Macchiato deze maand]]+Tabel242567891011121314151716181921202223261415181920[[#This Row],[Verbruik Espresso deze maand]]+Tabel242567891011121314151716181921202223261415181920[[#This Row],[Verbruik Coffee deze maand]]</f>
        <v>795</v>
      </c>
      <c r="AD5" s="69"/>
      <c r="AE5" s="41"/>
      <c r="AF5" s="5"/>
      <c r="AG5" s="5"/>
      <c r="AH5" s="69"/>
      <c r="AI5" s="41"/>
      <c r="AJ5" s="5"/>
      <c r="AK5" s="5"/>
      <c r="AL5" s="69"/>
      <c r="AM5" s="41"/>
      <c r="AN5" s="5"/>
      <c r="AO5" s="5"/>
      <c r="AP5" s="69"/>
      <c r="AQ5" s="41"/>
      <c r="AR5" s="5"/>
      <c r="AS5" s="5"/>
      <c r="AT5" s="69"/>
      <c r="AU5" s="41"/>
      <c r="AV5" s="5"/>
      <c r="AW5" s="7"/>
      <c r="AX5" s="78"/>
      <c r="AY5" s="95">
        <f>Tabel242567891011121314151716181921202223261415181920[[#This Row],[Subtotaal waterbar in consumpties]]+Tabel242567891011121314151716181921202223261415181920[[#This Row],[Subtotaal koffieautomaten]]</f>
        <v>795</v>
      </c>
    </row>
    <row r="6" spans="1:130" ht="14.45" customHeight="1" x14ac:dyDescent="0.25">
      <c r="A6" s="65" t="s">
        <v>32</v>
      </c>
      <c r="B6" t="s">
        <v>33</v>
      </c>
      <c r="C6" t="s">
        <v>31</v>
      </c>
      <c r="E6">
        <v>14474</v>
      </c>
      <c r="F6">
        <f>augustus2025!E6</f>
        <v>13933</v>
      </c>
      <c r="G6">
        <f>Tabel242567891011121314151716181921202223261415181920[[#This Row],[Stand Coffee einde maand]]-Tabel242567891011121314151716181921202223261415181920[[#This Row],[Coffee vorige maand]]</f>
        <v>541</v>
      </c>
      <c r="H6" s="53">
        <v>4039</v>
      </c>
      <c r="I6">
        <f>augustus2025!H6</f>
        <v>3899</v>
      </c>
      <c r="J6">
        <f>Tabel242567891011121314151716181921202223261415181920[[#This Row],[Stand Espresso Einde maand]]-Tabel242567891011121314151716181921202223261415181920[[#This Row],[Espresso vorige maand]]</f>
        <v>140</v>
      </c>
      <c r="K6" s="53">
        <v>2713</v>
      </c>
      <c r="L6">
        <f>augustus2025!K6</f>
        <v>2637</v>
      </c>
      <c r="M6">
        <f>Tabel242567891011121314151716181921202223261415181920[[#This Row],[Stand Latte Macchiato einde maand]]-Tabel242567891011121314151716181921202223261415181920[[#This Row],[Latte Macchiato vorige maand]]</f>
        <v>76</v>
      </c>
      <c r="N6" s="53">
        <v>2177</v>
      </c>
      <c r="O6">
        <f>augustus2025!N6</f>
        <v>2123</v>
      </c>
      <c r="P6">
        <f>Tabel242567891011121314151716181921202223261415181920[[#This Row],[Stand Coffee Latte einde maand]]-Tabel242567891011121314151716181921202223261415181920[[#This Row],[Coffee Latte vorige maand]]</f>
        <v>54</v>
      </c>
      <c r="Q6" s="53">
        <v>31563</v>
      </c>
      <c r="R6">
        <f>augustus2025!Q6</f>
        <v>30399</v>
      </c>
      <c r="S6">
        <f>Tabel242567891011121314151716181921202223261415181920[[#This Row],[Stand Hot Water einde maand]]-Tabel242567891011121314151716181921202223261415181920[[#This Row],[Hot Water vorige maand]]</f>
        <v>1164</v>
      </c>
      <c r="T6" s="53">
        <v>13188</v>
      </c>
      <c r="U6">
        <f>augustus2025!T6</f>
        <v>12874</v>
      </c>
      <c r="V6">
        <f>Tabel242567891011121314151716181921202223261415181920[[#This Row],[Stand Cappucino einde maand]]-Tabel242567891011121314151716181921202223261415181920[[#This Row],[Stand Cappucino vorige maand]]</f>
        <v>314</v>
      </c>
      <c r="W6" s="53">
        <v>1894</v>
      </c>
      <c r="X6">
        <f>augustus2025!W6</f>
        <v>1821</v>
      </c>
      <c r="Y6">
        <f>Tabel242567891011121314151716181921202223261415181920[[#This Row],[Stand Cappucino Plantaardig einde maand]]-Tabel242567891011121314151716181921202223261415181920[[#This Row],[Stand Cappucino Plantaardig vorige maand]]</f>
        <v>73</v>
      </c>
      <c r="Z6" s="53">
        <v>825</v>
      </c>
      <c r="AA6">
        <f>augustus2025!Z6</f>
        <v>797</v>
      </c>
      <c r="AB6">
        <f>Tabel242567891011121314151716181921202223261415181920[[#This Row],[Stand Latte Macchiato Plantaardig einde maand]]-Tabel242567891011121314151716181921202223261415181920[[#This Row],[Stand Latte Macchiato Plantaardig vorige maand]]</f>
        <v>28</v>
      </c>
      <c r="AC6" s="71">
        <f>Tabel242567891011121314151716181921202223261415181920[[#This Row],[Verbruik Stand Latte Macchiato Plantaardig deze maand]]+Tabel242567891011121314151716181921202223261415181920[[#This Row],[Verbruik  Cappucino Plantaardig deze maand]]+Tabel242567891011121314151716181921202223261415181920[[#This Row],[Verbruik Cappucino deze maand]]+Tabel242567891011121314151716181921202223261415181920[[#This Row],[Verbruik Hot Water deze maand]]+Tabel242567891011121314151716181921202223261415181920[[#This Row],[Verbruik Coffee Latte deze maand]]+Tabel242567891011121314151716181921202223261415181920[[#This Row],[Verbruik Latte Macchiato deze maand]]+Tabel242567891011121314151716181921202223261415181920[[#This Row],[Verbruik Espresso deze maand]]+Tabel242567891011121314151716181921202223261415181920[[#This Row],[Verbruik Coffee deze maand]]</f>
        <v>2390</v>
      </c>
      <c r="AD6" s="69"/>
      <c r="AE6" s="41"/>
      <c r="AF6" s="5"/>
      <c r="AG6" s="5"/>
      <c r="AH6" s="69"/>
      <c r="AI6" s="41"/>
      <c r="AJ6" s="5"/>
      <c r="AK6" s="5"/>
      <c r="AL6" s="69"/>
      <c r="AM6" s="41"/>
      <c r="AN6" s="5"/>
      <c r="AO6" s="5"/>
      <c r="AP6" s="69"/>
      <c r="AQ6" s="41"/>
      <c r="AR6" s="5"/>
      <c r="AS6" s="5"/>
      <c r="AT6" s="69"/>
      <c r="AU6" s="41"/>
      <c r="AV6" s="5"/>
      <c r="AW6" s="7"/>
      <c r="AX6" s="78"/>
      <c r="AY6" s="95">
        <f>Tabel242567891011121314151716181921202223261415181920[[#This Row],[Subtotaal waterbar in consumpties]]+Tabel242567891011121314151716181921202223261415181920[[#This Row],[Subtotaal koffieautomaten]]</f>
        <v>2390</v>
      </c>
    </row>
    <row r="7" spans="1:130" ht="14.45" customHeight="1" x14ac:dyDescent="0.25">
      <c r="A7" s="65" t="s">
        <v>34</v>
      </c>
      <c r="B7" t="s">
        <v>35</v>
      </c>
      <c r="C7" t="s">
        <v>47</v>
      </c>
      <c r="E7">
        <v>14274</v>
      </c>
      <c r="F7">
        <f>augustus2025!E7</f>
        <v>13718</v>
      </c>
      <c r="G7">
        <f>Tabel242567891011121314151716181921202223261415181920[[#This Row],[Stand Coffee einde maand]]-Tabel242567891011121314151716181921202223261415181920[[#This Row],[Coffee vorige maand]]</f>
        <v>556</v>
      </c>
      <c r="H7" s="53">
        <v>3961</v>
      </c>
      <c r="I7">
        <f>augustus2025!H7</f>
        <v>3750</v>
      </c>
      <c r="J7">
        <f>Tabel242567891011121314151716181921202223261415181920[[#This Row],[Stand Espresso Einde maand]]-Tabel242567891011121314151716181921202223261415181920[[#This Row],[Espresso vorige maand]]</f>
        <v>211</v>
      </c>
      <c r="K7" s="53">
        <v>3574</v>
      </c>
      <c r="L7">
        <f>augustus2025!K7</f>
        <v>3380</v>
      </c>
      <c r="M7">
        <f>Tabel242567891011121314151716181921202223261415181920[[#This Row],[Stand Latte Macchiato einde maand]]-Tabel242567891011121314151716181921202223261415181920[[#This Row],[Latte Macchiato vorige maand]]</f>
        <v>194</v>
      </c>
      <c r="N7" s="53">
        <v>1656</v>
      </c>
      <c r="O7">
        <f>augustus2025!N7</f>
        <v>1547</v>
      </c>
      <c r="P7">
        <f>Tabel242567891011121314151716181921202223261415181920[[#This Row],[Stand Coffee Latte einde maand]]-Tabel242567891011121314151716181921202223261415181920[[#This Row],[Coffee Latte vorige maand]]</f>
        <v>109</v>
      </c>
      <c r="Q7" s="53">
        <v>12778</v>
      </c>
      <c r="R7">
        <f>augustus2025!Q7</f>
        <v>12376</v>
      </c>
      <c r="S7">
        <f>Tabel242567891011121314151716181921202223261415181920[[#This Row],[Stand Hot Water einde maand]]-Tabel242567891011121314151716181921202223261415181920[[#This Row],[Hot Water vorige maand]]</f>
        <v>402</v>
      </c>
      <c r="T7" s="53">
        <v>13344</v>
      </c>
      <c r="U7">
        <f>augustus2025!T7</f>
        <v>12946</v>
      </c>
      <c r="V7">
        <f>Tabel242567891011121314151716181921202223261415181920[[#This Row],[Stand Cappucino einde maand]]-Tabel242567891011121314151716181921202223261415181920[[#This Row],[Stand Cappucino vorige maand]]</f>
        <v>398</v>
      </c>
      <c r="W7" s="53">
        <v>1290</v>
      </c>
      <c r="X7">
        <f>augustus2025!W7</f>
        <v>1223</v>
      </c>
      <c r="Y7">
        <f>Tabel242567891011121314151716181921202223261415181920[[#This Row],[Stand Cappucino Plantaardig einde maand]]-Tabel242567891011121314151716181921202223261415181920[[#This Row],[Stand Cappucino Plantaardig vorige maand]]</f>
        <v>67</v>
      </c>
      <c r="Z7" s="53">
        <v>513</v>
      </c>
      <c r="AA7">
        <f>augustus2025!Z7</f>
        <v>502</v>
      </c>
      <c r="AB7">
        <f>Tabel242567891011121314151716181921202223261415181920[[#This Row],[Stand Latte Macchiato Plantaardig einde maand]]-Tabel242567891011121314151716181921202223261415181920[[#This Row],[Stand Latte Macchiato Plantaardig vorige maand]]</f>
        <v>11</v>
      </c>
      <c r="AC7" s="71">
        <f>Tabel242567891011121314151716181921202223261415181920[[#This Row],[Verbruik Stand Latte Macchiato Plantaardig deze maand]]+Tabel242567891011121314151716181921202223261415181920[[#This Row],[Verbruik  Cappucino Plantaardig deze maand]]+Tabel242567891011121314151716181921202223261415181920[[#This Row],[Verbruik Cappucino deze maand]]+Tabel242567891011121314151716181921202223261415181920[[#This Row],[Verbruik Hot Water deze maand]]+Tabel242567891011121314151716181921202223261415181920[[#This Row],[Verbruik Coffee Latte deze maand]]+Tabel242567891011121314151716181921202223261415181920[[#This Row],[Verbruik Latte Macchiato deze maand]]+Tabel242567891011121314151716181921202223261415181920[[#This Row],[Verbruik Espresso deze maand]]+Tabel242567891011121314151716181921202223261415181920[[#This Row],[Verbruik Coffee deze maand]]</f>
        <v>1948</v>
      </c>
      <c r="AD7" s="53">
        <v>477.7</v>
      </c>
      <c r="AE7">
        <f>augustus2025!AD7</f>
        <v>446.8</v>
      </c>
      <c r="AF7">
        <f>Tabel242567891011121314151716181921202223261415181920[[#This Row],[Stand Kamertemp liter einde maand]]-Tabel242567891011121314151716181921202223261415181920[[#This Row],[Stand Kamertemp liter vorige maand]]</f>
        <v>30.899999999999977</v>
      </c>
      <c r="AG7" s="2">
        <f>Tabel242567891011121314151716181921202223261415181920[[#This Row],[Verbruik Kamertemp liter deze maand]]/0.15</f>
        <v>205.99999999999986</v>
      </c>
      <c r="AH7" s="53">
        <v>1428.6</v>
      </c>
      <c r="AI7">
        <f>augustus2025!AH7</f>
        <v>1256.9000000000001</v>
      </c>
      <c r="AJ7">
        <f>Tabel242567891011121314151716181921202223261415181920[[#This Row],[Stand Gekoeld liter einde maand]]-Tabel242567891011121314151716181921202223261415181920[[#This Row],[Stand Gekoeld liter vorige maand]]</f>
        <v>171.69999999999982</v>
      </c>
      <c r="AK7" s="2">
        <f>Tabel242567891011121314151716181921202223261415181920[[#This Row],[Verbruik Gekoeld liter deze maand]]/0.15</f>
        <v>1144.6666666666656</v>
      </c>
      <c r="AL7" s="53">
        <v>704.8</v>
      </c>
      <c r="AM7">
        <f>augustus2025!AL7</f>
        <v>627.6</v>
      </c>
      <c r="AN7">
        <f>Tabel242567891011121314151716181921202223261415181920[[#This Row],[Stand Bruisend liter einde maand]]-Tabel242567891011121314151716181921202223261415181920[[#This Row],[Stand Bruisend liter vorige maand]]</f>
        <v>77.199999999999932</v>
      </c>
      <c r="AO7" s="2">
        <f>Tabel242567891011121314151716181921202223261415181920[[#This Row],[Verbruik Bruisend liter deze maand]]/0.15</f>
        <v>514.66666666666629</v>
      </c>
      <c r="AP7" s="53">
        <v>541.4</v>
      </c>
      <c r="AQ7">
        <f>augustus2025!AP7</f>
        <v>496.5</v>
      </c>
      <c r="AR7">
        <f>Tabel242567891011121314151716181921202223261415181920[[#This Row],[Stand licht bruisend liter einde maand]]-Tabel242567891011121314151716181921202223261415181920[[#This Row],[Stand licht bruisend liter vorige maand]]</f>
        <v>44.899999999999977</v>
      </c>
      <c r="AS7" s="2">
        <f>Tabel242567891011121314151716181921202223261415181920[[#This Row],[Verbruik licht bruisend liter deze maand]]/0.15</f>
        <v>299.3333333333332</v>
      </c>
      <c r="AT7" s="53">
        <v>1996.7</v>
      </c>
      <c r="AU7">
        <f>augustus2025!AT7</f>
        <v>1789.7</v>
      </c>
      <c r="AV7">
        <f>Tabel242567891011121314151716181921202223261415181920[[#This Row],[Stand heet water liter einde maand]]-Tabel242567891011121314151716181921202223261415181920[[#This Row],[Stand heet water liter vorige maand]]</f>
        <v>207</v>
      </c>
      <c r="AW7" s="2">
        <f>Tabel242567891011121314151716181921202223261415181920[[#This Row],[Verbruik heet Water liter deze maand ]]/0.15</f>
        <v>1380</v>
      </c>
      <c r="AX7" s="77">
        <f>Tabel242567891011121314151716181921202223261415181920[[#This Row],[Aantal consumpties heet water deze maand]]+Tabel242567891011121314151716181921202223261415181920[[#This Row],[Aantal consumpties licht bruisend water deze maand]]+Tabel242567891011121314151716181921202223261415181920[[#This Row],[aantal consumpties Bruisend water deze maand]]+Tabel242567891011121314151716181921202223261415181920[[#This Row],[Aantal consumpties gekoeld water deze maand]]+Tabel242567891011121314151716181921202223261415181920[[#This Row],[Aantal consumpties Kamertemp deze maand]]</f>
        <v>3544.6666666666652</v>
      </c>
      <c r="AY7" s="95">
        <f>Tabel242567891011121314151716181921202223261415181920[[#This Row],[Subtotaal waterbar in consumpties]]+Tabel242567891011121314151716181921202223261415181920[[#This Row],[Subtotaal koffieautomaten]]</f>
        <v>5492.6666666666652</v>
      </c>
    </row>
    <row r="8" spans="1:130" ht="14.45" customHeight="1" x14ac:dyDescent="0.25">
      <c r="A8" s="65" t="s">
        <v>37</v>
      </c>
      <c r="B8" t="s">
        <v>38</v>
      </c>
      <c r="C8" t="s">
        <v>31</v>
      </c>
      <c r="E8">
        <v>22029</v>
      </c>
      <c r="F8">
        <f>augustus2025!E8</f>
        <v>21392</v>
      </c>
      <c r="G8">
        <f>Tabel242567891011121314151716181921202223261415181920[[#This Row],[Stand Coffee einde maand]]-Tabel242567891011121314151716181921202223261415181920[[#This Row],[Coffee vorige maand]]</f>
        <v>637</v>
      </c>
      <c r="H8" s="53">
        <v>4732</v>
      </c>
      <c r="I8">
        <f>augustus2025!H8</f>
        <v>4636</v>
      </c>
      <c r="J8">
        <f>Tabel242567891011121314151716181921202223261415181920[[#This Row],[Stand Espresso Einde maand]]-Tabel242567891011121314151716181921202223261415181920[[#This Row],[Espresso vorige maand]]</f>
        <v>96</v>
      </c>
      <c r="K8" s="53">
        <v>2416</v>
      </c>
      <c r="L8">
        <f>augustus2025!K8</f>
        <v>2370</v>
      </c>
      <c r="M8">
        <f>Tabel242567891011121314151716181921202223261415181920[[#This Row],[Stand Latte Macchiato einde maand]]-Tabel242567891011121314151716181921202223261415181920[[#This Row],[Latte Macchiato vorige maand]]</f>
        <v>46</v>
      </c>
      <c r="N8" s="53">
        <v>3519</v>
      </c>
      <c r="O8">
        <f>augustus2025!N8</f>
        <v>3350</v>
      </c>
      <c r="P8">
        <f>Tabel242567891011121314151716181921202223261415181920[[#This Row],[Stand Coffee Latte einde maand]]-Tabel242567891011121314151716181921202223261415181920[[#This Row],[Coffee Latte vorige maand]]</f>
        <v>169</v>
      </c>
      <c r="Q8" s="53">
        <v>48930</v>
      </c>
      <c r="R8">
        <f>augustus2025!Q8</f>
        <v>47139</v>
      </c>
      <c r="S8">
        <f>Tabel242567891011121314151716181921202223261415181920[[#This Row],[Stand Hot Water einde maand]]-Tabel242567891011121314151716181921202223261415181920[[#This Row],[Hot Water vorige maand]]</f>
        <v>1791</v>
      </c>
      <c r="T8" s="53">
        <v>12778</v>
      </c>
      <c r="U8">
        <f>augustus2025!T8</f>
        <v>12481</v>
      </c>
      <c r="V8">
        <f>Tabel242567891011121314151716181921202223261415181920[[#This Row],[Stand Cappucino einde maand]]-Tabel242567891011121314151716181921202223261415181920[[#This Row],[Stand Cappucino vorige maand]]</f>
        <v>297</v>
      </c>
      <c r="W8" s="53">
        <v>1224</v>
      </c>
      <c r="X8">
        <f>augustus2025!W8</f>
        <v>1135</v>
      </c>
      <c r="Y8">
        <f>Tabel242567891011121314151716181921202223261415181920[[#This Row],[Stand Cappucino Plantaardig einde maand]]-Tabel242567891011121314151716181921202223261415181920[[#This Row],[Stand Cappucino Plantaardig vorige maand]]</f>
        <v>89</v>
      </c>
      <c r="Z8" s="53">
        <v>638</v>
      </c>
      <c r="AA8">
        <f>augustus2025!Z8</f>
        <v>628</v>
      </c>
      <c r="AB8">
        <f>Tabel242567891011121314151716181921202223261415181920[[#This Row],[Stand Latte Macchiato Plantaardig einde maand]]-Tabel242567891011121314151716181921202223261415181920[[#This Row],[Stand Latte Macchiato Plantaardig vorige maand]]</f>
        <v>10</v>
      </c>
      <c r="AC8" s="71">
        <f>Tabel242567891011121314151716181921202223261415181920[[#This Row],[Verbruik Stand Latte Macchiato Plantaardig deze maand]]+Tabel242567891011121314151716181921202223261415181920[[#This Row],[Verbruik  Cappucino Plantaardig deze maand]]+Tabel242567891011121314151716181921202223261415181920[[#This Row],[Verbruik Cappucino deze maand]]+Tabel242567891011121314151716181921202223261415181920[[#This Row],[Verbruik Hot Water deze maand]]+Tabel242567891011121314151716181921202223261415181920[[#This Row],[Verbruik Coffee Latte deze maand]]+Tabel242567891011121314151716181921202223261415181920[[#This Row],[Verbruik Latte Macchiato deze maand]]+Tabel242567891011121314151716181921202223261415181920[[#This Row],[Verbruik Espresso deze maand]]+Tabel242567891011121314151716181921202223261415181920[[#This Row],[Verbruik Coffee deze maand]]</f>
        <v>3135</v>
      </c>
      <c r="AD8" s="69"/>
      <c r="AE8" s="41"/>
      <c r="AF8" s="5"/>
      <c r="AG8" s="41"/>
      <c r="AH8" s="69"/>
      <c r="AI8" s="41"/>
      <c r="AJ8" s="41"/>
      <c r="AK8" s="41"/>
      <c r="AL8" s="75"/>
      <c r="AM8" s="41"/>
      <c r="AN8" s="41"/>
      <c r="AO8" s="5"/>
      <c r="AP8" s="69"/>
      <c r="AQ8" s="41"/>
      <c r="AR8" s="5"/>
      <c r="AS8" s="41"/>
      <c r="AT8" s="69"/>
      <c r="AU8" s="41"/>
      <c r="AV8" s="41"/>
      <c r="AW8" s="41"/>
      <c r="AX8" s="79"/>
      <c r="AY8" s="95">
        <f>Tabel242567891011121314151716181921202223261415181920[[#This Row],[Subtotaal waterbar in consumpties]]+Tabel242567891011121314151716181921202223261415181920[[#This Row],[Subtotaal koffieautomaten]]</f>
        <v>3135</v>
      </c>
    </row>
    <row r="9" spans="1:130" ht="14.45" customHeight="1" x14ac:dyDescent="0.25">
      <c r="A9" s="65" t="s">
        <v>39</v>
      </c>
      <c r="B9" t="s">
        <v>40</v>
      </c>
      <c r="C9" t="s">
        <v>31</v>
      </c>
      <c r="E9">
        <v>26365</v>
      </c>
      <c r="F9">
        <f>augustus2025!E9</f>
        <v>25876</v>
      </c>
      <c r="G9">
        <f>Tabel242567891011121314151716181921202223261415181920[[#This Row],[Stand Coffee einde maand]]-Tabel242567891011121314151716181921202223261415181920[[#This Row],[Coffee vorige maand]]</f>
        <v>489</v>
      </c>
      <c r="H9" s="53">
        <v>4500</v>
      </c>
      <c r="I9">
        <f>augustus2025!H9</f>
        <v>4420</v>
      </c>
      <c r="J9">
        <f>Tabel242567891011121314151716181921202223261415181920[[#This Row],[Stand Espresso Einde maand]]-Tabel242567891011121314151716181921202223261415181920[[#This Row],[Espresso vorige maand]]</f>
        <v>80</v>
      </c>
      <c r="K9" s="53">
        <v>3080</v>
      </c>
      <c r="L9">
        <f>augustus2025!K9</f>
        <v>3045</v>
      </c>
      <c r="M9">
        <f>Tabel242567891011121314151716181921202223261415181920[[#This Row],[Stand Latte Macchiato einde maand]]-Tabel242567891011121314151716181921202223261415181920[[#This Row],[Latte Macchiato vorige maand]]</f>
        <v>35</v>
      </c>
      <c r="N9" s="53">
        <v>2262</v>
      </c>
      <c r="O9">
        <f>augustus2025!N9</f>
        <v>2189</v>
      </c>
      <c r="P9">
        <f>Tabel242567891011121314151716181921202223261415181920[[#This Row],[Stand Coffee Latte einde maand]]-Tabel242567891011121314151716181921202223261415181920[[#This Row],[Coffee Latte vorige maand]]</f>
        <v>73</v>
      </c>
      <c r="Q9" s="53">
        <v>37627</v>
      </c>
      <c r="R9">
        <f>augustus2025!Q9</f>
        <v>36560</v>
      </c>
      <c r="S9">
        <f>Tabel242567891011121314151716181921202223261415181920[[#This Row],[Stand Hot Water einde maand]]-Tabel242567891011121314151716181921202223261415181920[[#This Row],[Hot Water vorige maand]]</f>
        <v>1067</v>
      </c>
      <c r="T9" s="53">
        <v>20648</v>
      </c>
      <c r="U9">
        <f>augustus2025!T9</f>
        <v>20075</v>
      </c>
      <c r="V9">
        <f>Tabel242567891011121314151716181921202223261415181920[[#This Row],[Stand Cappucino einde maand]]-Tabel242567891011121314151716181921202223261415181920[[#This Row],[Stand Cappucino vorige maand]]</f>
        <v>573</v>
      </c>
      <c r="W9" s="53">
        <v>812</v>
      </c>
      <c r="X9">
        <f>augustus2025!W9</f>
        <v>809</v>
      </c>
      <c r="Y9">
        <f>Tabel242567891011121314151716181921202223261415181920[[#This Row],[Stand Cappucino Plantaardig einde maand]]-Tabel242567891011121314151716181921202223261415181920[[#This Row],[Stand Cappucino Plantaardig vorige maand]]</f>
        <v>3</v>
      </c>
      <c r="Z9" s="53">
        <v>230</v>
      </c>
      <c r="AA9">
        <f>augustus2025!Z9</f>
        <v>228</v>
      </c>
      <c r="AB9">
        <f>Tabel242567891011121314151716181921202223261415181920[[#This Row],[Stand Latte Macchiato Plantaardig einde maand]]-Tabel242567891011121314151716181921202223261415181920[[#This Row],[Stand Latte Macchiato Plantaardig vorige maand]]</f>
        <v>2</v>
      </c>
      <c r="AC9" s="71">
        <f>Tabel242567891011121314151716181921202223261415181920[[#This Row],[Verbruik Stand Latte Macchiato Plantaardig deze maand]]+Tabel242567891011121314151716181921202223261415181920[[#This Row],[Verbruik  Cappucino Plantaardig deze maand]]+Tabel242567891011121314151716181921202223261415181920[[#This Row],[Verbruik Cappucino deze maand]]+Tabel242567891011121314151716181921202223261415181920[[#This Row],[Verbruik Hot Water deze maand]]+Tabel242567891011121314151716181921202223261415181920[[#This Row],[Verbruik Coffee Latte deze maand]]+Tabel242567891011121314151716181921202223261415181920[[#This Row],[Verbruik Latte Macchiato deze maand]]+Tabel242567891011121314151716181921202223261415181920[[#This Row],[Verbruik Espresso deze maand]]+Tabel242567891011121314151716181921202223261415181920[[#This Row],[Verbruik Coffee deze maand]]</f>
        <v>2322</v>
      </c>
      <c r="AD9" s="69"/>
      <c r="AE9" s="41"/>
      <c r="AF9" s="5"/>
      <c r="AG9" s="41"/>
      <c r="AH9" s="69"/>
      <c r="AI9" s="41"/>
      <c r="AJ9" s="41"/>
      <c r="AK9" s="41"/>
      <c r="AL9" s="75"/>
      <c r="AM9" s="41"/>
      <c r="AN9" s="41"/>
      <c r="AO9" s="5"/>
      <c r="AP9" s="69"/>
      <c r="AQ9" s="41"/>
      <c r="AR9" s="5"/>
      <c r="AS9" s="41"/>
      <c r="AT9" s="69"/>
      <c r="AU9" s="41"/>
      <c r="AV9" s="41"/>
      <c r="AW9" s="41"/>
      <c r="AX9" s="79"/>
      <c r="AY9" s="95">
        <f>Tabel242567891011121314151716181921202223261415181920[[#This Row],[Subtotaal waterbar in consumpties]]+Tabel242567891011121314151716181921202223261415181920[[#This Row],[Subtotaal koffieautomaten]]</f>
        <v>2322</v>
      </c>
    </row>
    <row r="10" spans="1:130" ht="14.45" customHeight="1" x14ac:dyDescent="0.25">
      <c r="A10" s="65" t="s">
        <v>41</v>
      </c>
      <c r="B10" t="s">
        <v>42</v>
      </c>
      <c r="C10" t="s">
        <v>31</v>
      </c>
      <c r="E10">
        <v>15258</v>
      </c>
      <c r="F10">
        <f>augustus2025!E10</f>
        <v>14818</v>
      </c>
      <c r="G10">
        <f>Tabel242567891011121314151716181921202223261415181920[[#This Row],[Stand Coffee einde maand]]-Tabel242567891011121314151716181921202223261415181920[[#This Row],[Coffee vorige maand]]</f>
        <v>440</v>
      </c>
      <c r="H10" s="53">
        <v>3454</v>
      </c>
      <c r="I10">
        <f>augustus2025!H10</f>
        <v>3321</v>
      </c>
      <c r="J10">
        <f>Tabel242567891011121314151716181921202223261415181920[[#This Row],[Stand Espresso Einde maand]]-Tabel242567891011121314151716181921202223261415181920[[#This Row],[Espresso vorige maand]]</f>
        <v>133</v>
      </c>
      <c r="K10" s="53">
        <v>2469</v>
      </c>
      <c r="L10">
        <f>augustus2025!K10</f>
        <v>2418</v>
      </c>
      <c r="M10">
        <f>Tabel242567891011121314151716181921202223261415181920[[#This Row],[Stand Latte Macchiato einde maand]]-Tabel242567891011121314151716181921202223261415181920[[#This Row],[Latte Macchiato vorige maand]]</f>
        <v>51</v>
      </c>
      <c r="N10" s="53">
        <v>1409</v>
      </c>
      <c r="O10">
        <f>augustus2025!N10</f>
        <v>1378</v>
      </c>
      <c r="P10">
        <f>Tabel242567891011121314151716181921202223261415181920[[#This Row],[Stand Coffee Latte einde maand]]-Tabel242567891011121314151716181921202223261415181920[[#This Row],[Coffee Latte vorige maand]]</f>
        <v>31</v>
      </c>
      <c r="Q10" s="53">
        <v>42419</v>
      </c>
      <c r="R10">
        <f>augustus2025!Q10</f>
        <v>41172</v>
      </c>
      <c r="S10">
        <f>Tabel242567891011121314151716181921202223261415181920[[#This Row],[Stand Hot Water einde maand]]-Tabel242567891011121314151716181921202223261415181920[[#This Row],[Hot Water vorige maand]]</f>
        <v>1247</v>
      </c>
      <c r="T10" s="53">
        <v>10032</v>
      </c>
      <c r="U10">
        <f>augustus2025!T10</f>
        <v>9643</v>
      </c>
      <c r="V10">
        <f>Tabel242567891011121314151716181921202223261415181920[[#This Row],[Stand Cappucino einde maand]]-Tabel242567891011121314151716181921202223261415181920[[#This Row],[Stand Cappucino vorige maand]]</f>
        <v>389</v>
      </c>
      <c r="W10" s="53">
        <v>2229</v>
      </c>
      <c r="X10">
        <f>augustus2025!W10</f>
        <v>2179</v>
      </c>
      <c r="Y10">
        <f>Tabel242567891011121314151716181921202223261415181920[[#This Row],[Stand Cappucino Plantaardig einde maand]]-Tabel242567891011121314151716181921202223261415181920[[#This Row],[Stand Cappucino Plantaardig vorige maand]]</f>
        <v>50</v>
      </c>
      <c r="Z10" s="53">
        <v>756</v>
      </c>
      <c r="AA10">
        <f>augustus2025!Z10</f>
        <v>745</v>
      </c>
      <c r="AB10">
        <f>Tabel242567891011121314151716181921202223261415181920[[#This Row],[Stand Latte Macchiato Plantaardig einde maand]]-Tabel242567891011121314151716181921202223261415181920[[#This Row],[Stand Latte Macchiato Plantaardig vorige maand]]</f>
        <v>11</v>
      </c>
      <c r="AC10" s="71">
        <f>Tabel242567891011121314151716181921202223261415181920[[#This Row],[Verbruik Stand Latte Macchiato Plantaardig deze maand]]+Tabel242567891011121314151716181921202223261415181920[[#This Row],[Verbruik  Cappucino Plantaardig deze maand]]+Tabel242567891011121314151716181921202223261415181920[[#This Row],[Verbruik Cappucino deze maand]]+Tabel242567891011121314151716181921202223261415181920[[#This Row],[Verbruik Hot Water deze maand]]+Tabel242567891011121314151716181921202223261415181920[[#This Row],[Verbruik Coffee Latte deze maand]]+Tabel242567891011121314151716181921202223261415181920[[#This Row],[Verbruik Latte Macchiato deze maand]]+Tabel242567891011121314151716181921202223261415181920[[#This Row],[Verbruik Espresso deze maand]]+Tabel242567891011121314151716181921202223261415181920[[#This Row],[Verbruik Coffee deze maand]]</f>
        <v>2352</v>
      </c>
      <c r="AD10" s="69"/>
      <c r="AE10" s="41"/>
      <c r="AF10" s="5"/>
      <c r="AG10" s="41"/>
      <c r="AH10" s="69"/>
      <c r="AI10" s="41"/>
      <c r="AJ10" s="41"/>
      <c r="AK10" s="41"/>
      <c r="AL10" s="75"/>
      <c r="AM10" s="41"/>
      <c r="AN10" s="41"/>
      <c r="AO10" s="5"/>
      <c r="AP10" s="69"/>
      <c r="AQ10" s="41"/>
      <c r="AR10" s="5"/>
      <c r="AS10" s="41"/>
      <c r="AT10" s="69"/>
      <c r="AU10" s="41"/>
      <c r="AV10" s="41"/>
      <c r="AW10" s="41"/>
      <c r="AX10" s="79"/>
      <c r="AY10" s="95">
        <f>Tabel242567891011121314151716181921202223261415181920[[#This Row],[Subtotaal waterbar in consumpties]]+Tabel242567891011121314151716181921202223261415181920[[#This Row],[Subtotaal koffieautomaten]]</f>
        <v>2352</v>
      </c>
    </row>
    <row r="11" spans="1:130" ht="14.45" customHeight="1" x14ac:dyDescent="0.25">
      <c r="A11" s="65" t="s">
        <v>43</v>
      </c>
      <c r="B11" t="s">
        <v>44</v>
      </c>
      <c r="C11" t="s">
        <v>31</v>
      </c>
      <c r="E11" s="102">
        <v>18514</v>
      </c>
      <c r="F11" s="102">
        <f>augustus2025!E11</f>
        <v>17628</v>
      </c>
      <c r="G11" s="102">
        <f>Tabel242567891011121314151716181921202223261415181920[[#This Row],[Stand Coffee einde maand]]-Tabel242567891011121314151716181921202223261415181920[[#This Row],[Coffee vorige maand]]</f>
        <v>886</v>
      </c>
      <c r="H11" s="97">
        <v>4128</v>
      </c>
      <c r="I11" s="102">
        <f>augustus2025!H11</f>
        <v>3950</v>
      </c>
      <c r="J11" s="102">
        <f>Tabel242567891011121314151716181921202223261415181920[[#This Row],[Stand Espresso Einde maand]]-Tabel242567891011121314151716181921202223261415181920[[#This Row],[Espresso vorige maand]]</f>
        <v>178</v>
      </c>
      <c r="K11" s="97">
        <v>1020</v>
      </c>
      <c r="L11" s="102">
        <f>augustus2025!K11</f>
        <v>1008</v>
      </c>
      <c r="M11" s="102">
        <f>Tabel242567891011121314151716181921202223261415181920[[#This Row],[Stand Latte Macchiato einde maand]]-Tabel242567891011121314151716181921202223261415181920[[#This Row],[Latte Macchiato vorige maand]]</f>
        <v>12</v>
      </c>
      <c r="N11" s="97">
        <v>1380</v>
      </c>
      <c r="O11" s="102">
        <f>augustus2025!N11</f>
        <v>1348</v>
      </c>
      <c r="P11" s="102">
        <f>Tabel242567891011121314151716181921202223261415181920[[#This Row],[Stand Coffee Latte einde maand]]-Tabel242567891011121314151716181921202223261415181920[[#This Row],[Coffee Latte vorige maand]]</f>
        <v>32</v>
      </c>
      <c r="Q11" s="97">
        <v>30755</v>
      </c>
      <c r="R11" s="102">
        <f>augustus2025!Q11</f>
        <v>29834</v>
      </c>
      <c r="S11" s="102">
        <f>Tabel242567891011121314151716181921202223261415181920[[#This Row],[Stand Hot Water einde maand]]-Tabel242567891011121314151716181921202223261415181920[[#This Row],[Hot Water vorige maand]]</f>
        <v>921</v>
      </c>
      <c r="T11" s="97">
        <v>9650</v>
      </c>
      <c r="U11" s="102">
        <f>augustus2025!T11</f>
        <v>9417</v>
      </c>
      <c r="V11" s="102">
        <f>Tabel242567891011121314151716181921202223261415181920[[#This Row],[Stand Cappucino einde maand]]-Tabel242567891011121314151716181921202223261415181920[[#This Row],[Stand Cappucino vorige maand]]</f>
        <v>233</v>
      </c>
      <c r="W11" s="97">
        <v>1684</v>
      </c>
      <c r="X11" s="102">
        <f>augustus2025!W11</f>
        <v>1641</v>
      </c>
      <c r="Y11" s="102">
        <f>Tabel242567891011121314151716181921202223261415181920[[#This Row],[Stand Cappucino Plantaardig einde maand]]-Tabel242567891011121314151716181921202223261415181920[[#This Row],[Stand Cappucino Plantaardig vorige maand]]</f>
        <v>43</v>
      </c>
      <c r="Z11" s="97">
        <v>1422</v>
      </c>
      <c r="AA11" s="102">
        <f>augustus2025!Z11</f>
        <v>1398</v>
      </c>
      <c r="AB11" s="102">
        <f>Tabel242567891011121314151716181921202223261415181920[[#This Row],[Stand Latte Macchiato Plantaardig einde maand]]-Tabel242567891011121314151716181921202223261415181920[[#This Row],[Stand Latte Macchiato Plantaardig vorige maand]]</f>
        <v>24</v>
      </c>
      <c r="AC11" s="71">
        <f>Tabel242567891011121314151716181921202223261415181920[[#This Row],[Verbruik Stand Latte Macchiato Plantaardig deze maand]]+Tabel242567891011121314151716181921202223261415181920[[#This Row],[Verbruik  Cappucino Plantaardig deze maand]]+Tabel242567891011121314151716181921202223261415181920[[#This Row],[Verbruik Cappucino deze maand]]+Tabel242567891011121314151716181921202223261415181920[[#This Row],[Verbruik Hot Water deze maand]]+Tabel242567891011121314151716181921202223261415181920[[#This Row],[Verbruik Coffee Latte deze maand]]+Tabel242567891011121314151716181921202223261415181920[[#This Row],[Verbruik Latte Macchiato deze maand]]+Tabel242567891011121314151716181921202223261415181920[[#This Row],[Verbruik Espresso deze maand]]+Tabel242567891011121314151716181921202223261415181920[[#This Row],[Verbruik Coffee deze maand]]</f>
        <v>2329</v>
      </c>
      <c r="AD11" s="69"/>
      <c r="AE11" s="41"/>
      <c r="AF11" s="5"/>
      <c r="AG11" s="41"/>
      <c r="AH11" s="69"/>
      <c r="AI11" s="41"/>
      <c r="AJ11" s="41"/>
      <c r="AK11" s="41"/>
      <c r="AL11" s="75"/>
      <c r="AM11" s="41"/>
      <c r="AN11" s="41"/>
      <c r="AO11" s="5"/>
      <c r="AP11" s="69"/>
      <c r="AQ11" s="41"/>
      <c r="AR11" s="5"/>
      <c r="AS11" s="41"/>
      <c r="AT11" s="69"/>
      <c r="AU11" s="41"/>
      <c r="AV11" s="41"/>
      <c r="AW11" s="41"/>
      <c r="AX11" s="79"/>
      <c r="AY11" s="95">
        <f>Tabel242567891011121314151716181921202223261415181920[[#This Row],[Subtotaal waterbar in consumpties]]+Tabel242567891011121314151716181921202223261415181920[[#This Row],[Subtotaal koffieautomaten]]</f>
        <v>2329</v>
      </c>
    </row>
    <row r="12" spans="1:130" ht="14.45" customHeight="1" x14ac:dyDescent="0.25">
      <c r="A12" s="65" t="s">
        <v>45</v>
      </c>
      <c r="B12" t="s">
        <v>46</v>
      </c>
      <c r="C12" t="s">
        <v>47</v>
      </c>
      <c r="E12">
        <v>31700</v>
      </c>
      <c r="F12">
        <f>augustus2025!E12</f>
        <v>30591</v>
      </c>
      <c r="G12">
        <f>Tabel242567891011121314151716181921202223261415181920[[#This Row],[Stand Coffee einde maand]]-Tabel242567891011121314151716181921202223261415181920[[#This Row],[Coffee vorige maand]]</f>
        <v>1109</v>
      </c>
      <c r="H12" s="53">
        <v>3445</v>
      </c>
      <c r="I12">
        <f>augustus2025!H12</f>
        <v>3196</v>
      </c>
      <c r="J12">
        <f>Tabel242567891011121314151716181921202223261415181920[[#This Row],[Stand Espresso Einde maand]]-Tabel242567891011121314151716181921202223261415181920[[#This Row],[Espresso vorige maand]]</f>
        <v>249</v>
      </c>
      <c r="K12" s="53">
        <v>1910</v>
      </c>
      <c r="L12">
        <f>augustus2025!K12</f>
        <v>1867</v>
      </c>
      <c r="M12">
        <f>Tabel242567891011121314151716181921202223261415181920[[#This Row],[Stand Latte Macchiato einde maand]]-Tabel242567891011121314151716181921202223261415181920[[#This Row],[Latte Macchiato vorige maand]]</f>
        <v>43</v>
      </c>
      <c r="N12" s="53">
        <v>1090</v>
      </c>
      <c r="O12">
        <f>augustus2025!N12</f>
        <v>1050</v>
      </c>
      <c r="P12">
        <f>Tabel242567891011121314151716181921202223261415181920[[#This Row],[Stand Coffee Latte einde maand]]-Tabel242567891011121314151716181921202223261415181920[[#This Row],[Coffee Latte vorige maand]]</f>
        <v>40</v>
      </c>
      <c r="Q12" s="53">
        <v>1</v>
      </c>
      <c r="R12">
        <f>augustus2025!Q12</f>
        <v>1</v>
      </c>
      <c r="S12">
        <f>Tabel242567891011121314151716181921202223261415181920[[#This Row],[Stand Hot Water einde maand]]-Tabel242567891011121314151716181921202223261415181920[[#This Row],[Hot Water vorige maand]]</f>
        <v>0</v>
      </c>
      <c r="T12" s="53">
        <v>9733</v>
      </c>
      <c r="U12">
        <f>augustus2025!T12</f>
        <v>9403</v>
      </c>
      <c r="V12">
        <f>Tabel242567891011121314151716181921202223261415181920[[#This Row],[Stand Cappucino einde maand]]-Tabel242567891011121314151716181921202223261415181920[[#This Row],[Stand Cappucino vorige maand]]</f>
        <v>330</v>
      </c>
      <c r="W12" s="53">
        <v>4034</v>
      </c>
      <c r="X12">
        <f>augustus2025!W12</f>
        <v>3929</v>
      </c>
      <c r="Y12">
        <f>Tabel242567891011121314151716181921202223261415181920[[#This Row],[Stand Cappucino Plantaardig einde maand]]-Tabel242567891011121314151716181921202223261415181920[[#This Row],[Stand Cappucino Plantaardig vorige maand]]</f>
        <v>105</v>
      </c>
      <c r="Z12" s="53">
        <v>855</v>
      </c>
      <c r="AA12">
        <f>augustus2025!Z12</f>
        <v>841</v>
      </c>
      <c r="AB12">
        <f>Tabel242567891011121314151716181921202223261415181920[[#This Row],[Stand Latte Macchiato Plantaardig einde maand]]-Tabel242567891011121314151716181921202223261415181920[[#This Row],[Stand Latte Macchiato Plantaardig vorige maand]]</f>
        <v>14</v>
      </c>
      <c r="AC12" s="71">
        <f>Tabel242567891011121314151716181921202223261415181920[[#This Row],[Verbruik Stand Latte Macchiato Plantaardig deze maand]]+Tabel242567891011121314151716181921202223261415181920[[#This Row],[Verbruik  Cappucino Plantaardig deze maand]]+Tabel242567891011121314151716181921202223261415181920[[#This Row],[Verbruik Cappucino deze maand]]+Tabel242567891011121314151716181921202223261415181920[[#This Row],[Verbruik Hot Water deze maand]]+Tabel242567891011121314151716181921202223261415181920[[#This Row],[Verbruik Coffee Latte deze maand]]+Tabel242567891011121314151716181921202223261415181920[[#This Row],[Verbruik Latte Macchiato deze maand]]+Tabel242567891011121314151716181921202223261415181920[[#This Row],[Verbruik Espresso deze maand]]+Tabel242567891011121314151716181921202223261415181920[[#This Row],[Verbruik Coffee deze maand]]</f>
        <v>1890</v>
      </c>
      <c r="AD12" s="53">
        <v>766.2</v>
      </c>
      <c r="AE12">
        <f>augustus2025!AD12</f>
        <v>737.2</v>
      </c>
      <c r="AF12">
        <f>Tabel242567891011121314151716181921202223261415181920[[#This Row],[Stand Kamertemp liter einde maand]]-Tabel242567891011121314151716181921202223261415181920[[#This Row],[Stand Kamertemp liter vorige maand]]</f>
        <v>29</v>
      </c>
      <c r="AG12" s="2">
        <f>Tabel242567891011121314151716181921202223261415181920[[#This Row],[Verbruik Kamertemp liter deze maand]]/0.15</f>
        <v>193.33333333333334</v>
      </c>
      <c r="AH12" s="53">
        <v>3310.7</v>
      </c>
      <c r="AI12">
        <f>augustus2025!AH12</f>
        <v>3105.2</v>
      </c>
      <c r="AJ12">
        <f>Tabel242567891011121314151716181921202223261415181920[[#This Row],[Stand Gekoeld liter einde maand]]-Tabel242567891011121314151716181921202223261415181920[[#This Row],[Stand Gekoeld liter vorige maand]]</f>
        <v>205.5</v>
      </c>
      <c r="AK12" s="2">
        <f>Tabel242567891011121314151716181921202223261415181920[[#This Row],[Verbruik Gekoeld liter deze maand]]/0.15</f>
        <v>1370</v>
      </c>
      <c r="AL12" s="53">
        <v>2475.6</v>
      </c>
      <c r="AM12">
        <f>augustus2025!AL12</f>
        <v>2330.1999999999998</v>
      </c>
      <c r="AN12">
        <f>Tabel242567891011121314151716181921202223261415181920[[#This Row],[Stand Bruisend liter einde maand]]-Tabel242567891011121314151716181921202223261415181920[[#This Row],[Stand Bruisend liter vorige maand]]</f>
        <v>145.40000000000009</v>
      </c>
      <c r="AO12" s="2">
        <f>Tabel242567891011121314151716181921202223261415181920[[#This Row],[Verbruik Bruisend liter deze maand]]/0.15</f>
        <v>969.33333333333394</v>
      </c>
      <c r="AP12" s="53">
        <v>859.5</v>
      </c>
      <c r="AQ12">
        <f>augustus2025!AP12</f>
        <v>797.1</v>
      </c>
      <c r="AR12">
        <f>Tabel242567891011121314151716181921202223261415181920[[#This Row],[Stand licht bruisend liter einde maand]]-Tabel242567891011121314151716181921202223261415181920[[#This Row],[Stand licht bruisend liter vorige maand]]</f>
        <v>62.399999999999977</v>
      </c>
      <c r="AS12" s="2">
        <f>Tabel242567891011121314151716181921202223261415181920[[#This Row],[Verbruik licht bruisend liter deze maand]]/0.15</f>
        <v>415.99999999999989</v>
      </c>
      <c r="AT12" s="53">
        <v>5836</v>
      </c>
      <c r="AU12">
        <f>augustus2025!AT12</f>
        <v>5484.2</v>
      </c>
      <c r="AV12">
        <f>Tabel242567891011121314151716181921202223261415181920[[#This Row],[Stand heet water liter einde maand]]-Tabel242567891011121314151716181921202223261415181920[[#This Row],[Stand heet water liter vorige maand]]</f>
        <v>351.80000000000018</v>
      </c>
      <c r="AW12" s="2">
        <f>Tabel242567891011121314151716181921202223261415181920[[#This Row],[Verbruik heet Water liter deze maand ]]/0.15</f>
        <v>2345.3333333333348</v>
      </c>
      <c r="AX12" s="77">
        <f>Tabel242567891011121314151716181921202223261415181920[[#This Row],[Aantal consumpties heet water deze maand]]+Tabel242567891011121314151716181921202223261415181920[[#This Row],[Aantal consumpties licht bruisend water deze maand]]+Tabel242567891011121314151716181921202223261415181920[[#This Row],[aantal consumpties Bruisend water deze maand]]+Tabel242567891011121314151716181921202223261415181920[[#This Row],[Aantal consumpties gekoeld water deze maand]]+Tabel242567891011121314151716181921202223261415181920[[#This Row],[Aantal consumpties Kamertemp deze maand]]</f>
        <v>5294.0000000000018</v>
      </c>
      <c r="AY12" s="95">
        <f>Tabel242567891011121314151716181921202223261415181920[[#This Row],[Subtotaal waterbar in consumpties]]+Tabel242567891011121314151716181921202223261415181920[[#This Row],[Subtotaal koffieautomaten]]</f>
        <v>7184.0000000000018</v>
      </c>
    </row>
    <row r="13" spans="1:130" ht="14.45" customHeight="1" x14ac:dyDescent="0.25">
      <c r="A13" s="65" t="s">
        <v>48</v>
      </c>
      <c r="B13" t="s">
        <v>49</v>
      </c>
      <c r="C13" t="s">
        <v>31</v>
      </c>
      <c r="E13">
        <v>29998</v>
      </c>
      <c r="F13">
        <f>augustus2025!E13</f>
        <v>29061</v>
      </c>
      <c r="G13">
        <f>Tabel242567891011121314151716181921202223261415181920[[#This Row],[Stand Coffee einde maand]]-Tabel242567891011121314151716181921202223261415181920[[#This Row],[Coffee vorige maand]]</f>
        <v>937</v>
      </c>
      <c r="H13" s="53">
        <v>8525</v>
      </c>
      <c r="I13">
        <f>augustus2025!H13</f>
        <v>8159</v>
      </c>
      <c r="J13">
        <f>Tabel242567891011121314151716181921202223261415181920[[#This Row],[Stand Espresso Einde maand]]-Tabel242567891011121314151716181921202223261415181920[[#This Row],[Espresso vorige maand]]</f>
        <v>366</v>
      </c>
      <c r="K13" s="53">
        <v>1591</v>
      </c>
      <c r="L13">
        <f>augustus2025!K13</f>
        <v>1566</v>
      </c>
      <c r="M13">
        <f>Tabel242567891011121314151716181921202223261415181920[[#This Row],[Stand Latte Macchiato einde maand]]-Tabel242567891011121314151716181921202223261415181920[[#This Row],[Latte Macchiato vorige maand]]</f>
        <v>25</v>
      </c>
      <c r="N13" s="53">
        <v>664</v>
      </c>
      <c r="O13">
        <f>augustus2025!N13</f>
        <v>647</v>
      </c>
      <c r="P13">
        <f>Tabel242567891011121314151716181921202223261415181920[[#This Row],[Stand Coffee Latte einde maand]]-Tabel242567891011121314151716181921202223261415181920[[#This Row],[Coffee Latte vorige maand]]</f>
        <v>17</v>
      </c>
      <c r="Q13" s="53">
        <v>78183</v>
      </c>
      <c r="R13">
        <f>augustus2025!Q13</f>
        <v>75161</v>
      </c>
      <c r="S13">
        <f>Tabel242567891011121314151716181921202223261415181920[[#This Row],[Stand Hot Water einde maand]]-Tabel242567891011121314151716181921202223261415181920[[#This Row],[Hot Water vorige maand]]</f>
        <v>3022</v>
      </c>
      <c r="T13" s="53">
        <v>16099</v>
      </c>
      <c r="U13">
        <f>augustus2025!T13</f>
        <v>15625</v>
      </c>
      <c r="V13">
        <f>Tabel242567891011121314151716181921202223261415181920[[#This Row],[Stand Cappucino einde maand]]-Tabel242567891011121314151716181921202223261415181920[[#This Row],[Stand Cappucino vorige maand]]</f>
        <v>474</v>
      </c>
      <c r="W13" s="53">
        <v>2715</v>
      </c>
      <c r="X13">
        <f>augustus2025!W13</f>
        <v>2661</v>
      </c>
      <c r="Y13">
        <f>Tabel242567891011121314151716181921202223261415181920[[#This Row],[Stand Cappucino Plantaardig einde maand]]-Tabel242567891011121314151716181921202223261415181920[[#This Row],[Stand Cappucino Plantaardig vorige maand]]</f>
        <v>54</v>
      </c>
      <c r="Z13" s="53">
        <v>1008</v>
      </c>
      <c r="AA13">
        <f>augustus2025!Z13</f>
        <v>979</v>
      </c>
      <c r="AB13">
        <f>Tabel242567891011121314151716181921202223261415181920[[#This Row],[Stand Latte Macchiato Plantaardig einde maand]]-Tabel242567891011121314151716181921202223261415181920[[#This Row],[Stand Latte Macchiato Plantaardig vorige maand]]</f>
        <v>29</v>
      </c>
      <c r="AC13" s="71">
        <f>Tabel242567891011121314151716181921202223261415181920[[#This Row],[Verbruik Stand Latte Macchiato Plantaardig deze maand]]+Tabel242567891011121314151716181921202223261415181920[[#This Row],[Verbruik  Cappucino Plantaardig deze maand]]+Tabel242567891011121314151716181921202223261415181920[[#This Row],[Verbruik Cappucino deze maand]]+Tabel242567891011121314151716181921202223261415181920[[#This Row],[Verbruik Hot Water deze maand]]+Tabel242567891011121314151716181921202223261415181920[[#This Row],[Verbruik Coffee Latte deze maand]]+Tabel242567891011121314151716181921202223261415181920[[#This Row],[Verbruik Latte Macchiato deze maand]]+Tabel242567891011121314151716181921202223261415181920[[#This Row],[Verbruik Espresso deze maand]]+Tabel242567891011121314151716181921202223261415181920[[#This Row],[Verbruik Coffee deze maand]]</f>
        <v>4924</v>
      </c>
      <c r="AD13" s="69"/>
      <c r="AE13" s="41"/>
      <c r="AF13" s="5"/>
      <c r="AG13" s="5"/>
      <c r="AH13" s="75"/>
      <c r="AI13" s="41"/>
      <c r="AJ13" s="5"/>
      <c r="AK13" s="5"/>
      <c r="AL13" s="75"/>
      <c r="AM13" s="41"/>
      <c r="AN13" s="5"/>
      <c r="AO13" s="5"/>
      <c r="AP13" s="75"/>
      <c r="AQ13" s="41"/>
      <c r="AR13" s="5"/>
      <c r="AS13" s="5"/>
      <c r="AT13" s="75"/>
      <c r="AU13" s="41"/>
      <c r="AV13" s="5"/>
      <c r="AW13" s="5"/>
      <c r="AX13" s="79"/>
      <c r="AY13" s="95">
        <f>Tabel242567891011121314151716181921202223261415181920[[#This Row],[Subtotaal waterbar in consumpties]]+Tabel242567891011121314151716181921202223261415181920[[#This Row],[Subtotaal koffieautomaten]]</f>
        <v>4924</v>
      </c>
    </row>
    <row r="14" spans="1:130" ht="14.45" customHeight="1" x14ac:dyDescent="0.25">
      <c r="A14" s="65" t="s">
        <v>50</v>
      </c>
      <c r="B14" t="s">
        <v>51</v>
      </c>
      <c r="C14" t="s">
        <v>47</v>
      </c>
      <c r="E14">
        <v>24752</v>
      </c>
      <c r="F14">
        <f>augustus2025!E14</f>
        <v>23860</v>
      </c>
      <c r="G14">
        <f>Tabel242567891011121314151716181921202223261415181920[[#This Row],[Stand Coffee einde maand]]-Tabel242567891011121314151716181921202223261415181920[[#This Row],[Coffee vorige maand]]</f>
        <v>892</v>
      </c>
      <c r="H14" s="53">
        <v>6766</v>
      </c>
      <c r="I14">
        <f>augustus2025!H14</f>
        <v>6393</v>
      </c>
      <c r="J14">
        <f>Tabel242567891011121314151716181921202223261415181920[[#This Row],[Stand Espresso Einde maand]]-Tabel242567891011121314151716181921202223261415181920[[#This Row],[Espresso vorige maand]]</f>
        <v>373</v>
      </c>
      <c r="K14" s="53">
        <v>2594</v>
      </c>
      <c r="L14">
        <f>augustus2025!K14</f>
        <v>2512</v>
      </c>
      <c r="M14">
        <f>Tabel242567891011121314151716181921202223261415181920[[#This Row],[Stand Latte Macchiato einde maand]]-Tabel242567891011121314151716181921202223261415181920[[#This Row],[Latte Macchiato vorige maand]]</f>
        <v>82</v>
      </c>
      <c r="N14" s="53">
        <v>1271</v>
      </c>
      <c r="O14">
        <f>augustus2025!N14</f>
        <v>1263</v>
      </c>
      <c r="P14">
        <f>Tabel242567891011121314151716181921202223261415181920[[#This Row],[Stand Coffee Latte einde maand]]-Tabel242567891011121314151716181921202223261415181920[[#This Row],[Coffee Latte vorige maand]]</f>
        <v>8</v>
      </c>
      <c r="Q14" s="53">
        <v>1</v>
      </c>
      <c r="R14">
        <f>augustus2025!Q14</f>
        <v>1</v>
      </c>
      <c r="S14">
        <f>Tabel242567891011121314151716181921202223261415181920[[#This Row],[Stand Hot Water einde maand]]-Tabel242567891011121314151716181921202223261415181920[[#This Row],[Hot Water vorige maand]]</f>
        <v>0</v>
      </c>
      <c r="T14" s="53">
        <v>10931</v>
      </c>
      <c r="U14">
        <f>augustus2025!T14</f>
        <v>10664</v>
      </c>
      <c r="V14">
        <f>Tabel242567891011121314151716181921202223261415181920[[#This Row],[Stand Cappucino einde maand]]-Tabel242567891011121314151716181921202223261415181920[[#This Row],[Stand Cappucino vorige maand]]</f>
        <v>267</v>
      </c>
      <c r="W14" s="53">
        <v>1335</v>
      </c>
      <c r="X14">
        <f>augustus2025!W14</f>
        <v>1302</v>
      </c>
      <c r="Y14">
        <f>Tabel242567891011121314151716181921202223261415181920[[#This Row],[Stand Cappucino Plantaardig einde maand]]-Tabel242567891011121314151716181921202223261415181920[[#This Row],[Stand Cappucino Plantaardig vorige maand]]</f>
        <v>33</v>
      </c>
      <c r="Z14" s="53">
        <v>794</v>
      </c>
      <c r="AA14">
        <f>augustus2025!Z14</f>
        <v>780</v>
      </c>
      <c r="AB14">
        <f>Tabel242567891011121314151716181921202223261415181920[[#This Row],[Stand Latte Macchiato Plantaardig einde maand]]-Tabel242567891011121314151716181921202223261415181920[[#This Row],[Stand Latte Macchiato Plantaardig vorige maand]]</f>
        <v>14</v>
      </c>
      <c r="AC14" s="71">
        <f>Tabel242567891011121314151716181921202223261415181920[[#This Row],[Verbruik Stand Latte Macchiato Plantaardig deze maand]]+Tabel242567891011121314151716181921202223261415181920[[#This Row],[Verbruik  Cappucino Plantaardig deze maand]]+Tabel242567891011121314151716181921202223261415181920[[#This Row],[Verbruik Cappucino deze maand]]+Tabel242567891011121314151716181921202223261415181920[[#This Row],[Verbruik Hot Water deze maand]]+Tabel242567891011121314151716181921202223261415181920[[#This Row],[Verbruik Coffee Latte deze maand]]+Tabel242567891011121314151716181921202223261415181920[[#This Row],[Verbruik Latte Macchiato deze maand]]+Tabel242567891011121314151716181921202223261415181920[[#This Row],[Verbruik Espresso deze maand]]+Tabel242567891011121314151716181921202223261415181920[[#This Row],[Verbruik Coffee deze maand]]</f>
        <v>1669</v>
      </c>
      <c r="AD14" s="120">
        <v>11.9</v>
      </c>
      <c r="AE14" s="49">
        <v>0</v>
      </c>
      <c r="AF14" s="49">
        <f>Tabel242567891011121314151716181921202223261415181920[[#This Row],[Stand Kamertemp liter einde maand]]-Tabel242567891011121314151716181921202223261415181920[[#This Row],[Stand Kamertemp liter vorige maand]]</f>
        <v>11.9</v>
      </c>
      <c r="AG14" s="121">
        <f>Tabel242567891011121314151716181921202223261415181920[[#This Row],[Verbruik Kamertemp liter deze maand]]/0.15</f>
        <v>79.333333333333343</v>
      </c>
      <c r="AH14" s="120">
        <v>103.3</v>
      </c>
      <c r="AI14" s="49">
        <v>0</v>
      </c>
      <c r="AJ14" s="49">
        <f>Tabel242567891011121314151716181921202223261415181920[[#This Row],[Stand Gekoeld liter einde maand]]-Tabel242567891011121314151716181921202223261415181920[[#This Row],[Stand Gekoeld liter vorige maand]]</f>
        <v>103.3</v>
      </c>
      <c r="AK14" s="121">
        <f>Tabel242567891011121314151716181921202223261415181920[[#This Row],[Verbruik Gekoeld liter deze maand]]/0.15</f>
        <v>688.66666666666663</v>
      </c>
      <c r="AL14" s="120">
        <v>50.4</v>
      </c>
      <c r="AM14" s="49">
        <v>0</v>
      </c>
      <c r="AN14" s="49">
        <f>Tabel242567891011121314151716181921202223261415181920[[#This Row],[Stand Bruisend liter einde maand]]-Tabel242567891011121314151716181921202223261415181920[[#This Row],[Stand Bruisend liter vorige maand]]</f>
        <v>50.4</v>
      </c>
      <c r="AO14" s="121">
        <f>Tabel242567891011121314151716181921202223261415181920[[#This Row],[Verbruik Bruisend liter deze maand]]/0.15</f>
        <v>336</v>
      </c>
      <c r="AP14" s="120">
        <v>26.2</v>
      </c>
      <c r="AQ14" s="49">
        <v>0</v>
      </c>
      <c r="AR14" s="49">
        <f>Tabel242567891011121314151716181921202223261415181920[[#This Row],[Stand licht bruisend liter einde maand]]-Tabel242567891011121314151716181921202223261415181920[[#This Row],[Stand licht bruisend liter vorige maand]]</f>
        <v>26.2</v>
      </c>
      <c r="AS14" s="121">
        <f>Tabel242567891011121314151716181921202223261415181920[[#This Row],[Verbruik licht bruisend liter deze maand]]/0.15</f>
        <v>174.66666666666666</v>
      </c>
      <c r="AT14" s="120">
        <v>207.7</v>
      </c>
      <c r="AU14" s="49">
        <v>0</v>
      </c>
      <c r="AV14" s="49">
        <f>Tabel242567891011121314151716181921202223261415181920[[#This Row],[Stand heet water liter einde maand]]-Tabel242567891011121314151716181921202223261415181920[[#This Row],[Stand heet water liter vorige maand]]</f>
        <v>207.7</v>
      </c>
      <c r="AW14" s="121">
        <f>Tabel242567891011121314151716181921202223261415181920[[#This Row],[Verbruik heet Water liter deze maand ]]/0.15</f>
        <v>1384.6666666666667</v>
      </c>
      <c r="AX14" s="77">
        <f>Tabel242567891011121314151716181921202223261415181920[[#This Row],[Aantal consumpties heet water deze maand]]+Tabel242567891011121314151716181921202223261415181920[[#This Row],[Aantal consumpties licht bruisend water deze maand]]+Tabel242567891011121314151716181921202223261415181920[[#This Row],[aantal consumpties Bruisend water deze maand]]+Tabel242567891011121314151716181921202223261415181920[[#This Row],[Aantal consumpties gekoeld water deze maand]]+Tabel242567891011121314151716181921202223261415181920[[#This Row],[Aantal consumpties Kamertemp deze maand]]</f>
        <v>2663.3333333333335</v>
      </c>
      <c r="AY14" s="95">
        <f>Tabel242567891011121314151716181921202223261415181920[[#This Row],[Subtotaal waterbar in consumpties]]+Tabel242567891011121314151716181921202223261415181920[[#This Row],[Subtotaal koffieautomaten]]</f>
        <v>4332.3333333333339</v>
      </c>
    </row>
    <row r="15" spans="1:130" ht="14.45" customHeight="1" x14ac:dyDescent="0.25">
      <c r="A15" s="65" t="s">
        <v>52</v>
      </c>
      <c r="B15" t="s">
        <v>53</v>
      </c>
      <c r="C15" t="s">
        <v>31</v>
      </c>
      <c r="E15">
        <v>21659</v>
      </c>
      <c r="F15">
        <f>augustus2025!E15</f>
        <v>21317</v>
      </c>
      <c r="G15">
        <f>Tabel242567891011121314151716181921202223261415181920[[#This Row],[Stand Coffee einde maand]]-Tabel242567891011121314151716181921202223261415181920[[#This Row],[Coffee vorige maand]]</f>
        <v>342</v>
      </c>
      <c r="H15" s="53">
        <v>5902</v>
      </c>
      <c r="I15">
        <f>augustus2025!H15</f>
        <v>5806</v>
      </c>
      <c r="J15">
        <f>Tabel242567891011121314151716181921202223261415181920[[#This Row],[Stand Espresso Einde maand]]-Tabel242567891011121314151716181921202223261415181920[[#This Row],[Espresso vorige maand]]</f>
        <v>96</v>
      </c>
      <c r="K15" s="53">
        <v>1278</v>
      </c>
      <c r="L15">
        <f>augustus2025!K15</f>
        <v>1234</v>
      </c>
      <c r="M15">
        <f>Tabel242567891011121314151716181921202223261415181920[[#This Row],[Stand Latte Macchiato einde maand]]-Tabel242567891011121314151716181921202223261415181920[[#This Row],[Latte Macchiato vorige maand]]</f>
        <v>44</v>
      </c>
      <c r="N15" s="53">
        <v>1376</v>
      </c>
      <c r="O15">
        <f>augustus2025!N15</f>
        <v>1329</v>
      </c>
      <c r="P15">
        <f>Tabel242567891011121314151716181921202223261415181920[[#This Row],[Stand Coffee Latte einde maand]]-Tabel242567891011121314151716181921202223261415181920[[#This Row],[Coffee Latte vorige maand]]</f>
        <v>47</v>
      </c>
      <c r="Q15" s="53">
        <v>38923</v>
      </c>
      <c r="R15">
        <f>augustus2025!Q15</f>
        <v>37524</v>
      </c>
      <c r="S15">
        <f>Tabel242567891011121314151716181921202223261415181920[[#This Row],[Stand Hot Water einde maand]]-Tabel242567891011121314151716181921202223261415181920[[#This Row],[Hot Water vorige maand]]</f>
        <v>1399</v>
      </c>
      <c r="T15" s="53">
        <v>9476</v>
      </c>
      <c r="U15">
        <f>augustus2025!T15</f>
        <v>9273</v>
      </c>
      <c r="V15">
        <f>Tabel242567891011121314151716181921202223261415181920[[#This Row],[Stand Cappucino einde maand]]-Tabel242567891011121314151716181921202223261415181920[[#This Row],[Stand Cappucino vorige maand]]</f>
        <v>203</v>
      </c>
      <c r="W15" s="53">
        <v>1965</v>
      </c>
      <c r="X15">
        <f>augustus2025!W15</f>
        <v>1928</v>
      </c>
      <c r="Y15">
        <f>Tabel242567891011121314151716181921202223261415181920[[#This Row],[Stand Cappucino Plantaardig einde maand]]-Tabel242567891011121314151716181921202223261415181920[[#This Row],[Stand Cappucino Plantaardig vorige maand]]</f>
        <v>37</v>
      </c>
      <c r="Z15" s="53">
        <v>484</v>
      </c>
      <c r="AA15">
        <f>augustus2025!Z15</f>
        <v>476</v>
      </c>
      <c r="AB15">
        <f>Tabel242567891011121314151716181921202223261415181920[[#This Row],[Stand Latte Macchiato Plantaardig einde maand]]-Tabel242567891011121314151716181921202223261415181920[[#This Row],[Stand Latte Macchiato Plantaardig vorige maand]]</f>
        <v>8</v>
      </c>
      <c r="AC15" s="71">
        <f>Tabel242567891011121314151716181921202223261415181920[[#This Row],[Verbruik Stand Latte Macchiato Plantaardig deze maand]]+Tabel242567891011121314151716181921202223261415181920[[#This Row],[Verbruik  Cappucino Plantaardig deze maand]]+Tabel242567891011121314151716181921202223261415181920[[#This Row],[Verbruik Cappucino deze maand]]+Tabel242567891011121314151716181921202223261415181920[[#This Row],[Verbruik Hot Water deze maand]]+Tabel242567891011121314151716181921202223261415181920[[#This Row],[Verbruik Coffee Latte deze maand]]+Tabel242567891011121314151716181921202223261415181920[[#This Row],[Verbruik Latte Macchiato deze maand]]+Tabel242567891011121314151716181921202223261415181920[[#This Row],[Verbruik Espresso deze maand]]+Tabel242567891011121314151716181921202223261415181920[[#This Row],[Verbruik Coffee deze maand]]</f>
        <v>2176</v>
      </c>
      <c r="AD15" s="69"/>
      <c r="AE15" s="41"/>
      <c r="AF15" s="5"/>
      <c r="AG15" s="5"/>
      <c r="AH15" s="75"/>
      <c r="AI15" s="41"/>
      <c r="AJ15" s="5"/>
      <c r="AK15" s="5"/>
      <c r="AL15" s="75"/>
      <c r="AM15" s="41"/>
      <c r="AN15" s="5"/>
      <c r="AO15" s="5"/>
      <c r="AP15" s="75"/>
      <c r="AQ15" s="41"/>
      <c r="AR15" s="5"/>
      <c r="AS15" s="5"/>
      <c r="AT15" s="75"/>
      <c r="AU15" s="41"/>
      <c r="AV15" s="5"/>
      <c r="AW15" s="5"/>
      <c r="AX15" s="79"/>
      <c r="AY15" s="95">
        <f>Tabel242567891011121314151716181921202223261415181920[[#This Row],[Subtotaal waterbar in consumpties]]+Tabel242567891011121314151716181921202223261415181920[[#This Row],[Subtotaal koffieautomaten]]</f>
        <v>2176</v>
      </c>
    </row>
    <row r="16" spans="1:130" ht="14.45" customHeight="1" x14ac:dyDescent="0.25">
      <c r="A16" s="65" t="s">
        <v>54</v>
      </c>
      <c r="B16" t="s">
        <v>55</v>
      </c>
      <c r="C16" t="s">
        <v>47</v>
      </c>
      <c r="E16">
        <v>3422</v>
      </c>
      <c r="F16">
        <f>augustus2025!E16</f>
        <v>3226</v>
      </c>
      <c r="G16">
        <f>Tabel242567891011121314151716181921202223261415181920[[#This Row],[Stand Coffee einde maand]]-Tabel242567891011121314151716181921202223261415181920[[#This Row],[Coffee vorige maand]]</f>
        <v>196</v>
      </c>
      <c r="H16" s="53">
        <v>4196</v>
      </c>
      <c r="I16">
        <f>augustus2025!H16</f>
        <v>4037</v>
      </c>
      <c r="J16">
        <f>Tabel242567891011121314151716181921202223261415181920[[#This Row],[Stand Espresso Einde maand]]-Tabel242567891011121314151716181921202223261415181920[[#This Row],[Espresso vorige maand]]</f>
        <v>159</v>
      </c>
      <c r="K16" s="53">
        <v>380</v>
      </c>
      <c r="L16">
        <f>augustus2025!K16</f>
        <v>349</v>
      </c>
      <c r="M16">
        <f>Tabel242567891011121314151716181921202223261415181920[[#This Row],[Stand Latte Macchiato einde maand]]-Tabel242567891011121314151716181921202223261415181920[[#This Row],[Latte Macchiato vorige maand]]</f>
        <v>31</v>
      </c>
      <c r="N16" s="53">
        <v>196</v>
      </c>
      <c r="O16">
        <f>augustus2025!N16</f>
        <v>194</v>
      </c>
      <c r="P16">
        <f>Tabel242567891011121314151716181921202223261415181920[[#This Row],[Stand Coffee Latte einde maand]]-Tabel242567891011121314151716181921202223261415181920[[#This Row],[Coffee Latte vorige maand]]</f>
        <v>2</v>
      </c>
      <c r="Q16" s="53">
        <v>1123</v>
      </c>
      <c r="R16">
        <f>augustus2025!Q16</f>
        <v>981</v>
      </c>
      <c r="S16">
        <f>Tabel242567891011121314151716181921202223261415181920[[#This Row],[Stand Hot Water einde maand]]-Tabel242567891011121314151716181921202223261415181920[[#This Row],[Hot Water vorige maand]]</f>
        <v>142</v>
      </c>
      <c r="T16" s="53">
        <v>5113</v>
      </c>
      <c r="U16">
        <f>augustus2025!T16</f>
        <v>4760</v>
      </c>
      <c r="V16">
        <f>Tabel242567891011121314151716181921202223261415181920[[#This Row],[Stand Cappucino einde maand]]-Tabel242567891011121314151716181921202223261415181920[[#This Row],[Stand Cappucino vorige maand]]</f>
        <v>353</v>
      </c>
      <c r="W16" s="53">
        <v>464</v>
      </c>
      <c r="X16">
        <f>augustus2025!W16</f>
        <v>428</v>
      </c>
      <c r="Y16">
        <f>Tabel242567891011121314151716181921202223261415181920[[#This Row],[Stand Cappucino Plantaardig einde maand]]-Tabel242567891011121314151716181921202223261415181920[[#This Row],[Stand Cappucino Plantaardig vorige maand]]</f>
        <v>36</v>
      </c>
      <c r="Z16" s="53">
        <v>58</v>
      </c>
      <c r="AA16">
        <f>augustus2025!Z16</f>
        <v>58</v>
      </c>
      <c r="AB16">
        <f>Tabel242567891011121314151716181921202223261415181920[[#This Row],[Stand Latte Macchiato Plantaardig einde maand]]-Tabel242567891011121314151716181921202223261415181920[[#This Row],[Stand Latte Macchiato Plantaardig vorige maand]]</f>
        <v>0</v>
      </c>
      <c r="AC16" s="71">
        <f>Tabel242567891011121314151716181921202223261415181920[[#This Row],[Verbruik Stand Latte Macchiato Plantaardig deze maand]]+Tabel242567891011121314151716181921202223261415181920[[#This Row],[Verbruik  Cappucino Plantaardig deze maand]]+Tabel242567891011121314151716181921202223261415181920[[#This Row],[Verbruik Cappucino deze maand]]+Tabel242567891011121314151716181921202223261415181920[[#This Row],[Verbruik Hot Water deze maand]]+Tabel242567891011121314151716181921202223261415181920[[#This Row],[Verbruik Coffee Latte deze maand]]+Tabel242567891011121314151716181921202223261415181920[[#This Row],[Verbruik Latte Macchiato deze maand]]+Tabel242567891011121314151716181921202223261415181920[[#This Row],[Verbruik Espresso deze maand]]+Tabel242567891011121314151716181921202223261415181920[[#This Row],[Verbruik Coffee deze maand]]</f>
        <v>919</v>
      </c>
      <c r="AD16" s="53">
        <v>77</v>
      </c>
      <c r="AE16">
        <f>augustus2025!AD16</f>
        <v>56.1</v>
      </c>
      <c r="AF16">
        <f>Tabel242567891011121314151716181921202223261415181920[[#This Row],[Stand Kamertemp liter einde maand]]-Tabel242567891011121314151716181921202223261415181920[[#This Row],[Stand Kamertemp liter vorige maand]]</f>
        <v>20.9</v>
      </c>
      <c r="AG16" s="2">
        <f>Tabel242567891011121314151716181921202223261415181920[[#This Row],[Verbruik Kamertemp liter deze maand]]/0.15</f>
        <v>139.33333333333334</v>
      </c>
      <c r="AH16" s="51">
        <v>978.7</v>
      </c>
      <c r="AI16">
        <f>augustus2025!AH16</f>
        <v>856.3</v>
      </c>
      <c r="AJ16">
        <f>Tabel242567891011121314151716181921202223261415181920[[#This Row],[Stand Gekoeld liter einde maand]]-Tabel242567891011121314151716181921202223261415181920[[#This Row],[Stand Gekoeld liter vorige maand]]</f>
        <v>122.40000000000009</v>
      </c>
      <c r="AK16" s="2">
        <f>Tabel242567891011121314151716181921202223261415181920[[#This Row],[Verbruik Gekoeld liter deze maand]]/0.15</f>
        <v>816.00000000000068</v>
      </c>
      <c r="AL16" s="51">
        <v>736.1</v>
      </c>
      <c r="AM16">
        <f>augustus2025!AL16</f>
        <v>624.1</v>
      </c>
      <c r="AN16">
        <f>Tabel242567891011121314151716181921202223261415181920[[#This Row],[Stand Bruisend liter einde maand]]-Tabel242567891011121314151716181921202223261415181920[[#This Row],[Stand Bruisend liter vorige maand]]</f>
        <v>112</v>
      </c>
      <c r="AO16" s="2">
        <f>Tabel242567891011121314151716181921202223261415181920[[#This Row],[Verbruik Bruisend liter deze maand]]/0.15</f>
        <v>746.66666666666674</v>
      </c>
      <c r="AP16" s="51">
        <v>145.4</v>
      </c>
      <c r="AQ16">
        <f>augustus2025!AP16</f>
        <v>128.9</v>
      </c>
      <c r="AR16">
        <f>Tabel242567891011121314151716181921202223261415181920[[#This Row],[Stand licht bruisend liter einde maand]]-Tabel242567891011121314151716181921202223261415181920[[#This Row],[Stand licht bruisend liter vorige maand]]</f>
        <v>16.5</v>
      </c>
      <c r="AS16" s="2">
        <f>Tabel242567891011121314151716181921202223261415181920[[#This Row],[Verbruik licht bruisend liter deze maand]]/0.15</f>
        <v>110</v>
      </c>
      <c r="AT16" s="51">
        <v>1757.5</v>
      </c>
      <c r="AU16">
        <f>augustus2025!AT16</f>
        <v>1530.6</v>
      </c>
      <c r="AV16">
        <f>Tabel242567891011121314151716181921202223261415181920[[#This Row],[Stand heet water liter einde maand]]-Tabel242567891011121314151716181921202223261415181920[[#This Row],[Stand heet water liter vorige maand]]</f>
        <v>226.90000000000009</v>
      </c>
      <c r="AW16" s="2">
        <f>Tabel242567891011121314151716181921202223261415181920[[#This Row],[Verbruik heet Water liter deze maand ]]/0.15</f>
        <v>1512.6666666666674</v>
      </c>
      <c r="AX16" s="77">
        <f>Tabel242567891011121314151716181921202223261415181920[[#This Row],[Aantal consumpties heet water deze maand]]+Tabel242567891011121314151716181921202223261415181920[[#This Row],[Aantal consumpties licht bruisend water deze maand]]+Tabel242567891011121314151716181921202223261415181920[[#This Row],[aantal consumpties Bruisend water deze maand]]+Tabel242567891011121314151716181921202223261415181920[[#This Row],[Aantal consumpties gekoeld water deze maand]]+Tabel242567891011121314151716181921202223261415181920[[#This Row],[Aantal consumpties Kamertemp deze maand]]</f>
        <v>3324.6666666666683</v>
      </c>
      <c r="AY16" s="95">
        <f>Tabel242567891011121314151716181921202223261415181920[[#This Row],[Subtotaal waterbar in consumpties]]+Tabel242567891011121314151716181921202223261415181920[[#This Row],[Subtotaal koffieautomaten]]</f>
        <v>4243.6666666666679</v>
      </c>
    </row>
    <row r="17" spans="1:130" ht="14.45" customHeight="1" x14ac:dyDescent="0.25">
      <c r="A17" s="65" t="s">
        <v>56</v>
      </c>
      <c r="B17" t="s">
        <v>57</v>
      </c>
      <c r="C17" t="s">
        <v>31</v>
      </c>
      <c r="E17">
        <v>32348</v>
      </c>
      <c r="F17">
        <f>augustus2025!E17</f>
        <v>31223</v>
      </c>
      <c r="G17">
        <f>Tabel242567891011121314151716181921202223261415181920[[#This Row],[Stand Coffee einde maand]]-Tabel242567891011121314151716181921202223261415181920[[#This Row],[Coffee vorige maand]]</f>
        <v>1125</v>
      </c>
      <c r="H17" s="53">
        <v>6202</v>
      </c>
      <c r="I17">
        <f>augustus2025!H17</f>
        <v>6076</v>
      </c>
      <c r="J17">
        <f>Tabel242567891011121314151716181921202223261415181920[[#This Row],[Stand Espresso Einde maand]]-Tabel242567891011121314151716181921202223261415181920[[#This Row],[Espresso vorige maand]]</f>
        <v>126</v>
      </c>
      <c r="K17" s="53">
        <v>864</v>
      </c>
      <c r="L17">
        <f>augustus2025!K17</f>
        <v>853</v>
      </c>
      <c r="M17">
        <f>Tabel242567891011121314151716181921202223261415181920[[#This Row],[Stand Latte Macchiato einde maand]]-Tabel242567891011121314151716181921202223261415181920[[#This Row],[Latte Macchiato vorige maand]]</f>
        <v>11</v>
      </c>
      <c r="N17" s="53">
        <v>1817</v>
      </c>
      <c r="O17">
        <f>augustus2025!N17</f>
        <v>1779</v>
      </c>
      <c r="P17">
        <f>Tabel242567891011121314151716181921202223261415181920[[#This Row],[Stand Coffee Latte einde maand]]-Tabel242567891011121314151716181921202223261415181920[[#This Row],[Coffee Latte vorige maand]]</f>
        <v>38</v>
      </c>
      <c r="Q17" s="53">
        <v>51306</v>
      </c>
      <c r="R17">
        <f>augustus2025!Q17</f>
        <v>49285</v>
      </c>
      <c r="S17">
        <f>Tabel242567891011121314151716181921202223261415181920[[#This Row],[Stand Hot Water einde maand]]-Tabel242567891011121314151716181921202223261415181920[[#This Row],[Hot Water vorige maand]]</f>
        <v>2021</v>
      </c>
      <c r="T17" s="53">
        <v>12538</v>
      </c>
      <c r="U17">
        <f>augustus2025!T17</f>
        <v>12231</v>
      </c>
      <c r="V17">
        <f>Tabel242567891011121314151716181921202223261415181920[[#This Row],[Stand Cappucino einde maand]]-Tabel242567891011121314151716181921202223261415181920[[#This Row],[Stand Cappucino vorige maand]]</f>
        <v>307</v>
      </c>
      <c r="W17" s="53">
        <v>3816</v>
      </c>
      <c r="X17">
        <f>augustus2025!W17</f>
        <v>3706</v>
      </c>
      <c r="Y17">
        <f>Tabel242567891011121314151716181921202223261415181920[[#This Row],[Stand Cappucino Plantaardig einde maand]]-Tabel242567891011121314151716181921202223261415181920[[#This Row],[Stand Cappucino Plantaardig vorige maand]]</f>
        <v>110</v>
      </c>
      <c r="Z17" s="53">
        <v>1019</v>
      </c>
      <c r="AA17">
        <f>augustus2025!Z17</f>
        <v>1011</v>
      </c>
      <c r="AB17">
        <f>Tabel242567891011121314151716181921202223261415181920[[#This Row],[Stand Latte Macchiato Plantaardig einde maand]]-Tabel242567891011121314151716181921202223261415181920[[#This Row],[Stand Latte Macchiato Plantaardig vorige maand]]</f>
        <v>8</v>
      </c>
      <c r="AC17" s="71">
        <f>Tabel242567891011121314151716181921202223261415181920[[#This Row],[Verbruik Stand Latte Macchiato Plantaardig deze maand]]+Tabel242567891011121314151716181921202223261415181920[[#This Row],[Verbruik  Cappucino Plantaardig deze maand]]+Tabel242567891011121314151716181921202223261415181920[[#This Row],[Verbruik Cappucino deze maand]]+Tabel242567891011121314151716181921202223261415181920[[#This Row],[Verbruik Hot Water deze maand]]+Tabel242567891011121314151716181921202223261415181920[[#This Row],[Verbruik Coffee Latte deze maand]]+Tabel242567891011121314151716181921202223261415181920[[#This Row],[Verbruik Latte Macchiato deze maand]]+Tabel242567891011121314151716181921202223261415181920[[#This Row],[Verbruik Espresso deze maand]]+Tabel242567891011121314151716181921202223261415181920[[#This Row],[Verbruik Coffee deze maand]]</f>
        <v>3746</v>
      </c>
      <c r="AD17" s="69"/>
      <c r="AE17" s="41"/>
      <c r="AF17" s="5"/>
      <c r="AG17" s="5"/>
      <c r="AH17" s="75"/>
      <c r="AI17" s="41"/>
      <c r="AJ17" s="5"/>
      <c r="AK17" s="5"/>
      <c r="AL17" s="75"/>
      <c r="AM17" s="41"/>
      <c r="AN17" s="5"/>
      <c r="AO17" s="5"/>
      <c r="AP17" s="75"/>
      <c r="AQ17" s="41"/>
      <c r="AR17" s="5"/>
      <c r="AS17" s="5"/>
      <c r="AT17" s="75"/>
      <c r="AU17" s="41"/>
      <c r="AV17" s="5"/>
      <c r="AW17" s="5"/>
      <c r="AX17" s="79"/>
      <c r="AY17" s="95">
        <f>Tabel242567891011121314151716181921202223261415181920[[#This Row],[Subtotaal waterbar in consumpties]]+Tabel242567891011121314151716181921202223261415181920[[#This Row],[Subtotaal koffieautomaten]]</f>
        <v>3746</v>
      </c>
    </row>
    <row r="18" spans="1:130" ht="14.45" customHeight="1" x14ac:dyDescent="0.25">
      <c r="A18" s="65" t="s">
        <v>58</v>
      </c>
      <c r="B18" t="s">
        <v>59</v>
      </c>
      <c r="C18" t="s">
        <v>47</v>
      </c>
      <c r="E18">
        <v>22575</v>
      </c>
      <c r="F18">
        <f>augustus2025!E18</f>
        <v>21941</v>
      </c>
      <c r="G18">
        <f>Tabel242567891011121314151716181921202223261415181920[[#This Row],[Stand Coffee einde maand]]-Tabel242567891011121314151716181921202223261415181920[[#This Row],[Coffee vorige maand]]</f>
        <v>634</v>
      </c>
      <c r="H18" s="53">
        <v>6427</v>
      </c>
      <c r="I18">
        <f>augustus2025!H18</f>
        <v>6126</v>
      </c>
      <c r="J18">
        <f>Tabel242567891011121314151716181921202223261415181920[[#This Row],[Stand Espresso Einde maand]]-Tabel242567891011121314151716181921202223261415181920[[#This Row],[Espresso vorige maand]]</f>
        <v>301</v>
      </c>
      <c r="K18" s="53">
        <v>3124</v>
      </c>
      <c r="L18">
        <f>augustus2025!K18</f>
        <v>3058</v>
      </c>
      <c r="M18">
        <f>Tabel242567891011121314151716181921202223261415181920[[#This Row],[Stand Latte Macchiato einde maand]]-Tabel242567891011121314151716181921202223261415181920[[#This Row],[Latte Macchiato vorige maand]]</f>
        <v>66</v>
      </c>
      <c r="N18" s="53">
        <v>831</v>
      </c>
      <c r="O18">
        <f>augustus2025!N18</f>
        <v>801</v>
      </c>
      <c r="P18">
        <f>Tabel242567891011121314151716181921202223261415181920[[#This Row],[Stand Coffee Latte einde maand]]-Tabel242567891011121314151716181921202223261415181920[[#This Row],[Coffee Latte vorige maand]]</f>
        <v>30</v>
      </c>
      <c r="Q18" s="53">
        <v>1</v>
      </c>
      <c r="R18">
        <f>augustus2025!Q18</f>
        <v>1</v>
      </c>
      <c r="S18">
        <f>Tabel242567891011121314151716181921202223261415181920[[#This Row],[Stand Hot Water einde maand]]-Tabel242567891011121314151716181921202223261415181920[[#This Row],[Hot Water vorige maand]]</f>
        <v>0</v>
      </c>
      <c r="T18" s="53">
        <v>12229</v>
      </c>
      <c r="U18">
        <f>augustus2025!T18</f>
        <v>11825</v>
      </c>
      <c r="V18">
        <f>Tabel242567891011121314151716181921202223261415181920[[#This Row],[Stand Cappucino einde maand]]-Tabel242567891011121314151716181921202223261415181920[[#This Row],[Stand Cappucino vorige maand]]</f>
        <v>404</v>
      </c>
      <c r="W18" s="53">
        <v>4464</v>
      </c>
      <c r="X18">
        <f>augustus2025!W18</f>
        <v>4382</v>
      </c>
      <c r="Y18">
        <f>Tabel242567891011121314151716181921202223261415181920[[#This Row],[Stand Cappucino Plantaardig einde maand]]-Tabel242567891011121314151716181921202223261415181920[[#This Row],[Stand Cappucino Plantaardig vorige maand]]</f>
        <v>82</v>
      </c>
      <c r="Z18" s="53">
        <v>510</v>
      </c>
      <c r="AA18">
        <f>augustus2025!Z18</f>
        <v>493</v>
      </c>
      <c r="AB18">
        <f>Tabel242567891011121314151716181921202223261415181920[[#This Row],[Stand Latte Macchiato Plantaardig einde maand]]-Tabel242567891011121314151716181921202223261415181920[[#This Row],[Stand Latte Macchiato Plantaardig vorige maand]]</f>
        <v>17</v>
      </c>
      <c r="AC18" s="71">
        <f>Tabel242567891011121314151716181921202223261415181920[[#This Row],[Verbruik Stand Latte Macchiato Plantaardig deze maand]]+Tabel242567891011121314151716181921202223261415181920[[#This Row],[Verbruik  Cappucino Plantaardig deze maand]]+Tabel242567891011121314151716181921202223261415181920[[#This Row],[Verbruik Cappucino deze maand]]+Tabel242567891011121314151716181921202223261415181920[[#This Row],[Verbruik Hot Water deze maand]]+Tabel242567891011121314151716181921202223261415181920[[#This Row],[Verbruik Coffee Latte deze maand]]+Tabel242567891011121314151716181921202223261415181920[[#This Row],[Verbruik Latte Macchiato deze maand]]+Tabel242567891011121314151716181921202223261415181920[[#This Row],[Verbruik Espresso deze maand]]+Tabel242567891011121314151716181921202223261415181920[[#This Row],[Verbruik Coffee deze maand]]</f>
        <v>1534</v>
      </c>
      <c r="AD18" s="53">
        <v>690.6</v>
      </c>
      <c r="AE18">
        <f>augustus2025!AD18</f>
        <v>649.1</v>
      </c>
      <c r="AF18">
        <f>Tabel242567891011121314151716181921202223261415181920[[#This Row],[Stand Kamertemp liter einde maand]]-Tabel242567891011121314151716181921202223261415181920[[#This Row],[Stand Kamertemp liter vorige maand]]</f>
        <v>41.5</v>
      </c>
      <c r="AG18" s="2">
        <f>Tabel242567891011121314151716181921202223261415181920[[#This Row],[Verbruik Kamertemp liter deze maand]]/0.15</f>
        <v>276.66666666666669</v>
      </c>
      <c r="AH18" s="53">
        <v>3062.4</v>
      </c>
      <c r="AI18">
        <f>augustus2025!AH18</f>
        <v>2850.6</v>
      </c>
      <c r="AJ18">
        <f>Tabel242567891011121314151716181921202223261415181920[[#This Row],[Stand Gekoeld liter einde maand]]-Tabel242567891011121314151716181921202223261415181920[[#This Row],[Stand Gekoeld liter vorige maand]]</f>
        <v>211.80000000000018</v>
      </c>
      <c r="AK18" s="2">
        <f>Tabel242567891011121314151716181921202223261415181920[[#This Row],[Verbruik Gekoeld liter deze maand]]/0.15</f>
        <v>1412.0000000000014</v>
      </c>
      <c r="AL18" s="53">
        <v>2411</v>
      </c>
      <c r="AM18">
        <f>augustus2025!AL18</f>
        <v>2260.4</v>
      </c>
      <c r="AN18">
        <f>Tabel242567891011121314151716181921202223261415181920[[#This Row],[Stand Bruisend liter einde maand]]-Tabel242567891011121314151716181921202223261415181920[[#This Row],[Stand Bruisend liter vorige maand]]</f>
        <v>150.59999999999991</v>
      </c>
      <c r="AO18" s="2">
        <f>Tabel242567891011121314151716181921202223261415181920[[#This Row],[Verbruik Bruisend liter deze maand]]/0.15</f>
        <v>1003.9999999999994</v>
      </c>
      <c r="AP18" s="53">
        <v>904.2</v>
      </c>
      <c r="AQ18">
        <f>augustus2025!AP18</f>
        <v>847.8</v>
      </c>
      <c r="AR18">
        <f>Tabel242567891011121314151716181921202223261415181920[[#This Row],[Stand licht bruisend liter einde maand]]-Tabel242567891011121314151716181921202223261415181920[[#This Row],[Stand licht bruisend liter vorige maand]]</f>
        <v>56.400000000000091</v>
      </c>
      <c r="AS18" s="2">
        <f>Tabel242567891011121314151716181921202223261415181920[[#This Row],[Verbruik licht bruisend liter deze maand]]/0.15</f>
        <v>376.00000000000063</v>
      </c>
      <c r="AT18" s="53">
        <v>5959.3</v>
      </c>
      <c r="AU18">
        <f>augustus2025!AT18</f>
        <v>5603.5</v>
      </c>
      <c r="AV18">
        <f>Tabel242567891011121314151716181921202223261415181920[[#This Row],[Stand heet water liter einde maand]]-Tabel242567891011121314151716181921202223261415181920[[#This Row],[Stand heet water liter vorige maand]]</f>
        <v>355.80000000000018</v>
      </c>
      <c r="AW18" s="2">
        <f>Tabel242567891011121314151716181921202223261415181920[[#This Row],[Verbruik heet Water liter deze maand ]]/0.15</f>
        <v>2372.0000000000014</v>
      </c>
      <c r="AX18" s="77">
        <f>Tabel242567891011121314151716181921202223261415181920[[#This Row],[Aantal consumpties heet water deze maand]]+Tabel242567891011121314151716181921202223261415181920[[#This Row],[Aantal consumpties licht bruisend water deze maand]]+Tabel242567891011121314151716181921202223261415181920[[#This Row],[aantal consumpties Bruisend water deze maand]]+Tabel242567891011121314151716181921202223261415181920[[#This Row],[Aantal consumpties gekoeld water deze maand]]+Tabel242567891011121314151716181921202223261415181920[[#This Row],[Aantal consumpties Kamertemp deze maand]]</f>
        <v>5440.6666666666697</v>
      </c>
      <c r="AY18" s="95">
        <f>Tabel242567891011121314151716181921202223261415181920[[#This Row],[Subtotaal waterbar in consumpties]]+Tabel242567891011121314151716181921202223261415181920[[#This Row],[Subtotaal koffieautomaten]]</f>
        <v>6974.6666666666697</v>
      </c>
    </row>
    <row r="19" spans="1:130" ht="14.45" customHeight="1" x14ac:dyDescent="0.25">
      <c r="A19" s="65" t="s">
        <v>60</v>
      </c>
      <c r="B19" t="s">
        <v>61</v>
      </c>
      <c r="C19" t="s">
        <v>31</v>
      </c>
      <c r="E19">
        <v>24573</v>
      </c>
      <c r="F19">
        <f>augustus2025!E19</f>
        <v>23834</v>
      </c>
      <c r="G19">
        <f>Tabel242567891011121314151716181921202223261415181920[[#This Row],[Stand Coffee einde maand]]-Tabel242567891011121314151716181921202223261415181920[[#This Row],[Coffee vorige maand]]</f>
        <v>739</v>
      </c>
      <c r="H19" s="53">
        <v>5347</v>
      </c>
      <c r="I19">
        <f>augustus2025!H19</f>
        <v>5267</v>
      </c>
      <c r="J19">
        <f>Tabel242567891011121314151716181921202223261415181920[[#This Row],[Stand Espresso Einde maand]]-Tabel242567891011121314151716181921202223261415181920[[#This Row],[Espresso vorige maand]]</f>
        <v>80</v>
      </c>
      <c r="K19" s="53">
        <v>1825</v>
      </c>
      <c r="L19">
        <f>augustus2025!K19</f>
        <v>1776</v>
      </c>
      <c r="M19">
        <f>Tabel242567891011121314151716181921202223261415181920[[#This Row],[Stand Latte Macchiato einde maand]]-Tabel242567891011121314151716181921202223261415181920[[#This Row],[Latte Macchiato vorige maand]]</f>
        <v>49</v>
      </c>
      <c r="N19" s="53">
        <v>1125</v>
      </c>
      <c r="O19">
        <f>augustus2025!N19</f>
        <v>1095</v>
      </c>
      <c r="P19">
        <f>Tabel242567891011121314151716181921202223261415181920[[#This Row],[Stand Coffee Latte einde maand]]-Tabel242567891011121314151716181921202223261415181920[[#This Row],[Coffee Latte vorige maand]]</f>
        <v>30</v>
      </c>
      <c r="Q19" s="53">
        <v>55733</v>
      </c>
      <c r="R19">
        <f>augustus2025!Q19</f>
        <v>53630</v>
      </c>
      <c r="S19">
        <f>Tabel242567891011121314151716181921202223261415181920[[#This Row],[Stand Hot Water einde maand]]-Tabel242567891011121314151716181921202223261415181920[[#This Row],[Hot Water vorige maand]]</f>
        <v>2103</v>
      </c>
      <c r="T19" s="53">
        <v>12878</v>
      </c>
      <c r="U19">
        <f>augustus2025!T19</f>
        <v>12504</v>
      </c>
      <c r="V19">
        <f>Tabel242567891011121314151716181921202223261415181920[[#This Row],[Stand Cappucino einde maand]]-Tabel242567891011121314151716181921202223261415181920[[#This Row],[Stand Cappucino vorige maand]]</f>
        <v>374</v>
      </c>
      <c r="W19" s="53">
        <v>2157</v>
      </c>
      <c r="X19">
        <f>augustus2025!W19</f>
        <v>2076</v>
      </c>
      <c r="Y19">
        <f>Tabel242567891011121314151716181921202223261415181920[[#This Row],[Stand Cappucino Plantaardig einde maand]]-Tabel242567891011121314151716181921202223261415181920[[#This Row],[Stand Cappucino Plantaardig vorige maand]]</f>
        <v>81</v>
      </c>
      <c r="Z19" s="53">
        <v>600</v>
      </c>
      <c r="AA19">
        <f>augustus2025!Z19</f>
        <v>578</v>
      </c>
      <c r="AB19">
        <f>Tabel242567891011121314151716181921202223261415181920[[#This Row],[Stand Latte Macchiato Plantaardig einde maand]]-Tabel242567891011121314151716181921202223261415181920[[#This Row],[Stand Latte Macchiato Plantaardig vorige maand]]</f>
        <v>22</v>
      </c>
      <c r="AC19" s="71">
        <f>Tabel242567891011121314151716181921202223261415181920[[#This Row],[Verbruik Stand Latte Macchiato Plantaardig deze maand]]+Tabel242567891011121314151716181921202223261415181920[[#This Row],[Verbruik  Cappucino Plantaardig deze maand]]+Tabel242567891011121314151716181921202223261415181920[[#This Row],[Verbruik Cappucino deze maand]]+Tabel242567891011121314151716181921202223261415181920[[#This Row],[Verbruik Hot Water deze maand]]+Tabel242567891011121314151716181921202223261415181920[[#This Row],[Verbruik Coffee Latte deze maand]]+Tabel242567891011121314151716181921202223261415181920[[#This Row],[Verbruik Latte Macchiato deze maand]]+Tabel242567891011121314151716181921202223261415181920[[#This Row],[Verbruik Espresso deze maand]]+Tabel242567891011121314151716181921202223261415181920[[#This Row],[Verbruik Coffee deze maand]]</f>
        <v>3478</v>
      </c>
      <c r="AD19" s="69"/>
      <c r="AE19" s="41"/>
      <c r="AF19" s="5"/>
      <c r="AG19" s="5"/>
      <c r="AH19" s="75"/>
      <c r="AI19" s="41"/>
      <c r="AJ19" s="5"/>
      <c r="AK19" s="5"/>
      <c r="AL19" s="75"/>
      <c r="AM19" s="41"/>
      <c r="AN19" s="5"/>
      <c r="AO19" s="5"/>
      <c r="AP19" s="75"/>
      <c r="AQ19" s="41"/>
      <c r="AR19" s="5"/>
      <c r="AS19" s="5"/>
      <c r="AT19" s="75"/>
      <c r="AU19" s="41"/>
      <c r="AV19" s="5"/>
      <c r="AW19" s="5"/>
      <c r="AX19" s="79"/>
      <c r="AY19" s="95">
        <f>Tabel242567891011121314151716181921202223261415181920[[#This Row],[Subtotaal waterbar in consumpties]]+Tabel242567891011121314151716181921202223261415181920[[#This Row],[Subtotaal koffieautomaten]]</f>
        <v>3478</v>
      </c>
    </row>
    <row r="20" spans="1:130" ht="14.45" customHeight="1" x14ac:dyDescent="0.25">
      <c r="A20" s="65" t="s">
        <v>62</v>
      </c>
      <c r="B20" t="s">
        <v>63</v>
      </c>
      <c r="C20" t="s">
        <v>47</v>
      </c>
      <c r="E20">
        <v>10449</v>
      </c>
      <c r="F20">
        <f>augustus2025!E20</f>
        <v>9656</v>
      </c>
      <c r="G20">
        <f>Tabel242567891011121314151716181921202223261415181920[[#This Row],[Stand Coffee einde maand]]-Tabel242567891011121314151716181921202223261415181920[[#This Row],[Coffee vorige maand]]</f>
        <v>793</v>
      </c>
      <c r="H20" s="53">
        <v>1956</v>
      </c>
      <c r="I20">
        <f>augustus2025!H20</f>
        <v>1825</v>
      </c>
      <c r="J20">
        <f>Tabel242567891011121314151716181921202223261415181920[[#This Row],[Stand Espresso Einde maand]]-Tabel242567891011121314151716181921202223261415181920[[#This Row],[Espresso vorige maand]]</f>
        <v>131</v>
      </c>
      <c r="K20" s="53">
        <v>407</v>
      </c>
      <c r="L20">
        <f>augustus2025!K20</f>
        <v>376</v>
      </c>
      <c r="M20">
        <f>Tabel242567891011121314151716181921202223261415181920[[#This Row],[Stand Latte Macchiato einde maand]]-Tabel242567891011121314151716181921202223261415181920[[#This Row],[Latte Macchiato vorige maand]]</f>
        <v>31</v>
      </c>
      <c r="N20" s="53">
        <v>821</v>
      </c>
      <c r="O20">
        <f>augustus2025!N20</f>
        <v>735</v>
      </c>
      <c r="P20">
        <f>Tabel242567891011121314151716181921202223261415181920[[#This Row],[Stand Coffee Latte einde maand]]-Tabel242567891011121314151716181921202223261415181920[[#This Row],[Coffee Latte vorige maand]]</f>
        <v>86</v>
      </c>
      <c r="Q20" s="53">
        <v>3525</v>
      </c>
      <c r="R20">
        <f>augustus2025!Q20</f>
        <v>3240</v>
      </c>
      <c r="S20">
        <f>Tabel242567891011121314151716181921202223261415181920[[#This Row],[Stand Hot Water einde maand]]-Tabel242567891011121314151716181921202223261415181920[[#This Row],[Hot Water vorige maand]]</f>
        <v>285</v>
      </c>
      <c r="T20" s="53">
        <v>3334</v>
      </c>
      <c r="U20">
        <f>augustus2025!T20</f>
        <v>3071</v>
      </c>
      <c r="V20">
        <f>Tabel242567891011121314151716181921202223261415181920[[#This Row],[Stand Cappucino einde maand]]-Tabel242567891011121314151716181921202223261415181920[[#This Row],[Stand Cappucino vorige maand]]</f>
        <v>263</v>
      </c>
      <c r="W20" s="53">
        <v>1052</v>
      </c>
      <c r="X20">
        <f>augustus2025!W20</f>
        <v>998</v>
      </c>
      <c r="Y20">
        <f>Tabel242567891011121314151716181921202223261415181920[[#This Row],[Stand Cappucino Plantaardig einde maand]]-Tabel242567891011121314151716181921202223261415181920[[#This Row],[Stand Cappucino Plantaardig vorige maand]]</f>
        <v>54</v>
      </c>
      <c r="Z20" s="53">
        <v>381</v>
      </c>
      <c r="AA20">
        <f>augustus2025!Z20</f>
        <v>368</v>
      </c>
      <c r="AB20">
        <f>Tabel242567891011121314151716181921202223261415181920[[#This Row],[Stand Latte Macchiato Plantaardig einde maand]]-Tabel242567891011121314151716181921202223261415181920[[#This Row],[Stand Latte Macchiato Plantaardig vorige maand]]</f>
        <v>13</v>
      </c>
      <c r="AC20" s="71">
        <f>Tabel242567891011121314151716181921202223261415181920[[#This Row],[Verbruik Stand Latte Macchiato Plantaardig deze maand]]+Tabel242567891011121314151716181921202223261415181920[[#This Row],[Verbruik  Cappucino Plantaardig deze maand]]+Tabel242567891011121314151716181921202223261415181920[[#This Row],[Verbruik Cappucino deze maand]]+Tabel242567891011121314151716181921202223261415181920[[#This Row],[Verbruik Hot Water deze maand]]+Tabel242567891011121314151716181921202223261415181920[[#This Row],[Verbruik Coffee Latte deze maand]]+Tabel242567891011121314151716181921202223261415181920[[#This Row],[Verbruik Latte Macchiato deze maand]]+Tabel242567891011121314151716181921202223261415181920[[#This Row],[Verbruik Espresso deze maand]]+Tabel242567891011121314151716181921202223261415181920[[#This Row],[Verbruik Coffee deze maand]]</f>
        <v>1656</v>
      </c>
      <c r="AD20" s="53">
        <v>247.8</v>
      </c>
      <c r="AE20">
        <f>augustus2025!AD20</f>
        <v>236.7</v>
      </c>
      <c r="AF20">
        <f>Tabel242567891011121314151716181921202223261415181920[[#This Row],[Stand Kamertemp liter einde maand]]-Tabel242567891011121314151716181921202223261415181920[[#This Row],[Stand Kamertemp liter vorige maand]]</f>
        <v>11.100000000000023</v>
      </c>
      <c r="AG20" s="2">
        <f>Tabel242567891011121314151716181921202223261415181920[[#This Row],[Verbruik Kamertemp liter deze maand]]/0.15</f>
        <v>74.000000000000156</v>
      </c>
      <c r="AH20" s="51">
        <v>2176.3000000000002</v>
      </c>
      <c r="AI20">
        <f>augustus2025!AH20</f>
        <v>2043</v>
      </c>
      <c r="AJ20">
        <f>Tabel242567891011121314151716181921202223261415181920[[#This Row],[Stand Gekoeld liter einde maand]]-Tabel242567891011121314151716181921202223261415181920[[#This Row],[Stand Gekoeld liter vorige maand]]</f>
        <v>133.30000000000018</v>
      </c>
      <c r="AK20" s="2">
        <f>Tabel242567891011121314151716181921202223261415181920[[#This Row],[Verbruik Gekoeld liter deze maand]]/0.15</f>
        <v>888.66666666666788</v>
      </c>
      <c r="AL20" s="51">
        <v>2486.6999999999998</v>
      </c>
      <c r="AM20">
        <f>augustus2025!AL20</f>
        <v>2363.1</v>
      </c>
      <c r="AN20">
        <f>Tabel242567891011121314151716181921202223261415181920[[#This Row],[Stand Bruisend liter einde maand]]-Tabel242567891011121314151716181921202223261415181920[[#This Row],[Stand Bruisend liter vorige maand]]</f>
        <v>123.59999999999991</v>
      </c>
      <c r="AO20" s="2">
        <f>Tabel242567891011121314151716181921202223261415181920[[#This Row],[Verbruik Bruisend liter deze maand]]/0.15</f>
        <v>823.99999999999943</v>
      </c>
      <c r="AP20" s="51">
        <v>657.5</v>
      </c>
      <c r="AQ20">
        <f>augustus2025!AP20</f>
        <v>619.4</v>
      </c>
      <c r="AR20">
        <f>Tabel242567891011121314151716181921202223261415181920[[#This Row],[Stand licht bruisend liter einde maand]]-Tabel242567891011121314151716181921202223261415181920[[#This Row],[Stand licht bruisend liter vorige maand]]</f>
        <v>38.100000000000023</v>
      </c>
      <c r="AS20" s="2">
        <f>Tabel242567891011121314151716181921202223261415181920[[#This Row],[Verbruik licht bruisend liter deze maand]]/0.15</f>
        <v>254.00000000000017</v>
      </c>
      <c r="AT20" s="51">
        <v>5821</v>
      </c>
      <c r="AU20">
        <f>augustus2025!AT20</f>
        <v>5538.8</v>
      </c>
      <c r="AV20">
        <f>Tabel242567891011121314151716181921202223261415181920[[#This Row],[Stand heet water liter einde maand]]-Tabel242567891011121314151716181921202223261415181920[[#This Row],[Stand heet water liter vorige maand]]</f>
        <v>282.19999999999982</v>
      </c>
      <c r="AW20" s="2">
        <f>Tabel242567891011121314151716181921202223261415181920[[#This Row],[Verbruik heet Water liter deze maand ]]/0.15</f>
        <v>1881.3333333333321</v>
      </c>
      <c r="AX20" s="77">
        <f>Tabel242567891011121314151716181921202223261415181920[[#This Row],[Aantal consumpties heet water deze maand]]+Tabel242567891011121314151716181921202223261415181920[[#This Row],[Aantal consumpties licht bruisend water deze maand]]+Tabel242567891011121314151716181921202223261415181920[[#This Row],[aantal consumpties Bruisend water deze maand]]+Tabel242567891011121314151716181921202223261415181920[[#This Row],[Aantal consumpties gekoeld water deze maand]]+Tabel242567891011121314151716181921202223261415181920[[#This Row],[Aantal consumpties Kamertemp deze maand]]</f>
        <v>3921.9999999999995</v>
      </c>
      <c r="AY20" s="95">
        <f>Tabel242567891011121314151716181921202223261415181920[[#This Row],[Subtotaal waterbar in consumpties]]+Tabel242567891011121314151716181921202223261415181920[[#This Row],[Subtotaal koffieautomaten]]</f>
        <v>5578</v>
      </c>
    </row>
    <row r="21" spans="1:130" ht="14.45" customHeight="1" x14ac:dyDescent="0.25">
      <c r="A21" s="65" t="s">
        <v>64</v>
      </c>
      <c r="B21" t="s">
        <v>65</v>
      </c>
      <c r="C21" t="s">
        <v>31</v>
      </c>
      <c r="E21">
        <v>28392</v>
      </c>
      <c r="F21">
        <f>augustus2025!E21</f>
        <v>27497</v>
      </c>
      <c r="G21">
        <f>Tabel242567891011121314151716181921202223261415181920[[#This Row],[Stand Coffee einde maand]]-Tabel242567891011121314151716181921202223261415181920[[#This Row],[Coffee vorige maand]]</f>
        <v>895</v>
      </c>
      <c r="H21" s="53">
        <v>8191</v>
      </c>
      <c r="I21">
        <f>augustus2025!H21</f>
        <v>7723</v>
      </c>
      <c r="J21">
        <f>Tabel242567891011121314151716181921202223261415181920[[#This Row],[Stand Espresso Einde maand]]-Tabel242567891011121314151716181921202223261415181920[[#This Row],[Espresso vorige maand]]</f>
        <v>468</v>
      </c>
      <c r="K21" s="53">
        <v>3226</v>
      </c>
      <c r="L21">
        <f>augustus2025!K21</f>
        <v>3173</v>
      </c>
      <c r="M21">
        <f>Tabel242567891011121314151716181921202223261415181920[[#This Row],[Stand Latte Macchiato einde maand]]-Tabel242567891011121314151716181921202223261415181920[[#This Row],[Latte Macchiato vorige maand]]</f>
        <v>53</v>
      </c>
      <c r="N21" s="53">
        <v>1330</v>
      </c>
      <c r="O21">
        <f>augustus2025!N21</f>
        <v>1295</v>
      </c>
      <c r="P21">
        <f>Tabel242567891011121314151716181921202223261415181920[[#This Row],[Stand Coffee Latte einde maand]]-Tabel242567891011121314151716181921202223261415181920[[#This Row],[Coffee Latte vorige maand]]</f>
        <v>35</v>
      </c>
      <c r="Q21" s="53">
        <v>61489</v>
      </c>
      <c r="R21">
        <f>augustus2025!Q21</f>
        <v>59395</v>
      </c>
      <c r="S21">
        <f>Tabel242567891011121314151716181921202223261415181920[[#This Row],[Stand Hot Water einde maand]]-Tabel242567891011121314151716181921202223261415181920[[#This Row],[Hot Water vorige maand]]</f>
        <v>2094</v>
      </c>
      <c r="T21" s="53">
        <v>17250</v>
      </c>
      <c r="U21">
        <f>augustus2025!T21</f>
        <v>16832</v>
      </c>
      <c r="V21">
        <f>Tabel242567891011121314151716181921202223261415181920[[#This Row],[Stand Cappucino einde maand]]-Tabel242567891011121314151716181921202223261415181920[[#This Row],[Stand Cappucino vorige maand]]</f>
        <v>418</v>
      </c>
      <c r="W21" s="53">
        <v>2966</v>
      </c>
      <c r="X21">
        <f>augustus2025!W21</f>
        <v>2897</v>
      </c>
      <c r="Y21">
        <f>Tabel242567891011121314151716181921202223261415181920[[#This Row],[Stand Cappucino Plantaardig einde maand]]-Tabel242567891011121314151716181921202223261415181920[[#This Row],[Stand Cappucino Plantaardig vorige maand]]</f>
        <v>69</v>
      </c>
      <c r="Z21" s="53">
        <v>973</v>
      </c>
      <c r="AA21">
        <f>augustus2025!Z21</f>
        <v>955</v>
      </c>
      <c r="AB21">
        <f>Tabel242567891011121314151716181921202223261415181920[[#This Row],[Stand Latte Macchiato Plantaardig einde maand]]-Tabel242567891011121314151716181921202223261415181920[[#This Row],[Stand Latte Macchiato Plantaardig vorige maand]]</f>
        <v>18</v>
      </c>
      <c r="AC21" s="71">
        <f>Tabel242567891011121314151716181921202223261415181920[[#This Row],[Verbruik Stand Latte Macchiato Plantaardig deze maand]]+Tabel242567891011121314151716181921202223261415181920[[#This Row],[Verbruik  Cappucino Plantaardig deze maand]]+Tabel242567891011121314151716181921202223261415181920[[#This Row],[Verbruik Cappucino deze maand]]+Tabel242567891011121314151716181921202223261415181920[[#This Row],[Verbruik Hot Water deze maand]]+Tabel242567891011121314151716181921202223261415181920[[#This Row],[Verbruik Coffee Latte deze maand]]+Tabel242567891011121314151716181921202223261415181920[[#This Row],[Verbruik Latte Macchiato deze maand]]+Tabel242567891011121314151716181921202223261415181920[[#This Row],[Verbruik Espresso deze maand]]+Tabel242567891011121314151716181921202223261415181920[[#This Row],[Verbruik Coffee deze maand]]</f>
        <v>4050</v>
      </c>
      <c r="AD21" s="69"/>
      <c r="AE21" s="41"/>
      <c r="AF21" s="5"/>
      <c r="AG21" s="5"/>
      <c r="AH21" s="75"/>
      <c r="AI21" s="41"/>
      <c r="AJ21" s="5"/>
      <c r="AK21" s="5"/>
      <c r="AL21" s="75"/>
      <c r="AM21" s="41"/>
      <c r="AN21" s="5"/>
      <c r="AO21" s="5"/>
      <c r="AP21" s="75"/>
      <c r="AQ21" s="41"/>
      <c r="AR21" s="5"/>
      <c r="AS21" s="5"/>
      <c r="AT21" s="75"/>
      <c r="AU21" s="41"/>
      <c r="AV21" s="5"/>
      <c r="AW21" s="5"/>
      <c r="AX21" s="79"/>
      <c r="AY21" s="95">
        <f>Tabel242567891011121314151716181921202223261415181920[[#This Row],[Subtotaal waterbar in consumpties]]+Tabel242567891011121314151716181921202223261415181920[[#This Row],[Subtotaal koffieautomaten]]</f>
        <v>4050</v>
      </c>
    </row>
    <row r="22" spans="1:130" ht="14.45" customHeight="1" x14ac:dyDescent="0.25">
      <c r="A22" s="65" t="s">
        <v>66</v>
      </c>
      <c r="B22" t="s">
        <v>67</v>
      </c>
      <c r="C22" t="s">
        <v>31</v>
      </c>
      <c r="E22">
        <v>33531</v>
      </c>
      <c r="F22">
        <f>augustus2025!E22</f>
        <v>32572</v>
      </c>
      <c r="G22">
        <f>Tabel242567891011121314151716181921202223261415181920[[#This Row],[Stand Coffee einde maand]]-Tabel242567891011121314151716181921202223261415181920[[#This Row],[Coffee vorige maand]]</f>
        <v>959</v>
      </c>
      <c r="H22" s="53">
        <v>5985</v>
      </c>
      <c r="I22">
        <f>augustus2025!H22</f>
        <v>5789</v>
      </c>
      <c r="J22">
        <f>Tabel242567891011121314151716181921202223261415181920[[#This Row],[Stand Espresso Einde maand]]-Tabel242567891011121314151716181921202223261415181920[[#This Row],[Espresso vorige maand]]</f>
        <v>196</v>
      </c>
      <c r="K22" s="53">
        <v>3840</v>
      </c>
      <c r="L22">
        <f>augustus2025!K22</f>
        <v>3761</v>
      </c>
      <c r="M22">
        <f>Tabel242567891011121314151716181921202223261415181920[[#This Row],[Stand Latte Macchiato einde maand]]-Tabel242567891011121314151716181921202223261415181920[[#This Row],[Latte Macchiato vorige maand]]</f>
        <v>79</v>
      </c>
      <c r="N22" s="53">
        <v>945</v>
      </c>
      <c r="O22">
        <f>augustus2025!N22</f>
        <v>927</v>
      </c>
      <c r="P22">
        <f>Tabel242567891011121314151716181921202223261415181920[[#This Row],[Stand Coffee Latte einde maand]]-Tabel242567891011121314151716181921202223261415181920[[#This Row],[Coffee Latte vorige maand]]</f>
        <v>18</v>
      </c>
      <c r="Q22" s="53">
        <v>53218</v>
      </c>
      <c r="R22">
        <f>augustus2025!Q22</f>
        <v>51931</v>
      </c>
      <c r="S22">
        <f>Tabel242567891011121314151716181921202223261415181920[[#This Row],[Stand Hot Water einde maand]]-Tabel242567891011121314151716181921202223261415181920[[#This Row],[Hot Water vorige maand]]</f>
        <v>1287</v>
      </c>
      <c r="T22" s="53">
        <v>18048</v>
      </c>
      <c r="U22">
        <f>augustus2025!T22</f>
        <v>17634</v>
      </c>
      <c r="V22">
        <f>Tabel242567891011121314151716181921202223261415181920[[#This Row],[Stand Cappucino einde maand]]-Tabel242567891011121314151716181921202223261415181920[[#This Row],[Stand Cappucino vorige maand]]</f>
        <v>414</v>
      </c>
      <c r="W22" s="53">
        <v>3971</v>
      </c>
      <c r="X22">
        <f>augustus2025!W22</f>
        <v>3855</v>
      </c>
      <c r="Y22">
        <f>Tabel242567891011121314151716181921202223261415181920[[#This Row],[Stand Cappucino Plantaardig einde maand]]-Tabel242567891011121314151716181921202223261415181920[[#This Row],[Stand Cappucino Plantaardig vorige maand]]</f>
        <v>116</v>
      </c>
      <c r="Z22" s="53">
        <v>765</v>
      </c>
      <c r="AA22">
        <f>augustus2025!Z22</f>
        <v>742</v>
      </c>
      <c r="AB22">
        <f>Tabel242567891011121314151716181921202223261415181920[[#This Row],[Stand Latte Macchiato Plantaardig einde maand]]-Tabel242567891011121314151716181921202223261415181920[[#This Row],[Stand Latte Macchiato Plantaardig vorige maand]]</f>
        <v>23</v>
      </c>
      <c r="AC22" s="71">
        <f>Tabel242567891011121314151716181921202223261415181920[[#This Row],[Verbruik Stand Latte Macchiato Plantaardig deze maand]]+Tabel242567891011121314151716181921202223261415181920[[#This Row],[Verbruik  Cappucino Plantaardig deze maand]]+Tabel242567891011121314151716181921202223261415181920[[#This Row],[Verbruik Cappucino deze maand]]+Tabel242567891011121314151716181921202223261415181920[[#This Row],[Verbruik Hot Water deze maand]]+Tabel242567891011121314151716181921202223261415181920[[#This Row],[Verbruik Coffee Latte deze maand]]+Tabel242567891011121314151716181921202223261415181920[[#This Row],[Verbruik Latte Macchiato deze maand]]+Tabel242567891011121314151716181921202223261415181920[[#This Row],[Verbruik Espresso deze maand]]+Tabel242567891011121314151716181921202223261415181920[[#This Row],[Verbruik Coffee deze maand]]</f>
        <v>3092</v>
      </c>
      <c r="AD22" s="69"/>
      <c r="AE22" s="41"/>
      <c r="AF22" s="5"/>
      <c r="AG22" s="5"/>
      <c r="AH22" s="75"/>
      <c r="AI22" s="41"/>
      <c r="AJ22" s="5"/>
      <c r="AK22" s="5"/>
      <c r="AL22" s="75"/>
      <c r="AM22" s="41"/>
      <c r="AN22" s="5"/>
      <c r="AO22" s="5"/>
      <c r="AP22" s="75"/>
      <c r="AQ22" s="41"/>
      <c r="AR22" s="5"/>
      <c r="AS22" s="5"/>
      <c r="AT22" s="75"/>
      <c r="AU22" s="41"/>
      <c r="AV22" s="5"/>
      <c r="AW22" s="5"/>
      <c r="AX22" s="79"/>
      <c r="AY22" s="95">
        <f>Tabel242567891011121314151716181921202223261415181920[[#This Row],[Subtotaal waterbar in consumpties]]+Tabel242567891011121314151716181921202223261415181920[[#This Row],[Subtotaal koffieautomaten]]</f>
        <v>3092</v>
      </c>
    </row>
    <row r="23" spans="1:130" ht="14.45" customHeight="1" x14ac:dyDescent="0.25">
      <c r="A23" s="65" t="s">
        <v>68</v>
      </c>
      <c r="B23" t="s">
        <v>69</v>
      </c>
      <c r="C23" t="s">
        <v>47</v>
      </c>
      <c r="E23">
        <v>19866</v>
      </c>
      <c r="F23">
        <f>augustus2025!E23</f>
        <v>18999</v>
      </c>
      <c r="G23">
        <f>Tabel242567891011121314151716181921202223261415181920[[#This Row],[Stand Coffee einde maand]]-Tabel242567891011121314151716181921202223261415181920[[#This Row],[Coffee vorige maand]]</f>
        <v>867</v>
      </c>
      <c r="H23" s="53">
        <v>8003</v>
      </c>
      <c r="I23">
        <f>augustus2025!H23</f>
        <v>7719</v>
      </c>
      <c r="J23">
        <f>Tabel242567891011121314151716181921202223261415181920[[#This Row],[Stand Espresso Einde maand]]-Tabel242567891011121314151716181921202223261415181920[[#This Row],[Espresso vorige maand]]</f>
        <v>284</v>
      </c>
      <c r="K23" s="53">
        <v>5801</v>
      </c>
      <c r="L23">
        <f>augustus2025!K23</f>
        <v>5622</v>
      </c>
      <c r="M23">
        <f>Tabel242567891011121314151716181921202223261415181920[[#This Row],[Stand Latte Macchiato einde maand]]-Tabel242567891011121314151716181921202223261415181920[[#This Row],[Latte Macchiato vorige maand]]</f>
        <v>179</v>
      </c>
      <c r="N23" s="53">
        <v>1169</v>
      </c>
      <c r="O23">
        <f>augustus2025!N23</f>
        <v>1100</v>
      </c>
      <c r="P23">
        <f>Tabel242567891011121314151716181921202223261415181920[[#This Row],[Stand Coffee Latte einde maand]]-Tabel242567891011121314151716181921202223261415181920[[#This Row],[Coffee Latte vorige maand]]</f>
        <v>69</v>
      </c>
      <c r="Q23" s="53">
        <v>1</v>
      </c>
      <c r="R23">
        <f>augustus2025!Q23</f>
        <v>1</v>
      </c>
      <c r="S23">
        <f>Tabel242567891011121314151716181921202223261415181920[[#This Row],[Stand Hot Water einde maand]]-Tabel242567891011121314151716181921202223261415181920[[#This Row],[Hot Water vorige maand]]</f>
        <v>0</v>
      </c>
      <c r="T23" s="53">
        <v>16175</v>
      </c>
      <c r="U23">
        <f>augustus2025!T23</f>
        <v>15652</v>
      </c>
      <c r="V23">
        <f>Tabel242567891011121314151716181921202223261415181920[[#This Row],[Stand Cappucino einde maand]]-Tabel242567891011121314151716181921202223261415181920[[#This Row],[Stand Cappucino vorige maand]]</f>
        <v>523</v>
      </c>
      <c r="W23" s="53">
        <v>3133</v>
      </c>
      <c r="X23">
        <f>augustus2025!W23</f>
        <v>3058</v>
      </c>
      <c r="Y23">
        <f>Tabel242567891011121314151716181921202223261415181920[[#This Row],[Stand Cappucino Plantaardig einde maand]]-Tabel242567891011121314151716181921202223261415181920[[#This Row],[Stand Cappucino Plantaardig vorige maand]]</f>
        <v>75</v>
      </c>
      <c r="Z23" s="53">
        <v>919</v>
      </c>
      <c r="AA23">
        <f>augustus2025!Z23</f>
        <v>893</v>
      </c>
      <c r="AB23">
        <f>Tabel242567891011121314151716181921202223261415181920[[#This Row],[Stand Latte Macchiato Plantaardig einde maand]]-Tabel242567891011121314151716181921202223261415181920[[#This Row],[Stand Latte Macchiato Plantaardig vorige maand]]</f>
        <v>26</v>
      </c>
      <c r="AC23" s="71">
        <f>Tabel242567891011121314151716181921202223261415181920[[#This Row],[Verbruik Stand Latte Macchiato Plantaardig deze maand]]+Tabel242567891011121314151716181921202223261415181920[[#This Row],[Verbruik  Cappucino Plantaardig deze maand]]+Tabel242567891011121314151716181921202223261415181920[[#This Row],[Verbruik Cappucino deze maand]]+Tabel242567891011121314151716181921202223261415181920[[#This Row],[Verbruik Hot Water deze maand]]+Tabel242567891011121314151716181921202223261415181920[[#This Row],[Verbruik Coffee Latte deze maand]]+Tabel242567891011121314151716181921202223261415181920[[#This Row],[Verbruik Latte Macchiato deze maand]]+Tabel242567891011121314151716181921202223261415181920[[#This Row],[Verbruik Espresso deze maand]]+Tabel242567891011121314151716181921202223261415181920[[#This Row],[Verbruik Coffee deze maand]]</f>
        <v>2023</v>
      </c>
      <c r="AD23" s="53">
        <v>163.69999999999999</v>
      </c>
      <c r="AE23">
        <f>augustus2025!AD23</f>
        <v>148.9</v>
      </c>
      <c r="AF23">
        <f>Tabel242567891011121314151716181921202223261415181920[[#This Row],[Stand Kamertemp liter einde maand]]-Tabel242567891011121314151716181921202223261415181920[[#This Row],[Stand Kamertemp liter vorige maand]]</f>
        <v>14.799999999999983</v>
      </c>
      <c r="AG23" s="2">
        <f>Tabel242567891011121314151716181921202223261415181920[[#This Row],[Verbruik Kamertemp liter deze maand]]/0.15</f>
        <v>98.666666666666558</v>
      </c>
      <c r="AH23" s="53">
        <v>1836.1</v>
      </c>
      <c r="AI23">
        <f>augustus2025!AH23</f>
        <v>1662.9</v>
      </c>
      <c r="AJ23">
        <f>Tabel242567891011121314151716181921202223261415181920[[#This Row],[Stand Gekoeld liter einde maand]]-Tabel242567891011121314151716181921202223261415181920[[#This Row],[Stand Gekoeld liter vorige maand]]</f>
        <v>173.19999999999982</v>
      </c>
      <c r="AK23" s="2">
        <f>Tabel242567891011121314151716181921202223261415181920[[#This Row],[Verbruik Gekoeld liter deze maand]]/0.15</f>
        <v>1154.6666666666656</v>
      </c>
      <c r="AL23" s="97">
        <v>985.3</v>
      </c>
      <c r="AM23" s="102">
        <f>augustus2025!AL23</f>
        <v>856.7</v>
      </c>
      <c r="AN23" s="102">
        <f>Tabel242567891011121314151716181921202223261415181920[[#This Row],[Stand Bruisend liter einde maand]]-Tabel242567891011121314151716181921202223261415181920[[#This Row],[Stand Bruisend liter vorige maand]]</f>
        <v>128.59999999999991</v>
      </c>
      <c r="AO23" s="134">
        <f>Tabel242567891011121314151716181921202223261415181920[[#This Row],[Verbruik Bruisend liter deze maand]]/0.15</f>
        <v>857.3333333333328</v>
      </c>
      <c r="AP23" s="97">
        <v>179.7</v>
      </c>
      <c r="AQ23" s="102">
        <f>augustus2025!AP23</f>
        <v>160.4</v>
      </c>
      <c r="AR23" s="102">
        <f>Tabel242567891011121314151716181921202223261415181920[[#This Row],[Stand licht bruisend liter einde maand]]-Tabel242567891011121314151716181921202223261415181920[[#This Row],[Stand licht bruisend liter vorige maand]]</f>
        <v>19.299999999999983</v>
      </c>
      <c r="AS23" s="134">
        <f>Tabel242567891011121314151716181921202223261415181920[[#This Row],[Verbruik licht bruisend liter deze maand]]/0.15</f>
        <v>128.66666666666657</v>
      </c>
      <c r="AT23" s="97">
        <v>3654.3</v>
      </c>
      <c r="AU23" s="102">
        <f>augustus2025!AT23</f>
        <v>3293.6</v>
      </c>
      <c r="AV23" s="102">
        <f>Tabel242567891011121314151716181921202223261415181920[[#This Row],[Stand heet water liter einde maand]]-Tabel242567891011121314151716181921202223261415181920[[#This Row],[Stand heet water liter vorige maand]]</f>
        <v>360.70000000000027</v>
      </c>
      <c r="AW23" s="134">
        <f>Tabel242567891011121314151716181921202223261415181920[[#This Row],[Verbruik heet Water liter deze maand ]]/0.15</f>
        <v>2404.6666666666688</v>
      </c>
      <c r="AX23" s="77">
        <f>Tabel242567891011121314151716181921202223261415181920[[#This Row],[Aantal consumpties heet water deze maand]]+Tabel242567891011121314151716181921202223261415181920[[#This Row],[Aantal consumpties licht bruisend water deze maand]]+Tabel242567891011121314151716181921202223261415181920[[#This Row],[aantal consumpties Bruisend water deze maand]]+Tabel242567891011121314151716181921202223261415181920[[#This Row],[Aantal consumpties gekoeld water deze maand]]+Tabel242567891011121314151716181921202223261415181920[[#This Row],[Aantal consumpties Kamertemp deze maand]]</f>
        <v>4644.0000000000009</v>
      </c>
      <c r="AY23" s="95">
        <f>Tabel242567891011121314151716181921202223261415181920[[#This Row],[Subtotaal waterbar in consumpties]]+Tabel242567891011121314151716181921202223261415181920[[#This Row],[Subtotaal koffieautomaten]]</f>
        <v>6667.0000000000009</v>
      </c>
    </row>
    <row r="24" spans="1:130" ht="14.45" customHeight="1" x14ac:dyDescent="0.25">
      <c r="A24" s="65" t="s">
        <v>70</v>
      </c>
      <c r="B24" t="s">
        <v>71</v>
      </c>
      <c r="C24" t="s">
        <v>31</v>
      </c>
      <c r="E24">
        <v>21935</v>
      </c>
      <c r="F24">
        <f>augustus2025!E24</f>
        <v>21077</v>
      </c>
      <c r="G24">
        <f>Tabel242567891011121314151716181921202223261415181920[[#This Row],[Stand Coffee einde maand]]-Tabel242567891011121314151716181921202223261415181920[[#This Row],[Coffee vorige maand]]</f>
        <v>858</v>
      </c>
      <c r="H24" s="53">
        <v>3445</v>
      </c>
      <c r="I24">
        <f>augustus2025!H24</f>
        <v>3300</v>
      </c>
      <c r="J24">
        <f>Tabel242567891011121314151716181921202223261415181920[[#This Row],[Stand Espresso Einde maand]]-Tabel242567891011121314151716181921202223261415181920[[#This Row],[Espresso vorige maand]]</f>
        <v>145</v>
      </c>
      <c r="K24" s="53">
        <v>1479</v>
      </c>
      <c r="L24">
        <f>augustus2025!K24</f>
        <v>1451</v>
      </c>
      <c r="M24">
        <f>Tabel242567891011121314151716181921202223261415181920[[#This Row],[Stand Latte Macchiato einde maand]]-Tabel242567891011121314151716181921202223261415181920[[#This Row],[Latte Macchiato vorige maand]]</f>
        <v>28</v>
      </c>
      <c r="N24" s="53">
        <v>2602</v>
      </c>
      <c r="O24">
        <f>augustus2025!N24</f>
        <v>2483</v>
      </c>
      <c r="P24">
        <f>Tabel242567891011121314151716181921202223261415181920[[#This Row],[Stand Coffee Latte einde maand]]-Tabel242567891011121314151716181921202223261415181920[[#This Row],[Coffee Latte vorige maand]]</f>
        <v>119</v>
      </c>
      <c r="Q24" s="53">
        <v>42152</v>
      </c>
      <c r="R24">
        <f>augustus2025!Q24</f>
        <v>40424</v>
      </c>
      <c r="S24">
        <f>Tabel242567891011121314151716181921202223261415181920[[#This Row],[Stand Hot Water einde maand]]-Tabel242567891011121314151716181921202223261415181920[[#This Row],[Hot Water vorige maand]]</f>
        <v>1728</v>
      </c>
      <c r="T24" s="53">
        <v>7880</v>
      </c>
      <c r="U24">
        <f>augustus2025!T24</f>
        <v>7545</v>
      </c>
      <c r="V24">
        <f>Tabel242567891011121314151716181921202223261415181920[[#This Row],[Stand Cappucino einde maand]]-Tabel242567891011121314151716181921202223261415181920[[#This Row],[Stand Cappucino vorige maand]]</f>
        <v>335</v>
      </c>
      <c r="W24" s="53">
        <v>1351</v>
      </c>
      <c r="X24">
        <f>augustus2025!W24</f>
        <v>1335</v>
      </c>
      <c r="Y24">
        <f>Tabel242567891011121314151716181921202223261415181920[[#This Row],[Stand Cappucino Plantaardig einde maand]]-Tabel242567891011121314151716181921202223261415181920[[#This Row],[Stand Cappucino Plantaardig vorige maand]]</f>
        <v>16</v>
      </c>
      <c r="Z24" s="53">
        <v>2648</v>
      </c>
      <c r="AA24">
        <f>augustus2025!Z24</f>
        <v>2533</v>
      </c>
      <c r="AB24">
        <f>Tabel242567891011121314151716181921202223261415181920[[#This Row],[Stand Latte Macchiato Plantaardig einde maand]]-Tabel242567891011121314151716181921202223261415181920[[#This Row],[Stand Latte Macchiato Plantaardig vorige maand]]</f>
        <v>115</v>
      </c>
      <c r="AC24" s="71">
        <f>Tabel242567891011121314151716181921202223261415181920[[#This Row],[Verbruik Stand Latte Macchiato Plantaardig deze maand]]+Tabel242567891011121314151716181921202223261415181920[[#This Row],[Verbruik  Cappucino Plantaardig deze maand]]+Tabel242567891011121314151716181921202223261415181920[[#This Row],[Verbruik Cappucino deze maand]]+Tabel242567891011121314151716181921202223261415181920[[#This Row],[Verbruik Hot Water deze maand]]+Tabel242567891011121314151716181921202223261415181920[[#This Row],[Verbruik Coffee Latte deze maand]]+Tabel242567891011121314151716181921202223261415181920[[#This Row],[Verbruik Latte Macchiato deze maand]]+Tabel242567891011121314151716181921202223261415181920[[#This Row],[Verbruik Espresso deze maand]]+Tabel242567891011121314151716181921202223261415181920[[#This Row],[Verbruik Coffee deze maand]]</f>
        <v>3344</v>
      </c>
      <c r="AD24" s="69"/>
      <c r="AE24" s="41"/>
      <c r="AF24" s="5"/>
      <c r="AG24" s="5"/>
      <c r="AH24" s="75"/>
      <c r="AI24" s="41"/>
      <c r="AJ24" s="5"/>
      <c r="AK24" s="5"/>
      <c r="AL24" s="75"/>
      <c r="AM24" s="41"/>
      <c r="AN24" s="5"/>
      <c r="AO24" s="5"/>
      <c r="AP24" s="75"/>
      <c r="AQ24" s="41"/>
      <c r="AR24" s="5"/>
      <c r="AS24" s="5"/>
      <c r="AT24" s="75"/>
      <c r="AU24" s="41"/>
      <c r="AV24" s="5"/>
      <c r="AW24" s="5"/>
      <c r="AX24" s="79"/>
      <c r="AY24" s="95">
        <f>Tabel242567891011121314151716181921202223261415181920[[#This Row],[Subtotaal waterbar in consumpties]]+Tabel242567891011121314151716181921202223261415181920[[#This Row],[Subtotaal koffieautomaten]]</f>
        <v>3344</v>
      </c>
    </row>
    <row r="25" spans="1:130" ht="14.45" customHeight="1" x14ac:dyDescent="0.25">
      <c r="A25" s="65" t="s">
        <v>72</v>
      </c>
      <c r="B25" t="s">
        <v>73</v>
      </c>
      <c r="C25" t="s">
        <v>47</v>
      </c>
      <c r="E25">
        <v>15269</v>
      </c>
      <c r="F25">
        <f>augustus2025!E25</f>
        <v>14849</v>
      </c>
      <c r="G25">
        <f>Tabel242567891011121314151716181921202223261415181920[[#This Row],[Stand Coffee einde maand]]-Tabel242567891011121314151716181921202223261415181920[[#This Row],[Coffee vorige maand]]</f>
        <v>420</v>
      </c>
      <c r="H25" s="53">
        <v>4941</v>
      </c>
      <c r="I25">
        <f>augustus2025!H25</f>
        <v>4783</v>
      </c>
      <c r="J25">
        <f>Tabel242567891011121314151716181921202223261415181920[[#This Row],[Stand Espresso Einde maand]]-Tabel242567891011121314151716181921202223261415181920[[#This Row],[Espresso vorige maand]]</f>
        <v>158</v>
      </c>
      <c r="K25" s="53">
        <v>1954</v>
      </c>
      <c r="L25">
        <f>augustus2025!K25</f>
        <v>1902</v>
      </c>
      <c r="M25">
        <f>Tabel242567891011121314151716181921202223261415181920[[#This Row],[Stand Latte Macchiato einde maand]]-Tabel242567891011121314151716181921202223261415181920[[#This Row],[Latte Macchiato vorige maand]]</f>
        <v>52</v>
      </c>
      <c r="N25" s="53">
        <v>1360</v>
      </c>
      <c r="O25">
        <f>augustus2025!N25</f>
        <v>1296</v>
      </c>
      <c r="P25">
        <f>Tabel242567891011121314151716181921202223261415181920[[#This Row],[Stand Coffee Latte einde maand]]-Tabel242567891011121314151716181921202223261415181920[[#This Row],[Coffee Latte vorige maand]]</f>
        <v>64</v>
      </c>
      <c r="Q25" s="53">
        <v>1</v>
      </c>
      <c r="R25">
        <f>augustus2025!Q25</f>
        <v>1</v>
      </c>
      <c r="S25">
        <f>Tabel242567891011121314151716181921202223261415181920[[#This Row],[Stand Hot Water einde maand]]-Tabel242567891011121314151716181921202223261415181920[[#This Row],[Hot Water vorige maand]]</f>
        <v>0</v>
      </c>
      <c r="T25" s="53">
        <v>9898</v>
      </c>
      <c r="U25">
        <f>augustus2025!T25</f>
        <v>9669</v>
      </c>
      <c r="V25">
        <f>Tabel242567891011121314151716181921202223261415181920[[#This Row],[Stand Cappucino einde maand]]-Tabel242567891011121314151716181921202223261415181920[[#This Row],[Stand Cappucino vorige maand]]</f>
        <v>229</v>
      </c>
      <c r="W25" s="53">
        <v>1789</v>
      </c>
      <c r="X25">
        <f>augustus2025!W25</f>
        <v>1743</v>
      </c>
      <c r="Y25">
        <f>Tabel242567891011121314151716181921202223261415181920[[#This Row],[Stand Cappucino Plantaardig einde maand]]-Tabel242567891011121314151716181921202223261415181920[[#This Row],[Stand Cappucino Plantaardig vorige maand]]</f>
        <v>46</v>
      </c>
      <c r="Z25" s="53">
        <v>576</v>
      </c>
      <c r="AA25">
        <f>augustus2025!Z25</f>
        <v>555</v>
      </c>
      <c r="AB25">
        <f>Tabel242567891011121314151716181921202223261415181920[[#This Row],[Stand Latte Macchiato Plantaardig einde maand]]-Tabel242567891011121314151716181921202223261415181920[[#This Row],[Stand Latte Macchiato Plantaardig vorige maand]]</f>
        <v>21</v>
      </c>
      <c r="AC25" s="71">
        <f>Tabel242567891011121314151716181921202223261415181920[[#This Row],[Verbruik Stand Latte Macchiato Plantaardig deze maand]]+Tabel242567891011121314151716181921202223261415181920[[#This Row],[Verbruik  Cappucino Plantaardig deze maand]]+Tabel242567891011121314151716181921202223261415181920[[#This Row],[Verbruik Cappucino deze maand]]+Tabel242567891011121314151716181921202223261415181920[[#This Row],[Verbruik Hot Water deze maand]]+Tabel242567891011121314151716181921202223261415181920[[#This Row],[Verbruik Coffee Latte deze maand]]+Tabel242567891011121314151716181921202223261415181920[[#This Row],[Verbruik Latte Macchiato deze maand]]+Tabel242567891011121314151716181921202223261415181920[[#This Row],[Verbruik Espresso deze maand]]+Tabel242567891011121314151716181921202223261415181920[[#This Row],[Verbruik Coffee deze maand]]</f>
        <v>990</v>
      </c>
      <c r="AD25" s="53">
        <v>511.2</v>
      </c>
      <c r="AE25">
        <f>augustus2025!AD25</f>
        <v>492.4</v>
      </c>
      <c r="AF25">
        <f>Tabel242567891011121314151716181921202223261415181920[[#This Row],[Stand Kamertemp liter einde maand]]-Tabel242567891011121314151716181921202223261415181920[[#This Row],[Stand Kamertemp liter vorige maand]]</f>
        <v>18.800000000000011</v>
      </c>
      <c r="AG25" s="2">
        <f>Tabel242567891011121314151716181921202223261415181920[[#This Row],[Verbruik Kamertemp liter deze maand]]/0.15</f>
        <v>125.33333333333341</v>
      </c>
      <c r="AH25" s="53">
        <v>3428.3</v>
      </c>
      <c r="AI25">
        <f>augustus2025!AH25</f>
        <v>3279.8</v>
      </c>
      <c r="AJ25">
        <f>Tabel242567891011121314151716181921202223261415181920[[#This Row],[Stand Gekoeld liter einde maand]]-Tabel242567891011121314151716181921202223261415181920[[#This Row],[Stand Gekoeld liter vorige maand]]</f>
        <v>148.5</v>
      </c>
      <c r="AK25" s="2">
        <f>Tabel242567891011121314151716181921202223261415181920[[#This Row],[Verbruik Gekoeld liter deze maand]]/0.15</f>
        <v>990</v>
      </c>
      <c r="AL25" s="53">
        <v>2542.6</v>
      </c>
      <c r="AM25">
        <f>augustus2025!AL25</f>
        <v>2436.5</v>
      </c>
      <c r="AN25">
        <f>Tabel242567891011121314151716181921202223261415181920[[#This Row],[Stand Bruisend liter einde maand]]-Tabel242567891011121314151716181921202223261415181920[[#This Row],[Stand Bruisend liter vorige maand]]</f>
        <v>106.09999999999991</v>
      </c>
      <c r="AO25" s="2">
        <f>Tabel242567891011121314151716181921202223261415181920[[#This Row],[Verbruik Bruisend liter deze maand]]/0.15</f>
        <v>707.3333333333328</v>
      </c>
      <c r="AP25" s="53">
        <v>782.8</v>
      </c>
      <c r="AQ25">
        <f>augustus2025!AP25</f>
        <v>759.4</v>
      </c>
      <c r="AR25">
        <f>Tabel242567891011121314151716181921202223261415181920[[#This Row],[Stand licht bruisend liter einde maand]]-Tabel242567891011121314151716181921202223261415181920[[#This Row],[Stand licht bruisend liter vorige maand]]</f>
        <v>23.399999999999977</v>
      </c>
      <c r="AS25" s="2">
        <f>Tabel242567891011121314151716181921202223261415181920[[#This Row],[Verbruik licht bruisend liter deze maand]]/0.15</f>
        <v>155.99999999999986</v>
      </c>
      <c r="AT25" s="53">
        <v>3950.9</v>
      </c>
      <c r="AU25">
        <f>augustus2025!AT25</f>
        <v>3830.6</v>
      </c>
      <c r="AV25">
        <f>Tabel242567891011121314151716181921202223261415181920[[#This Row],[Stand heet water liter einde maand]]-Tabel242567891011121314151716181921202223261415181920[[#This Row],[Stand heet water liter vorige maand]]</f>
        <v>120.30000000000018</v>
      </c>
      <c r="AW25" s="2">
        <f>Tabel242567891011121314151716181921202223261415181920[[#This Row],[Verbruik heet Water liter deze maand ]]/0.15</f>
        <v>802.00000000000125</v>
      </c>
      <c r="AX25" s="77">
        <f>Tabel242567891011121314151716181921202223261415181920[[#This Row],[Aantal consumpties heet water deze maand]]+Tabel242567891011121314151716181921202223261415181920[[#This Row],[Aantal consumpties licht bruisend water deze maand]]+Tabel242567891011121314151716181921202223261415181920[[#This Row],[aantal consumpties Bruisend water deze maand]]+Tabel242567891011121314151716181921202223261415181920[[#This Row],[Aantal consumpties gekoeld water deze maand]]+Tabel242567891011121314151716181921202223261415181920[[#This Row],[Aantal consumpties Kamertemp deze maand]]</f>
        <v>2780.6666666666674</v>
      </c>
      <c r="AY25" s="95">
        <f>Tabel242567891011121314151716181921202223261415181920[[#This Row],[Subtotaal waterbar in consumpties]]+Tabel242567891011121314151716181921202223261415181920[[#This Row],[Subtotaal koffieautomaten]]</f>
        <v>3770.6666666666674</v>
      </c>
    </row>
    <row r="26" spans="1:130" s="81" customFormat="1" ht="14.45" customHeight="1" x14ac:dyDescent="0.25">
      <c r="A26" s="80" t="s">
        <v>74</v>
      </c>
      <c r="D26" s="82"/>
      <c r="H26" s="86"/>
      <c r="K26" s="86"/>
      <c r="N26" s="86"/>
      <c r="Q26" s="86"/>
      <c r="T26" s="86"/>
      <c r="W26" s="86"/>
      <c r="Z26" s="86"/>
      <c r="AC26" s="85"/>
      <c r="AD26" s="86"/>
      <c r="AG26" s="87"/>
      <c r="AH26" s="86"/>
      <c r="AK26" s="87"/>
      <c r="AL26" s="86"/>
      <c r="AO26" s="87"/>
      <c r="AP26" s="86"/>
      <c r="AS26" s="87"/>
      <c r="AT26" s="86"/>
      <c r="AW26" s="87"/>
      <c r="AX26" s="88"/>
      <c r="AY26" s="94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</row>
    <row r="27" spans="1:130" ht="14.45" customHeight="1" x14ac:dyDescent="0.25">
      <c r="A27" s="65" t="s">
        <v>32</v>
      </c>
      <c r="B27" t="s">
        <v>75</v>
      </c>
      <c r="C27" t="s">
        <v>47</v>
      </c>
      <c r="E27">
        <v>10933</v>
      </c>
      <c r="F27">
        <f>augustus2025!E27</f>
        <v>10480</v>
      </c>
      <c r="G27">
        <f>Tabel242567891011121314151716181921202223261415181920[[#This Row],[Stand Coffee einde maand]]-Tabel242567891011121314151716181921202223261415181920[[#This Row],[Coffee vorige maand]]</f>
        <v>453</v>
      </c>
      <c r="H27" s="53">
        <v>2901</v>
      </c>
      <c r="I27">
        <f>augustus2025!H27</f>
        <v>2774</v>
      </c>
      <c r="J27">
        <f>Tabel242567891011121314151716181921202223261415181920[[#This Row],[Stand Espresso Einde maand]]-Tabel242567891011121314151716181921202223261415181920[[#This Row],[Espresso vorige maand]]</f>
        <v>127</v>
      </c>
      <c r="K27" s="53">
        <v>1963</v>
      </c>
      <c r="L27">
        <f>augustus2025!K27</f>
        <v>1921</v>
      </c>
      <c r="M27">
        <f>Tabel242567891011121314151716181921202223261415181920[[#This Row],[Stand Latte Macchiato einde maand]]-Tabel242567891011121314151716181921202223261415181920[[#This Row],[Latte Macchiato vorige maand]]</f>
        <v>42</v>
      </c>
      <c r="N27" s="53">
        <v>924</v>
      </c>
      <c r="O27">
        <f>augustus2025!N27</f>
        <v>889</v>
      </c>
      <c r="P27">
        <f>Tabel242567891011121314151716181921202223261415181920[[#This Row],[Stand Coffee Latte einde maand]]-Tabel242567891011121314151716181921202223261415181920[[#This Row],[Coffee Latte vorige maand]]</f>
        <v>35</v>
      </c>
      <c r="Q27" s="53">
        <v>1</v>
      </c>
      <c r="R27">
        <f>augustus2025!Q27</f>
        <v>1</v>
      </c>
      <c r="S27">
        <f>Tabel242567891011121314151716181921202223261415181920[[#This Row],[Stand Hot Water einde maand]]-Tabel242567891011121314151716181921202223261415181920[[#This Row],[Hot Water vorige maand]]</f>
        <v>0</v>
      </c>
      <c r="T27" s="53">
        <v>6571</v>
      </c>
      <c r="U27">
        <f>augustus2025!T27</f>
        <v>6319</v>
      </c>
      <c r="V27">
        <f>Tabel242567891011121314151716181921202223261415181920[[#This Row],[Stand Cappucino einde maand]]-Tabel242567891011121314151716181921202223261415181920[[#This Row],[Stand Cappucino vorige maand]]</f>
        <v>252</v>
      </c>
      <c r="W27" s="53">
        <v>1010</v>
      </c>
      <c r="X27">
        <f>augustus2025!W27</f>
        <v>988</v>
      </c>
      <c r="Y27">
        <f>Tabel242567891011121314151716181921202223261415181920[[#This Row],[Stand Cappucino Plantaardig einde maand]]-Tabel242567891011121314151716181921202223261415181920[[#This Row],[Stand Cappucino Plantaardig vorige maand]]</f>
        <v>22</v>
      </c>
      <c r="Z27" s="53">
        <v>519</v>
      </c>
      <c r="AA27">
        <f>augustus2025!Z27</f>
        <v>499</v>
      </c>
      <c r="AB27">
        <f>Tabel242567891011121314151716181921202223261415181920[[#This Row],[Stand Latte Macchiato Plantaardig einde maand]]-Tabel242567891011121314151716181921202223261415181920[[#This Row],[Stand Latte Macchiato Plantaardig vorige maand]]</f>
        <v>20</v>
      </c>
      <c r="AC27" s="71">
        <f>Tabel242567891011121314151716181921202223261415181920[[#This Row],[Verbruik Stand Latte Macchiato Plantaardig deze maand]]+Tabel242567891011121314151716181921202223261415181920[[#This Row],[Verbruik  Cappucino Plantaardig deze maand]]+Tabel242567891011121314151716181921202223261415181920[[#This Row],[Verbruik Cappucino deze maand]]+Tabel242567891011121314151716181921202223261415181920[[#This Row],[Verbruik Hot Water deze maand]]+Tabel242567891011121314151716181921202223261415181920[[#This Row],[Verbruik Coffee Latte deze maand]]+Tabel242567891011121314151716181921202223261415181920[[#This Row],[Verbruik Latte Macchiato deze maand]]+Tabel242567891011121314151716181921202223261415181920[[#This Row],[Verbruik Espresso deze maand]]+Tabel242567891011121314151716181921202223261415181920[[#This Row],[Verbruik Coffee deze maand]]</f>
        <v>951</v>
      </c>
      <c r="AD27" s="53">
        <v>50.5</v>
      </c>
      <c r="AE27">
        <f>augustus2025!AD27</f>
        <v>31.7</v>
      </c>
      <c r="AF27">
        <f>Tabel242567891011121314151716181921202223261415181920[[#This Row],[Stand Kamertemp liter einde maand]]-Tabel242567891011121314151716181921202223261415181920[[#This Row],[Stand Kamertemp liter vorige maand]]</f>
        <v>18.8</v>
      </c>
      <c r="AG27" s="2">
        <f>Tabel242567891011121314151716181921202223261415181920[[#This Row],[Verbruik Kamertemp liter deze maand]]/0.15</f>
        <v>125.33333333333334</v>
      </c>
      <c r="AH27" s="53">
        <v>246</v>
      </c>
      <c r="AI27">
        <f>augustus2025!AH27</f>
        <v>147.19999999999999</v>
      </c>
      <c r="AJ27">
        <f>Tabel242567891011121314151716181921202223261415181920[[#This Row],[Stand Gekoeld liter einde maand]]-Tabel242567891011121314151716181921202223261415181920[[#This Row],[Stand Gekoeld liter vorige maand]]</f>
        <v>98.800000000000011</v>
      </c>
      <c r="AK27" s="2">
        <f>Tabel242567891011121314151716181921202223261415181920[[#This Row],[Verbruik Gekoeld liter deze maand]]/0.15</f>
        <v>658.66666666666674</v>
      </c>
      <c r="AL27" s="53">
        <v>74.7</v>
      </c>
      <c r="AM27">
        <f>augustus2025!AL27</f>
        <v>47.5</v>
      </c>
      <c r="AN27">
        <f>Tabel242567891011121314151716181921202223261415181920[[#This Row],[Stand Bruisend liter einde maand]]-Tabel242567891011121314151716181921202223261415181920[[#This Row],[Stand Bruisend liter vorige maand]]</f>
        <v>27.200000000000003</v>
      </c>
      <c r="AO27" s="2">
        <f>Tabel242567891011121314151716181921202223261415181920[[#This Row],[Verbruik Bruisend liter deze maand]]/0.15</f>
        <v>181.33333333333337</v>
      </c>
      <c r="AP27" s="53">
        <v>67.5</v>
      </c>
      <c r="AQ27">
        <f>augustus2025!AP27</f>
        <v>38.700000000000003</v>
      </c>
      <c r="AR27">
        <f>Tabel242567891011121314151716181921202223261415181920[[#This Row],[Stand licht bruisend liter einde maand]]-Tabel242567891011121314151716181921202223261415181920[[#This Row],[Stand licht bruisend liter vorige maand]]</f>
        <v>28.799999999999997</v>
      </c>
      <c r="AS27" s="2">
        <f>Tabel242567891011121314151716181921202223261415181920[[#This Row],[Verbruik licht bruisend liter deze maand]]/0.15</f>
        <v>192</v>
      </c>
      <c r="AT27" s="53">
        <v>414.2</v>
      </c>
      <c r="AU27">
        <f>augustus2025!AT27</f>
        <v>218.3</v>
      </c>
      <c r="AV27">
        <f>Tabel242567891011121314151716181921202223261415181920[[#This Row],[Stand heet water liter einde maand]]-Tabel242567891011121314151716181921202223261415181920[[#This Row],[Stand heet water liter vorige maand]]</f>
        <v>195.89999999999998</v>
      </c>
      <c r="AW27" s="2">
        <f>Tabel242567891011121314151716181921202223261415181920[[#This Row],[Verbruik heet Water liter deze maand ]]/0.15</f>
        <v>1306</v>
      </c>
      <c r="AX27" s="77">
        <f>Tabel242567891011121314151716181921202223261415181920[[#This Row],[Aantal consumpties heet water deze maand]]+Tabel242567891011121314151716181921202223261415181920[[#This Row],[Aantal consumpties licht bruisend water deze maand]]+Tabel242567891011121314151716181921202223261415181920[[#This Row],[aantal consumpties Bruisend water deze maand]]+Tabel242567891011121314151716181921202223261415181920[[#This Row],[Aantal consumpties gekoeld water deze maand]]+Tabel242567891011121314151716181921202223261415181920[[#This Row],[Aantal consumpties Kamertemp deze maand]]</f>
        <v>2463.3333333333335</v>
      </c>
      <c r="AY27" s="95">
        <f>Tabel242567891011121314151716181921202223261415181920[[#This Row],[Subtotaal waterbar in consumpties]]+Tabel242567891011121314151716181921202223261415181920[[#This Row],[Subtotaal koffieautomaten]]</f>
        <v>3414.3333333333335</v>
      </c>
    </row>
    <row r="28" spans="1:130" ht="14.45" customHeight="1" x14ac:dyDescent="0.25">
      <c r="A28" s="65" t="s">
        <v>39</v>
      </c>
      <c r="B28" t="s">
        <v>163</v>
      </c>
      <c r="C28" t="s">
        <v>31</v>
      </c>
      <c r="E28">
        <v>29582</v>
      </c>
      <c r="F28">
        <f>augustus2025!E28</f>
        <v>28974</v>
      </c>
      <c r="G28">
        <f>Tabel242567891011121314151716181921202223261415181920[[#This Row],[Stand Coffee einde maand]]-Tabel242567891011121314151716181921202223261415181920[[#This Row],[Coffee vorige maand]]</f>
        <v>608</v>
      </c>
      <c r="H28" s="53">
        <v>7513</v>
      </c>
      <c r="I28">
        <f>augustus2025!H28</f>
        <v>7327</v>
      </c>
      <c r="J28">
        <f>Tabel242567891011121314151716181921202223261415181920[[#This Row],[Stand Espresso Einde maand]]-Tabel242567891011121314151716181921202223261415181920[[#This Row],[Espresso vorige maand]]</f>
        <v>186</v>
      </c>
      <c r="K28" s="53">
        <v>3623</v>
      </c>
      <c r="L28">
        <f>augustus2025!K28</f>
        <v>3543</v>
      </c>
      <c r="M28">
        <f>Tabel242567891011121314151716181921202223261415181920[[#This Row],[Stand Latte Macchiato einde maand]]-Tabel242567891011121314151716181921202223261415181920[[#This Row],[Latte Macchiato vorige maand]]</f>
        <v>80</v>
      </c>
      <c r="N28" s="53">
        <v>1592</v>
      </c>
      <c r="O28">
        <f>augustus2025!N28</f>
        <v>1534</v>
      </c>
      <c r="P28">
        <f>Tabel242567891011121314151716181921202223261415181920[[#This Row],[Stand Coffee Latte einde maand]]-Tabel242567891011121314151716181921202223261415181920[[#This Row],[Coffee Latte vorige maand]]</f>
        <v>58</v>
      </c>
      <c r="Q28" s="53">
        <v>25456</v>
      </c>
      <c r="R28">
        <f>augustus2025!Q28</f>
        <v>24765</v>
      </c>
      <c r="S28">
        <f>Tabel242567891011121314151716181921202223261415181920[[#This Row],[Stand Hot Water einde maand]]-Tabel242567891011121314151716181921202223261415181920[[#This Row],[Hot Water vorige maand]]</f>
        <v>691</v>
      </c>
      <c r="T28" s="53">
        <v>20818</v>
      </c>
      <c r="U28">
        <f>augustus2025!T28</f>
        <v>20359</v>
      </c>
      <c r="V28">
        <f>Tabel242567891011121314151716181921202223261415181920[[#This Row],[Stand Cappucino einde maand]]-Tabel242567891011121314151716181921202223261415181920[[#This Row],[Stand Cappucino vorige maand]]</f>
        <v>459</v>
      </c>
      <c r="W28" s="53">
        <v>2540</v>
      </c>
      <c r="X28">
        <f>augustus2025!W28</f>
        <v>2458</v>
      </c>
      <c r="Y28">
        <f>Tabel242567891011121314151716181921202223261415181920[[#This Row],[Stand Cappucino Plantaardig einde maand]]-Tabel242567891011121314151716181921202223261415181920[[#This Row],[Stand Cappucino Plantaardig vorige maand]]</f>
        <v>82</v>
      </c>
      <c r="Z28" s="53">
        <v>781</v>
      </c>
      <c r="AA28">
        <f>augustus2025!Z28</f>
        <v>762</v>
      </c>
      <c r="AB28">
        <f>Tabel242567891011121314151716181921202223261415181920[[#This Row],[Stand Latte Macchiato Plantaardig einde maand]]-Tabel242567891011121314151716181921202223261415181920[[#This Row],[Stand Latte Macchiato Plantaardig vorige maand]]</f>
        <v>19</v>
      </c>
      <c r="AC28" s="71">
        <f>Tabel242567891011121314151716181921202223261415181920[[#This Row],[Verbruik Stand Latte Macchiato Plantaardig deze maand]]+Tabel242567891011121314151716181921202223261415181920[[#This Row],[Verbruik  Cappucino Plantaardig deze maand]]+Tabel242567891011121314151716181921202223261415181920[[#This Row],[Verbruik Cappucino deze maand]]+Tabel242567891011121314151716181921202223261415181920[[#This Row],[Verbruik Hot Water deze maand]]+Tabel242567891011121314151716181921202223261415181920[[#This Row],[Verbruik Coffee Latte deze maand]]+Tabel242567891011121314151716181921202223261415181920[[#This Row],[Verbruik Latte Macchiato deze maand]]+Tabel242567891011121314151716181921202223261415181920[[#This Row],[Verbruik Espresso deze maand]]+Tabel242567891011121314151716181921202223261415181920[[#This Row],[Verbruik Coffee deze maand]]</f>
        <v>2183</v>
      </c>
      <c r="AD28" s="69"/>
      <c r="AE28" s="41"/>
      <c r="AF28" s="5"/>
      <c r="AG28" s="5"/>
      <c r="AH28" s="75"/>
      <c r="AI28" s="41"/>
      <c r="AJ28" s="5"/>
      <c r="AK28" s="5"/>
      <c r="AL28" s="75"/>
      <c r="AM28" s="41"/>
      <c r="AN28" s="5"/>
      <c r="AO28" s="5"/>
      <c r="AP28" s="75"/>
      <c r="AQ28" s="41"/>
      <c r="AR28" s="5"/>
      <c r="AS28" s="5"/>
      <c r="AT28" s="75"/>
      <c r="AU28" s="41"/>
      <c r="AV28" s="5"/>
      <c r="AW28" s="5"/>
      <c r="AX28" s="79"/>
      <c r="AY28" s="95">
        <f>Tabel242567891011121314151716181921202223261415181920[[#This Row],[Subtotaal waterbar in consumpties]]+Tabel242567891011121314151716181921202223261415181920[[#This Row],[Subtotaal koffieautomaten]]</f>
        <v>2183</v>
      </c>
    </row>
    <row r="29" spans="1:130" ht="14.45" customHeight="1" x14ac:dyDescent="0.25">
      <c r="A29" s="65" t="s">
        <v>39</v>
      </c>
      <c r="B29" t="s">
        <v>77</v>
      </c>
      <c r="C29" t="s">
        <v>36</v>
      </c>
      <c r="E29" s="46"/>
      <c r="F29" s="46"/>
      <c r="G29" s="47"/>
      <c r="H29" s="54"/>
      <c r="I29" s="46"/>
      <c r="J29" s="47"/>
      <c r="K29" s="54"/>
      <c r="L29" s="46"/>
      <c r="M29" s="47"/>
      <c r="N29" s="54"/>
      <c r="O29" s="46"/>
      <c r="P29" s="47"/>
      <c r="Q29" s="54"/>
      <c r="R29" s="46"/>
      <c r="S29" s="47"/>
      <c r="T29" s="54"/>
      <c r="U29" s="46"/>
      <c r="V29" s="47"/>
      <c r="W29" s="54"/>
      <c r="X29" s="46"/>
      <c r="Y29" s="47"/>
      <c r="Z29" s="54"/>
      <c r="AA29" s="46"/>
      <c r="AB29" s="47"/>
      <c r="AC29" s="72"/>
      <c r="AD29" s="53">
        <v>119.4</v>
      </c>
      <c r="AE29">
        <f>augustus2025!AD29</f>
        <v>100</v>
      </c>
      <c r="AF29">
        <f>Tabel242567891011121314151716181921202223261415181920[[#This Row],[Stand Kamertemp liter einde maand]]-Tabel242567891011121314151716181921202223261415181920[[#This Row],[Stand Kamertemp liter vorige maand]]</f>
        <v>19.400000000000006</v>
      </c>
      <c r="AG29" s="2">
        <f>Tabel242567891011121314151716181921202223261415181920[[#This Row],[Verbruik Kamertemp liter deze maand]]/0.15</f>
        <v>129.33333333333337</v>
      </c>
      <c r="AH29" s="53">
        <v>999.3</v>
      </c>
      <c r="AI29">
        <f>augustus2025!AH29</f>
        <v>822.3</v>
      </c>
      <c r="AJ29">
        <f>Tabel242567891011121314151716181921202223261415181920[[#This Row],[Stand Gekoeld liter einde maand]]-Tabel242567891011121314151716181921202223261415181920[[#This Row],[Stand Gekoeld liter vorige maand]]</f>
        <v>177</v>
      </c>
      <c r="AK29" s="2">
        <f>Tabel242567891011121314151716181921202223261415181920[[#This Row],[Verbruik Gekoeld liter deze maand]]/0.15</f>
        <v>1180</v>
      </c>
      <c r="AL29" s="53">
        <v>511.4</v>
      </c>
      <c r="AM29">
        <f>augustus2025!AL29</f>
        <v>407</v>
      </c>
      <c r="AN29">
        <f>Tabel242567891011121314151716181921202223261415181920[[#This Row],[Stand Bruisend liter einde maand]]-Tabel242567891011121314151716181921202223261415181920[[#This Row],[Stand Bruisend liter vorige maand]]</f>
        <v>104.39999999999998</v>
      </c>
      <c r="AO29" s="2">
        <f>Tabel242567891011121314151716181921202223261415181920[[#This Row],[Verbruik Bruisend liter deze maand]]/0.15</f>
        <v>695.99999999999989</v>
      </c>
      <c r="AP29" s="53">
        <v>169.2</v>
      </c>
      <c r="AQ29">
        <f>augustus2025!AP29</f>
        <v>143.80000000000001</v>
      </c>
      <c r="AR29">
        <f>Tabel242567891011121314151716181921202223261415181920[[#This Row],[Stand licht bruisend liter einde maand]]-Tabel242567891011121314151716181921202223261415181920[[#This Row],[Stand licht bruisend liter vorige maand]]</f>
        <v>25.399999999999977</v>
      </c>
      <c r="AS29" s="2">
        <f>Tabel242567891011121314151716181921202223261415181920[[#This Row],[Verbruik licht bruisend liter deze maand]]/0.15</f>
        <v>169.3333333333332</v>
      </c>
      <c r="AT29" s="53">
        <v>383.7</v>
      </c>
      <c r="AU29">
        <f>augustus2025!AT29</f>
        <v>305.5</v>
      </c>
      <c r="AV29">
        <f>Tabel242567891011121314151716181921202223261415181920[[#This Row],[Stand heet water liter einde maand]]-Tabel242567891011121314151716181921202223261415181920[[#This Row],[Stand heet water liter vorige maand]]</f>
        <v>78.199999999999989</v>
      </c>
      <c r="AW29" s="2">
        <f>Tabel242567891011121314151716181921202223261415181920[[#This Row],[Verbruik heet Water liter deze maand ]]/0.15</f>
        <v>521.33333333333326</v>
      </c>
      <c r="AX29" s="77">
        <f>Tabel242567891011121314151716181921202223261415181920[[#This Row],[Aantal consumpties heet water deze maand]]+Tabel242567891011121314151716181921202223261415181920[[#This Row],[Aantal consumpties licht bruisend water deze maand]]+Tabel242567891011121314151716181921202223261415181920[[#This Row],[aantal consumpties Bruisend water deze maand]]+Tabel242567891011121314151716181921202223261415181920[[#This Row],[Aantal consumpties gekoeld water deze maand]]+Tabel242567891011121314151716181921202223261415181920[[#This Row],[Aantal consumpties Kamertemp deze maand]]</f>
        <v>2696</v>
      </c>
      <c r="AY29" s="95">
        <f>Tabel242567891011121314151716181921202223261415181920[[#This Row],[Subtotaal waterbar in consumpties]]+Tabel242567891011121314151716181921202223261415181920[[#This Row],[Subtotaal koffieautomaten]]</f>
        <v>2696</v>
      </c>
    </row>
    <row r="30" spans="1:130" ht="14.45" customHeight="1" x14ac:dyDescent="0.25">
      <c r="A30" s="65" t="s">
        <v>41</v>
      </c>
      <c r="B30" t="s">
        <v>78</v>
      </c>
      <c r="C30" t="s">
        <v>47</v>
      </c>
      <c r="E30">
        <v>7743</v>
      </c>
      <c r="F30">
        <f>augustus2025!E30</f>
        <v>7491</v>
      </c>
      <c r="G30">
        <f>Tabel242567891011121314151716181921202223261415181920[[#This Row],[Stand Coffee einde maand]]-Tabel242567891011121314151716181921202223261415181920[[#This Row],[Coffee vorige maand]]</f>
        <v>252</v>
      </c>
      <c r="H30" s="53">
        <v>2228</v>
      </c>
      <c r="I30">
        <f>augustus2025!H30</f>
        <v>2199</v>
      </c>
      <c r="J30">
        <f>Tabel242567891011121314151716181921202223261415181920[[#This Row],[Stand Espresso Einde maand]]-Tabel242567891011121314151716181921202223261415181920[[#This Row],[Espresso vorige maand]]</f>
        <v>29</v>
      </c>
      <c r="K30" s="53">
        <v>604</v>
      </c>
      <c r="L30">
        <f>augustus2025!K30</f>
        <v>573</v>
      </c>
      <c r="M30">
        <f>Tabel242567891011121314151716181921202223261415181920[[#This Row],[Stand Latte Macchiato einde maand]]-Tabel242567891011121314151716181921202223261415181920[[#This Row],[Latte Macchiato vorige maand]]</f>
        <v>31</v>
      </c>
      <c r="N30" s="53">
        <v>394</v>
      </c>
      <c r="O30">
        <f>augustus2025!N30</f>
        <v>381</v>
      </c>
      <c r="P30">
        <f>Tabel242567891011121314151716181921202223261415181920[[#This Row],[Stand Coffee Latte einde maand]]-Tabel242567891011121314151716181921202223261415181920[[#This Row],[Coffee Latte vorige maand]]</f>
        <v>13</v>
      </c>
      <c r="Q30" s="53">
        <v>1</v>
      </c>
      <c r="R30">
        <f>augustus2025!Q30</f>
        <v>1</v>
      </c>
      <c r="S30">
        <f>Tabel242567891011121314151716181921202223261415181920[[#This Row],[Stand Hot Water einde maand]]-Tabel242567891011121314151716181921202223261415181920[[#This Row],[Hot Water vorige maand]]</f>
        <v>0</v>
      </c>
      <c r="T30" s="53">
        <v>3393</v>
      </c>
      <c r="U30">
        <f>augustus2025!T30</f>
        <v>3222</v>
      </c>
      <c r="V30">
        <f>Tabel242567891011121314151716181921202223261415181920[[#This Row],[Stand Cappucino einde maand]]-Tabel242567891011121314151716181921202223261415181920[[#This Row],[Stand Cappucino vorige maand]]</f>
        <v>171</v>
      </c>
      <c r="W30" s="53">
        <v>1655</v>
      </c>
      <c r="X30">
        <f>augustus2025!W30</f>
        <v>1605</v>
      </c>
      <c r="Y30">
        <f>Tabel242567891011121314151716181921202223261415181920[[#This Row],[Stand Cappucino Plantaardig einde maand]]-Tabel242567891011121314151716181921202223261415181920[[#This Row],[Stand Cappucino Plantaardig vorige maand]]</f>
        <v>50</v>
      </c>
      <c r="Z30" s="53">
        <v>1205</v>
      </c>
      <c r="AA30">
        <f>augustus2025!Z30</f>
        <v>1149</v>
      </c>
      <c r="AB30">
        <f>Tabel242567891011121314151716181921202223261415181920[[#This Row],[Stand Latte Macchiato Plantaardig einde maand]]-Tabel242567891011121314151716181921202223261415181920[[#This Row],[Stand Latte Macchiato Plantaardig vorige maand]]</f>
        <v>56</v>
      </c>
      <c r="AC30" s="71">
        <f>Tabel242567891011121314151716181921202223261415181920[[#This Row],[Verbruik Stand Latte Macchiato Plantaardig deze maand]]+Tabel242567891011121314151716181921202223261415181920[[#This Row],[Verbruik  Cappucino Plantaardig deze maand]]+Tabel242567891011121314151716181921202223261415181920[[#This Row],[Verbruik Cappucino deze maand]]+Tabel242567891011121314151716181921202223261415181920[[#This Row],[Verbruik Hot Water deze maand]]+Tabel242567891011121314151716181921202223261415181920[[#This Row],[Verbruik Coffee Latte deze maand]]+Tabel242567891011121314151716181921202223261415181920[[#This Row],[Verbruik Latte Macchiato deze maand]]+Tabel242567891011121314151716181921202223261415181920[[#This Row],[Verbruik Espresso deze maand]]+Tabel242567891011121314151716181921202223261415181920[[#This Row],[Verbruik Coffee deze maand]]</f>
        <v>602</v>
      </c>
      <c r="AD30" s="53">
        <v>274</v>
      </c>
      <c r="AE30">
        <f>augustus2025!AD30</f>
        <v>240.7</v>
      </c>
      <c r="AF30">
        <f>Tabel242567891011121314151716181921202223261415181920[[#This Row],[Stand Kamertemp liter einde maand]]-Tabel242567891011121314151716181921202223261415181920[[#This Row],[Stand Kamertemp liter vorige maand]]</f>
        <v>33.300000000000011</v>
      </c>
      <c r="AG30" s="2">
        <f>Tabel242567891011121314151716181921202223261415181920[[#This Row],[Verbruik Kamertemp liter deze maand]]/0.15</f>
        <v>222.00000000000009</v>
      </c>
      <c r="AH30" s="53">
        <v>1931.9</v>
      </c>
      <c r="AI30">
        <f>augustus2025!AH30</f>
        <v>1769.8</v>
      </c>
      <c r="AJ30">
        <f>Tabel242567891011121314151716181921202223261415181920[[#This Row],[Stand Gekoeld liter einde maand]]-Tabel242567891011121314151716181921202223261415181920[[#This Row],[Stand Gekoeld liter vorige maand]]</f>
        <v>162.10000000000014</v>
      </c>
      <c r="AK30" s="2">
        <f>Tabel242567891011121314151716181921202223261415181920[[#This Row],[Verbruik Gekoeld liter deze maand]]/0.15</f>
        <v>1080.6666666666677</v>
      </c>
      <c r="AL30" s="53">
        <v>1044.2</v>
      </c>
      <c r="AM30">
        <f>augustus2025!AL30</f>
        <v>999.1</v>
      </c>
      <c r="AN30">
        <f>Tabel242567891011121314151716181921202223261415181920[[#This Row],[Stand Bruisend liter einde maand]]-Tabel242567891011121314151716181921202223261415181920[[#This Row],[Stand Bruisend liter vorige maand]]</f>
        <v>45.100000000000023</v>
      </c>
      <c r="AO30" s="2">
        <f>Tabel242567891011121314151716181921202223261415181920[[#This Row],[Verbruik Bruisend liter deze maand]]/0.15</f>
        <v>300.66666666666686</v>
      </c>
      <c r="AP30" s="53">
        <v>745.7</v>
      </c>
      <c r="AQ30">
        <f>augustus2025!AP30</f>
        <v>707.6</v>
      </c>
      <c r="AR30">
        <f>Tabel242567891011121314151716181921202223261415181920[[#This Row],[Stand licht bruisend liter einde maand]]-Tabel242567891011121314151716181921202223261415181920[[#This Row],[Stand licht bruisend liter vorige maand]]</f>
        <v>38.100000000000023</v>
      </c>
      <c r="AS30" s="2">
        <f>Tabel242567891011121314151716181921202223261415181920[[#This Row],[Verbruik licht bruisend liter deze maand]]/0.15</f>
        <v>254.00000000000017</v>
      </c>
      <c r="AT30" s="53">
        <v>5008.5</v>
      </c>
      <c r="AU30">
        <f>augustus2025!AT30</f>
        <v>4671.7</v>
      </c>
      <c r="AV30">
        <f>Tabel242567891011121314151716181921202223261415181920[[#This Row],[Stand heet water liter einde maand]]-Tabel242567891011121314151716181921202223261415181920[[#This Row],[Stand heet water liter vorige maand]]</f>
        <v>336.80000000000018</v>
      </c>
      <c r="AW30" s="2">
        <f>Tabel242567891011121314151716181921202223261415181920[[#This Row],[Verbruik heet Water liter deze maand ]]/0.15</f>
        <v>2245.3333333333348</v>
      </c>
      <c r="AX30" s="77">
        <f>Tabel242567891011121314151716181921202223261415181920[[#This Row],[Aantal consumpties heet water deze maand]]+Tabel242567891011121314151716181921202223261415181920[[#This Row],[Aantal consumpties licht bruisend water deze maand]]+Tabel242567891011121314151716181921202223261415181920[[#This Row],[aantal consumpties Bruisend water deze maand]]+Tabel242567891011121314151716181921202223261415181920[[#This Row],[Aantal consumpties gekoeld water deze maand]]+Tabel242567891011121314151716181921202223261415181920[[#This Row],[Aantal consumpties Kamertemp deze maand]]</f>
        <v>4102.6666666666697</v>
      </c>
      <c r="AY30" s="95">
        <f>Tabel242567891011121314151716181921202223261415181920[[#This Row],[Subtotaal waterbar in consumpties]]+Tabel242567891011121314151716181921202223261415181920[[#This Row],[Subtotaal koffieautomaten]]</f>
        <v>4704.6666666666697</v>
      </c>
    </row>
    <row r="31" spans="1:130" ht="14.45" customHeight="1" x14ac:dyDescent="0.25">
      <c r="A31" s="65" t="s">
        <v>43</v>
      </c>
      <c r="B31" t="s">
        <v>79</v>
      </c>
      <c r="C31" t="s">
        <v>31</v>
      </c>
      <c r="E31">
        <v>14351</v>
      </c>
      <c r="F31">
        <f>augustus2025!E31</f>
        <v>13747</v>
      </c>
      <c r="G31">
        <f>Tabel242567891011121314151716181921202223261415181920[[#This Row],[Stand Coffee einde maand]]-Tabel242567891011121314151716181921202223261415181920[[#This Row],[Coffee vorige maand]]</f>
        <v>604</v>
      </c>
      <c r="H31" s="53">
        <v>6321</v>
      </c>
      <c r="I31">
        <f>augustus2025!H31</f>
        <v>6041</v>
      </c>
      <c r="J31">
        <f>Tabel242567891011121314151716181921202223261415181920[[#This Row],[Stand Espresso Einde maand]]-Tabel242567891011121314151716181921202223261415181920[[#This Row],[Espresso vorige maand]]</f>
        <v>280</v>
      </c>
      <c r="K31" s="53">
        <v>893</v>
      </c>
      <c r="L31">
        <f>augustus2025!K31</f>
        <v>863</v>
      </c>
      <c r="M31">
        <f>Tabel242567891011121314151716181921202223261415181920[[#This Row],[Stand Latte Macchiato einde maand]]-Tabel242567891011121314151716181921202223261415181920[[#This Row],[Latte Macchiato vorige maand]]</f>
        <v>30</v>
      </c>
      <c r="N31" s="53">
        <v>161</v>
      </c>
      <c r="O31">
        <f>augustus2025!N31</f>
        <v>160</v>
      </c>
      <c r="P31">
        <f>Tabel242567891011121314151716181921202223261415181920[[#This Row],[Stand Coffee Latte einde maand]]-Tabel242567891011121314151716181921202223261415181920[[#This Row],[Coffee Latte vorige maand]]</f>
        <v>1</v>
      </c>
      <c r="Q31" s="53">
        <v>12364</v>
      </c>
      <c r="R31">
        <f>augustus2025!Q31</f>
        <v>11968</v>
      </c>
      <c r="S31">
        <f>Tabel242567891011121314151716181921202223261415181920[[#This Row],[Stand Hot Water einde maand]]-Tabel242567891011121314151716181921202223261415181920[[#This Row],[Hot Water vorige maand]]</f>
        <v>396</v>
      </c>
      <c r="T31" s="53">
        <v>8205</v>
      </c>
      <c r="U31">
        <f>augustus2025!T31</f>
        <v>7916</v>
      </c>
      <c r="V31">
        <f>Tabel242567891011121314151716181921202223261415181920[[#This Row],[Stand Cappucino einde maand]]-Tabel242567891011121314151716181921202223261415181920[[#This Row],[Stand Cappucino vorige maand]]</f>
        <v>289</v>
      </c>
      <c r="W31" s="53">
        <v>579</v>
      </c>
      <c r="X31">
        <f>augustus2025!W31</f>
        <v>565</v>
      </c>
      <c r="Y31">
        <f>Tabel242567891011121314151716181921202223261415181920[[#This Row],[Stand Cappucino Plantaardig einde maand]]-Tabel242567891011121314151716181921202223261415181920[[#This Row],[Stand Cappucino Plantaardig vorige maand]]</f>
        <v>14</v>
      </c>
      <c r="Z31" s="53">
        <v>135</v>
      </c>
      <c r="AA31">
        <f>augustus2025!Z31</f>
        <v>133</v>
      </c>
      <c r="AB31">
        <f>Tabel242567891011121314151716181921202223261415181920[[#This Row],[Stand Latte Macchiato Plantaardig einde maand]]-Tabel242567891011121314151716181921202223261415181920[[#This Row],[Stand Latte Macchiato Plantaardig vorige maand]]</f>
        <v>2</v>
      </c>
      <c r="AC31" s="71">
        <f>Tabel242567891011121314151716181921202223261415181920[[#This Row],[Verbruik Stand Latte Macchiato Plantaardig deze maand]]+Tabel242567891011121314151716181921202223261415181920[[#This Row],[Verbruik  Cappucino Plantaardig deze maand]]+Tabel242567891011121314151716181921202223261415181920[[#This Row],[Verbruik Cappucino deze maand]]+Tabel242567891011121314151716181921202223261415181920[[#This Row],[Verbruik Hot Water deze maand]]+Tabel242567891011121314151716181921202223261415181920[[#This Row],[Verbruik Coffee Latte deze maand]]+Tabel242567891011121314151716181921202223261415181920[[#This Row],[Verbruik Latte Macchiato deze maand]]+Tabel242567891011121314151716181921202223261415181920[[#This Row],[Verbruik Espresso deze maand]]+Tabel242567891011121314151716181921202223261415181920[[#This Row],[Verbruik Coffee deze maand]]</f>
        <v>1616</v>
      </c>
      <c r="AD31" s="69"/>
      <c r="AE31" s="41"/>
      <c r="AF31" s="5"/>
      <c r="AG31" s="5"/>
      <c r="AH31" s="75"/>
      <c r="AI31" s="41"/>
      <c r="AJ31" s="5"/>
      <c r="AK31" s="5"/>
      <c r="AL31" s="75"/>
      <c r="AM31" s="41"/>
      <c r="AN31" s="5"/>
      <c r="AO31" s="5"/>
      <c r="AP31" s="75"/>
      <c r="AQ31" s="41"/>
      <c r="AR31" s="5"/>
      <c r="AS31" s="5"/>
      <c r="AT31" s="75"/>
      <c r="AU31" s="41"/>
      <c r="AV31" s="5"/>
      <c r="AW31" s="5"/>
      <c r="AX31" s="79"/>
      <c r="AY31" s="95">
        <f>Tabel242567891011121314151716181921202223261415181920[[#This Row],[Subtotaal waterbar in consumpties]]+Tabel242567891011121314151716181921202223261415181920[[#This Row],[Subtotaal koffieautomaten]]</f>
        <v>1616</v>
      </c>
    </row>
    <row r="32" spans="1:130" ht="14.45" customHeight="1" x14ac:dyDescent="0.25">
      <c r="A32" s="65" t="s">
        <v>45</v>
      </c>
      <c r="B32" t="s">
        <v>80</v>
      </c>
      <c r="C32" t="s">
        <v>36</v>
      </c>
      <c r="E32" s="46"/>
      <c r="F32" s="46"/>
      <c r="G32" s="47"/>
      <c r="H32" s="54"/>
      <c r="I32" s="46"/>
      <c r="J32" s="47"/>
      <c r="K32" s="54"/>
      <c r="L32" s="46"/>
      <c r="M32" s="47"/>
      <c r="N32" s="54"/>
      <c r="O32" s="46"/>
      <c r="P32" s="47"/>
      <c r="Q32" s="54"/>
      <c r="R32" s="46"/>
      <c r="S32" s="47"/>
      <c r="T32" s="54"/>
      <c r="U32" s="46"/>
      <c r="V32" s="47"/>
      <c r="W32" s="54"/>
      <c r="X32" s="46"/>
      <c r="Y32" s="47"/>
      <c r="Z32" s="54"/>
      <c r="AA32" s="46"/>
      <c r="AB32" s="47"/>
      <c r="AC32" s="72"/>
      <c r="AD32" s="53">
        <v>30.7</v>
      </c>
      <c r="AE32">
        <f>augustus2025!AD32</f>
        <v>24.4</v>
      </c>
      <c r="AF32">
        <f>Tabel242567891011121314151716181921202223261415181920[[#This Row],[Stand Kamertemp liter einde maand]]-Tabel242567891011121314151716181921202223261415181920[[#This Row],[Stand Kamertemp liter vorige maand]]</f>
        <v>6.3000000000000007</v>
      </c>
      <c r="AG32" s="2">
        <f>Tabel242567891011121314151716181921202223261415181920[[#This Row],[Verbruik Kamertemp liter deze maand]]/0.15</f>
        <v>42.000000000000007</v>
      </c>
      <c r="AH32" s="53">
        <v>215.6</v>
      </c>
      <c r="AI32">
        <f>augustus2025!AH32</f>
        <v>146.4</v>
      </c>
      <c r="AJ32">
        <f>Tabel242567891011121314151716181921202223261415181920[[#This Row],[Stand Gekoeld liter einde maand]]-Tabel242567891011121314151716181921202223261415181920[[#This Row],[Stand Gekoeld liter vorige maand]]</f>
        <v>69.199999999999989</v>
      </c>
      <c r="AK32" s="2">
        <f>Tabel242567891011121314151716181921202223261415181920[[#This Row],[Verbruik Gekoeld liter deze maand]]/0.15</f>
        <v>461.33333333333326</v>
      </c>
      <c r="AL32" s="53">
        <v>119</v>
      </c>
      <c r="AM32">
        <f>augustus2025!AL32</f>
        <v>90</v>
      </c>
      <c r="AN32">
        <f>Tabel242567891011121314151716181921202223261415181920[[#This Row],[Stand Bruisend liter einde maand]]-Tabel242567891011121314151716181921202223261415181920[[#This Row],[Stand Bruisend liter vorige maand]]</f>
        <v>29</v>
      </c>
      <c r="AO32" s="2">
        <f>Tabel242567891011121314151716181921202223261415181920[[#This Row],[Verbruik Bruisend liter deze maand]]/0.15</f>
        <v>193.33333333333334</v>
      </c>
      <c r="AP32" s="53">
        <v>33.299999999999997</v>
      </c>
      <c r="AQ32">
        <f>augustus2025!AP32</f>
        <v>21.2</v>
      </c>
      <c r="AR32">
        <f>Tabel242567891011121314151716181921202223261415181920[[#This Row],[Stand licht bruisend liter einde maand]]-Tabel242567891011121314151716181921202223261415181920[[#This Row],[Stand licht bruisend liter vorige maand]]</f>
        <v>12.099999999999998</v>
      </c>
      <c r="AS32" s="2">
        <f>Tabel242567891011121314151716181921202223261415181920[[#This Row],[Verbruik licht bruisend liter deze maand]]/0.15</f>
        <v>80.666666666666657</v>
      </c>
      <c r="AT32" s="53">
        <v>392.6</v>
      </c>
      <c r="AU32">
        <f>augustus2025!AT32</f>
        <v>269</v>
      </c>
      <c r="AV32">
        <f>Tabel242567891011121314151716181921202223261415181920[[#This Row],[Stand heet water liter einde maand]]-Tabel242567891011121314151716181921202223261415181920[[#This Row],[Stand heet water liter vorige maand]]</f>
        <v>123.60000000000002</v>
      </c>
      <c r="AW32" s="2">
        <f>Tabel242567891011121314151716181921202223261415181920[[#This Row],[Verbruik heet Water liter deze maand ]]/0.15</f>
        <v>824.00000000000023</v>
      </c>
      <c r="AX32" s="77">
        <f>Tabel242567891011121314151716181921202223261415181920[[#This Row],[Aantal consumpties heet water deze maand]]+Tabel242567891011121314151716181921202223261415181920[[#This Row],[Aantal consumpties licht bruisend water deze maand]]+Tabel242567891011121314151716181921202223261415181920[[#This Row],[aantal consumpties Bruisend water deze maand]]+Tabel242567891011121314151716181921202223261415181920[[#This Row],[Aantal consumpties gekoeld water deze maand]]+Tabel242567891011121314151716181921202223261415181920[[#This Row],[Aantal consumpties Kamertemp deze maand]]</f>
        <v>1601.3333333333335</v>
      </c>
      <c r="AY32" s="95">
        <f>Tabel242567891011121314151716181921202223261415181920[[#This Row],[Subtotaal waterbar in consumpties]]+Tabel242567891011121314151716181921202223261415181920[[#This Row],[Subtotaal koffieautomaten]]</f>
        <v>1601.3333333333335</v>
      </c>
    </row>
    <row r="33" spans="1:130" ht="14.45" customHeight="1" x14ac:dyDescent="0.25">
      <c r="A33" s="65" t="s">
        <v>48</v>
      </c>
      <c r="B33" t="s">
        <v>81</v>
      </c>
      <c r="C33" t="s">
        <v>31</v>
      </c>
      <c r="E33">
        <v>13462</v>
      </c>
      <c r="F33">
        <f>augustus2025!E33</f>
        <v>12996</v>
      </c>
      <c r="G33">
        <f>Tabel242567891011121314151716181921202223261415181920[[#This Row],[Stand Coffee einde maand]]-Tabel242567891011121314151716181921202223261415181920[[#This Row],[Coffee vorige maand]]</f>
        <v>466</v>
      </c>
      <c r="H33" s="53">
        <v>671</v>
      </c>
      <c r="I33">
        <f>augustus2025!H33</f>
        <v>633</v>
      </c>
      <c r="J33">
        <f>Tabel242567891011121314151716181921202223261415181920[[#This Row],[Stand Espresso Einde maand]]-Tabel242567891011121314151716181921202223261415181920[[#This Row],[Espresso vorige maand]]</f>
        <v>38</v>
      </c>
      <c r="K33" s="53">
        <v>750</v>
      </c>
      <c r="L33">
        <f>augustus2025!K33</f>
        <v>746</v>
      </c>
      <c r="M33">
        <f>Tabel242567891011121314151716181921202223261415181920[[#This Row],[Stand Latte Macchiato einde maand]]-Tabel242567891011121314151716181921202223261415181920[[#This Row],[Latte Macchiato vorige maand]]</f>
        <v>4</v>
      </c>
      <c r="N33" s="53">
        <v>441</v>
      </c>
      <c r="O33">
        <f>augustus2025!N33</f>
        <v>432</v>
      </c>
      <c r="P33">
        <f>Tabel242567891011121314151716181921202223261415181920[[#This Row],[Stand Coffee Latte einde maand]]-Tabel242567891011121314151716181921202223261415181920[[#This Row],[Coffee Latte vorige maand]]</f>
        <v>9</v>
      </c>
      <c r="Q33" s="53">
        <v>28689</v>
      </c>
      <c r="R33">
        <f>augustus2025!Q33</f>
        <v>27929</v>
      </c>
      <c r="S33">
        <f>Tabel242567891011121314151716181921202223261415181920[[#This Row],[Stand Hot Water einde maand]]-Tabel242567891011121314151716181921202223261415181920[[#This Row],[Hot Water vorige maand]]</f>
        <v>760</v>
      </c>
      <c r="T33" s="53">
        <v>4686</v>
      </c>
      <c r="U33">
        <f>augustus2025!T33</f>
        <v>4620</v>
      </c>
      <c r="V33">
        <f>Tabel242567891011121314151716181921202223261415181920[[#This Row],[Stand Cappucino einde maand]]-Tabel242567891011121314151716181921202223261415181920[[#This Row],[Stand Cappucino vorige maand]]</f>
        <v>66</v>
      </c>
      <c r="W33" s="53">
        <v>440</v>
      </c>
      <c r="X33">
        <f>augustus2025!W33</f>
        <v>434</v>
      </c>
      <c r="Y33">
        <f>Tabel242567891011121314151716181921202223261415181920[[#This Row],[Stand Cappucino Plantaardig einde maand]]-Tabel242567891011121314151716181921202223261415181920[[#This Row],[Stand Cappucino Plantaardig vorige maand]]</f>
        <v>6</v>
      </c>
      <c r="Z33" s="53">
        <v>76</v>
      </c>
      <c r="AA33">
        <f>augustus2025!Z33</f>
        <v>74</v>
      </c>
      <c r="AB33">
        <f>Tabel242567891011121314151716181921202223261415181920[[#This Row],[Stand Latte Macchiato Plantaardig einde maand]]-Tabel242567891011121314151716181921202223261415181920[[#This Row],[Stand Latte Macchiato Plantaardig vorige maand]]</f>
        <v>2</v>
      </c>
      <c r="AC33" s="71">
        <f>Tabel242567891011121314151716181921202223261415181920[[#This Row],[Verbruik Stand Latte Macchiato Plantaardig deze maand]]+Tabel242567891011121314151716181921202223261415181920[[#This Row],[Verbruik  Cappucino Plantaardig deze maand]]+Tabel242567891011121314151716181921202223261415181920[[#This Row],[Verbruik Cappucino deze maand]]+Tabel242567891011121314151716181921202223261415181920[[#This Row],[Verbruik Hot Water deze maand]]+Tabel242567891011121314151716181921202223261415181920[[#This Row],[Verbruik Coffee Latte deze maand]]+Tabel242567891011121314151716181921202223261415181920[[#This Row],[Verbruik Latte Macchiato deze maand]]+Tabel242567891011121314151716181921202223261415181920[[#This Row],[Verbruik Espresso deze maand]]+Tabel242567891011121314151716181921202223261415181920[[#This Row],[Verbruik Coffee deze maand]]</f>
        <v>1351</v>
      </c>
      <c r="AD33" s="69"/>
      <c r="AE33" s="41"/>
      <c r="AF33" s="5"/>
      <c r="AG33" s="5"/>
      <c r="AH33" s="75"/>
      <c r="AI33" s="41"/>
      <c r="AJ33" s="5"/>
      <c r="AK33" s="5"/>
      <c r="AL33" s="75"/>
      <c r="AM33" s="41"/>
      <c r="AN33" s="5"/>
      <c r="AO33" s="5"/>
      <c r="AP33" s="75"/>
      <c r="AQ33" s="41"/>
      <c r="AR33" s="5"/>
      <c r="AS33" s="5"/>
      <c r="AT33" s="75"/>
      <c r="AU33" s="41"/>
      <c r="AV33" s="5"/>
      <c r="AW33" s="5"/>
      <c r="AX33" s="79"/>
      <c r="AY33" s="95">
        <f>Tabel242567891011121314151716181921202223261415181920[[#This Row],[Subtotaal waterbar in consumpties]]+Tabel242567891011121314151716181921202223261415181920[[#This Row],[Subtotaal koffieautomaten]]</f>
        <v>1351</v>
      </c>
    </row>
    <row r="34" spans="1:130" ht="14.45" customHeight="1" x14ac:dyDescent="0.25">
      <c r="A34" s="65" t="s">
        <v>50</v>
      </c>
      <c r="B34" t="s">
        <v>82</v>
      </c>
      <c r="C34" t="s">
        <v>47</v>
      </c>
      <c r="E34">
        <v>9173</v>
      </c>
      <c r="F34">
        <f>augustus2025!E34</f>
        <v>8859</v>
      </c>
      <c r="G34">
        <f>Tabel242567891011121314151716181921202223261415181920[[#This Row],[Stand Coffee einde maand]]-Tabel242567891011121314151716181921202223261415181920[[#This Row],[Coffee vorige maand]]</f>
        <v>314</v>
      </c>
      <c r="H34" s="53">
        <v>1681</v>
      </c>
      <c r="I34">
        <f>augustus2025!H34</f>
        <v>1645</v>
      </c>
      <c r="J34">
        <f>Tabel242567891011121314151716181921202223261415181920[[#This Row],[Stand Espresso Einde maand]]-Tabel242567891011121314151716181921202223261415181920[[#This Row],[Espresso vorige maand]]</f>
        <v>36</v>
      </c>
      <c r="K34" s="53">
        <v>2390</v>
      </c>
      <c r="L34">
        <f>augustus2025!K34</f>
        <v>2279</v>
      </c>
      <c r="M34">
        <f>Tabel242567891011121314151716181921202223261415181920[[#This Row],[Stand Latte Macchiato einde maand]]-Tabel242567891011121314151716181921202223261415181920[[#This Row],[Latte Macchiato vorige maand]]</f>
        <v>111</v>
      </c>
      <c r="N34" s="53">
        <v>2534</v>
      </c>
      <c r="O34">
        <f>augustus2025!N34</f>
        <v>2423</v>
      </c>
      <c r="P34">
        <f>Tabel242567891011121314151716181921202223261415181920[[#This Row],[Stand Coffee Latte einde maand]]-Tabel242567891011121314151716181921202223261415181920[[#This Row],[Coffee Latte vorige maand]]</f>
        <v>111</v>
      </c>
      <c r="Q34" s="53">
        <v>1</v>
      </c>
      <c r="R34">
        <f>augustus2025!Q34</f>
        <v>1</v>
      </c>
      <c r="S34">
        <f>Tabel242567891011121314151716181921202223261415181920[[#This Row],[Stand Hot Water einde maand]]-Tabel242567891011121314151716181921202223261415181920[[#This Row],[Hot Water vorige maand]]</f>
        <v>0</v>
      </c>
      <c r="T34" s="53">
        <v>4775</v>
      </c>
      <c r="U34">
        <f>augustus2025!T34</f>
        <v>4677</v>
      </c>
      <c r="V34">
        <f>Tabel242567891011121314151716181921202223261415181920[[#This Row],[Stand Cappucino einde maand]]-Tabel242567891011121314151716181921202223261415181920[[#This Row],[Stand Cappucino vorige maand]]</f>
        <v>98</v>
      </c>
      <c r="W34" s="53">
        <v>1025</v>
      </c>
      <c r="X34">
        <f>augustus2025!W34</f>
        <v>985</v>
      </c>
      <c r="Y34">
        <f>Tabel242567891011121314151716181921202223261415181920[[#This Row],[Stand Cappucino Plantaardig einde maand]]-Tabel242567891011121314151716181921202223261415181920[[#This Row],[Stand Cappucino Plantaardig vorige maand]]</f>
        <v>40</v>
      </c>
      <c r="Z34" s="53">
        <v>109</v>
      </c>
      <c r="AA34">
        <f>augustus2025!Z34</f>
        <v>107</v>
      </c>
      <c r="AB34">
        <f>Tabel242567891011121314151716181921202223261415181920[[#This Row],[Stand Latte Macchiato Plantaardig einde maand]]-Tabel242567891011121314151716181921202223261415181920[[#This Row],[Stand Latte Macchiato Plantaardig vorige maand]]</f>
        <v>2</v>
      </c>
      <c r="AC34" s="71">
        <f>Tabel242567891011121314151716181921202223261415181920[[#This Row],[Verbruik Stand Latte Macchiato Plantaardig deze maand]]+Tabel242567891011121314151716181921202223261415181920[[#This Row],[Verbruik  Cappucino Plantaardig deze maand]]+Tabel242567891011121314151716181921202223261415181920[[#This Row],[Verbruik Cappucino deze maand]]+Tabel242567891011121314151716181921202223261415181920[[#This Row],[Verbruik Hot Water deze maand]]+Tabel242567891011121314151716181921202223261415181920[[#This Row],[Verbruik Coffee Latte deze maand]]+Tabel242567891011121314151716181921202223261415181920[[#This Row],[Verbruik Latte Macchiato deze maand]]+Tabel242567891011121314151716181921202223261415181920[[#This Row],[Verbruik Espresso deze maand]]+Tabel242567891011121314151716181921202223261415181920[[#This Row],[Verbruik Coffee deze maand]]</f>
        <v>712</v>
      </c>
      <c r="AD34" s="53">
        <v>99</v>
      </c>
      <c r="AE34">
        <f>augustus2025!AD34</f>
        <v>91</v>
      </c>
      <c r="AF34">
        <f>Tabel242567891011121314151716181921202223261415181920[[#This Row],[Stand Kamertemp liter einde maand]]-Tabel242567891011121314151716181921202223261415181920[[#This Row],[Stand Kamertemp liter vorige maand]]</f>
        <v>8</v>
      </c>
      <c r="AG34" s="2">
        <f>Tabel242567891011121314151716181921202223261415181920[[#This Row],[Verbruik Kamertemp liter deze maand]]/0.15</f>
        <v>53.333333333333336</v>
      </c>
      <c r="AH34" s="53">
        <v>517.9</v>
      </c>
      <c r="AI34">
        <f>augustus2025!AH34</f>
        <v>462.1</v>
      </c>
      <c r="AJ34">
        <f>Tabel242567891011121314151716181921202223261415181920[[#This Row],[Stand Gekoeld liter einde maand]]-Tabel242567891011121314151716181921202223261415181920[[#This Row],[Stand Gekoeld liter vorige maand]]</f>
        <v>55.799999999999955</v>
      </c>
      <c r="AK34" s="2">
        <f>Tabel242567891011121314151716181921202223261415181920[[#This Row],[Verbruik Gekoeld liter deze maand]]/0.15</f>
        <v>371.99999999999972</v>
      </c>
      <c r="AL34" s="53">
        <v>371.7</v>
      </c>
      <c r="AM34">
        <f>augustus2025!AL34</f>
        <v>319.5</v>
      </c>
      <c r="AN34">
        <f>Tabel242567891011121314151716181921202223261415181920[[#This Row],[Stand Bruisend liter einde maand]]-Tabel242567891011121314151716181921202223261415181920[[#This Row],[Stand Bruisend liter vorige maand]]</f>
        <v>52.199999999999989</v>
      </c>
      <c r="AO34" s="2">
        <f>Tabel242567891011121314151716181921202223261415181920[[#This Row],[Verbruik Bruisend liter deze maand]]/0.15</f>
        <v>347.99999999999994</v>
      </c>
      <c r="AP34" s="53">
        <v>152.19999999999999</v>
      </c>
      <c r="AQ34">
        <f>augustus2025!AP34</f>
        <v>134.69999999999999</v>
      </c>
      <c r="AR34">
        <f>Tabel242567891011121314151716181921202223261415181920[[#This Row],[Stand licht bruisend liter einde maand]]-Tabel242567891011121314151716181921202223261415181920[[#This Row],[Stand licht bruisend liter vorige maand]]</f>
        <v>17.5</v>
      </c>
      <c r="AS34" s="2">
        <f>Tabel242567891011121314151716181921202223261415181920[[#This Row],[Verbruik licht bruisend liter deze maand]]/0.15</f>
        <v>116.66666666666667</v>
      </c>
      <c r="AT34" s="53">
        <v>1825.1</v>
      </c>
      <c r="AU34">
        <f>augustus2025!AT34</f>
        <v>1627.4</v>
      </c>
      <c r="AV34">
        <f>Tabel242567891011121314151716181921202223261415181920[[#This Row],[Stand heet water liter einde maand]]-Tabel242567891011121314151716181921202223261415181920[[#This Row],[Stand heet water liter vorige maand]]</f>
        <v>197.69999999999982</v>
      </c>
      <c r="AW34" s="2">
        <f>Tabel242567891011121314151716181921202223261415181920[[#This Row],[Verbruik heet Water liter deze maand ]]/0.15</f>
        <v>1317.9999999999989</v>
      </c>
      <c r="AX34" s="77">
        <f>Tabel242567891011121314151716181921202223261415181920[[#This Row],[Aantal consumpties heet water deze maand]]+Tabel242567891011121314151716181921202223261415181920[[#This Row],[Aantal consumpties licht bruisend water deze maand]]+Tabel242567891011121314151716181921202223261415181920[[#This Row],[aantal consumpties Bruisend water deze maand]]+Tabel242567891011121314151716181921202223261415181920[[#This Row],[Aantal consumpties gekoeld water deze maand]]+Tabel242567891011121314151716181921202223261415181920[[#This Row],[Aantal consumpties Kamertemp deze maand]]</f>
        <v>2207.9999999999986</v>
      </c>
      <c r="AY34" s="95">
        <f>Tabel242567891011121314151716181921202223261415181920[[#This Row],[Subtotaal waterbar in consumpties]]+Tabel242567891011121314151716181921202223261415181920[[#This Row],[Subtotaal koffieautomaten]]</f>
        <v>2919.9999999999986</v>
      </c>
    </row>
    <row r="35" spans="1:130" ht="14.45" customHeight="1" x14ac:dyDescent="0.25">
      <c r="A35" s="65" t="s">
        <v>52</v>
      </c>
      <c r="B35" t="s">
        <v>83</v>
      </c>
      <c r="C35" t="s">
        <v>47</v>
      </c>
      <c r="E35">
        <v>9549</v>
      </c>
      <c r="F35">
        <f>augustus2025!E35</f>
        <v>9263</v>
      </c>
      <c r="G35">
        <f>Tabel242567891011121314151716181921202223261415181920[[#This Row],[Stand Coffee einde maand]]-Tabel242567891011121314151716181921202223261415181920[[#This Row],[Coffee vorige maand]]</f>
        <v>286</v>
      </c>
      <c r="H35" s="53">
        <v>3548</v>
      </c>
      <c r="I35">
        <f>augustus2025!H35</f>
        <v>3468</v>
      </c>
      <c r="J35">
        <f>Tabel242567891011121314151716181921202223261415181920[[#This Row],[Stand Espresso Einde maand]]-Tabel242567891011121314151716181921202223261415181920[[#This Row],[Espresso vorige maand]]</f>
        <v>80</v>
      </c>
      <c r="K35" s="53">
        <v>1682</v>
      </c>
      <c r="L35">
        <f>augustus2025!K35</f>
        <v>1628</v>
      </c>
      <c r="M35">
        <f>Tabel242567891011121314151716181921202223261415181920[[#This Row],[Stand Latte Macchiato einde maand]]-Tabel242567891011121314151716181921202223261415181920[[#This Row],[Latte Macchiato vorige maand]]</f>
        <v>54</v>
      </c>
      <c r="N35" s="53">
        <v>289</v>
      </c>
      <c r="O35">
        <f>augustus2025!N35</f>
        <v>285</v>
      </c>
      <c r="P35">
        <f>Tabel242567891011121314151716181921202223261415181920[[#This Row],[Stand Coffee Latte einde maand]]-Tabel242567891011121314151716181921202223261415181920[[#This Row],[Coffee Latte vorige maand]]</f>
        <v>4</v>
      </c>
      <c r="Q35" s="53">
        <v>1</v>
      </c>
      <c r="R35">
        <f>augustus2025!Q35</f>
        <v>1</v>
      </c>
      <c r="S35">
        <f>Tabel242567891011121314151716181921202223261415181920[[#This Row],[Stand Hot Water einde maand]]-Tabel242567891011121314151716181921202223261415181920[[#This Row],[Hot Water vorige maand]]</f>
        <v>0</v>
      </c>
      <c r="T35" s="53">
        <v>3994</v>
      </c>
      <c r="U35">
        <f>augustus2025!T35</f>
        <v>3817</v>
      </c>
      <c r="V35">
        <f>Tabel242567891011121314151716181921202223261415181920[[#This Row],[Stand Cappucino einde maand]]-Tabel242567891011121314151716181921202223261415181920[[#This Row],[Stand Cappucino vorige maand]]</f>
        <v>177</v>
      </c>
      <c r="W35" s="53">
        <v>1166</v>
      </c>
      <c r="X35">
        <f>augustus2025!W35</f>
        <v>1136</v>
      </c>
      <c r="Y35">
        <f>Tabel242567891011121314151716181921202223261415181920[[#This Row],[Stand Cappucino Plantaardig einde maand]]-Tabel242567891011121314151716181921202223261415181920[[#This Row],[Stand Cappucino Plantaardig vorige maand]]</f>
        <v>30</v>
      </c>
      <c r="Z35" s="53">
        <v>628</v>
      </c>
      <c r="AA35">
        <f>augustus2025!Z35</f>
        <v>620</v>
      </c>
      <c r="AB35">
        <f>Tabel242567891011121314151716181921202223261415181920[[#This Row],[Stand Latte Macchiato Plantaardig einde maand]]-Tabel242567891011121314151716181921202223261415181920[[#This Row],[Stand Latte Macchiato Plantaardig vorige maand]]</f>
        <v>8</v>
      </c>
      <c r="AC35" s="71">
        <f>Tabel242567891011121314151716181921202223261415181920[[#This Row],[Verbruik Stand Latte Macchiato Plantaardig deze maand]]+Tabel242567891011121314151716181921202223261415181920[[#This Row],[Verbruik  Cappucino Plantaardig deze maand]]+Tabel242567891011121314151716181921202223261415181920[[#This Row],[Verbruik Cappucino deze maand]]+Tabel242567891011121314151716181921202223261415181920[[#This Row],[Verbruik Hot Water deze maand]]+Tabel242567891011121314151716181921202223261415181920[[#This Row],[Verbruik Coffee Latte deze maand]]+Tabel242567891011121314151716181921202223261415181920[[#This Row],[Verbruik Latte Macchiato deze maand]]+Tabel242567891011121314151716181921202223261415181920[[#This Row],[Verbruik Espresso deze maand]]+Tabel242567891011121314151716181921202223261415181920[[#This Row],[Verbruik Coffee deze maand]]</f>
        <v>639</v>
      </c>
      <c r="AD35" s="120">
        <v>11.3</v>
      </c>
      <c r="AE35" s="49">
        <v>0</v>
      </c>
      <c r="AF35" s="49">
        <f>Tabel242567891011121314151716181921202223261415181920[[#This Row],[Stand Kamertemp liter einde maand]]-Tabel242567891011121314151716181921202223261415181920[[#This Row],[Stand Kamertemp liter vorige maand]]</f>
        <v>11.3</v>
      </c>
      <c r="AG35" s="121">
        <f>Tabel242567891011121314151716181921202223261415181920[[#This Row],[Verbruik Kamertemp liter deze maand]]/0.15</f>
        <v>75.333333333333343</v>
      </c>
      <c r="AH35" s="120">
        <v>18</v>
      </c>
      <c r="AI35" s="49">
        <v>0</v>
      </c>
      <c r="AJ35" s="49">
        <f>Tabel242567891011121314151716181921202223261415181920[[#This Row],[Stand Gekoeld liter einde maand]]-Tabel242567891011121314151716181921202223261415181920[[#This Row],[Stand Gekoeld liter vorige maand]]</f>
        <v>18</v>
      </c>
      <c r="AK35" s="121">
        <f>Tabel242567891011121314151716181921202223261415181920[[#This Row],[Verbruik Gekoeld liter deze maand]]/0.15</f>
        <v>120</v>
      </c>
      <c r="AL35" s="120">
        <v>15.1</v>
      </c>
      <c r="AM35" s="49">
        <v>0</v>
      </c>
      <c r="AN35" s="49">
        <f>Tabel242567891011121314151716181921202223261415181920[[#This Row],[Stand Bruisend liter einde maand]]-Tabel242567891011121314151716181921202223261415181920[[#This Row],[Stand Bruisend liter vorige maand]]</f>
        <v>15.1</v>
      </c>
      <c r="AO35" s="121">
        <f>Tabel242567891011121314151716181921202223261415181920[[#This Row],[Verbruik Bruisend liter deze maand]]/0.15</f>
        <v>100.66666666666667</v>
      </c>
      <c r="AP35" s="120">
        <v>12.8</v>
      </c>
      <c r="AQ35" s="49">
        <v>0</v>
      </c>
      <c r="AR35" s="49">
        <f>Tabel242567891011121314151716181921202223261415181920[[#This Row],[Stand licht bruisend liter einde maand]]-Tabel242567891011121314151716181921202223261415181920[[#This Row],[Stand licht bruisend liter vorige maand]]</f>
        <v>12.8</v>
      </c>
      <c r="AS35" s="121">
        <f>Tabel242567891011121314151716181921202223261415181920[[#This Row],[Verbruik licht bruisend liter deze maand]]/0.15</f>
        <v>85.333333333333343</v>
      </c>
      <c r="AT35" s="120">
        <v>159.5</v>
      </c>
      <c r="AU35" s="49">
        <v>0</v>
      </c>
      <c r="AV35" s="49">
        <f>Tabel242567891011121314151716181921202223261415181920[[#This Row],[Stand heet water liter einde maand]]-Tabel242567891011121314151716181921202223261415181920[[#This Row],[Stand heet water liter vorige maand]]</f>
        <v>159.5</v>
      </c>
      <c r="AW35" s="121">
        <f>Tabel242567891011121314151716181921202223261415181920[[#This Row],[Verbruik heet Water liter deze maand ]]/0.15</f>
        <v>1063.3333333333335</v>
      </c>
      <c r="AX35" s="122">
        <f>Tabel242567891011121314151716181921202223261415181920[[#This Row],[Aantal consumpties heet water deze maand]]+Tabel242567891011121314151716181921202223261415181920[[#This Row],[Aantal consumpties licht bruisend water deze maand]]+Tabel242567891011121314151716181921202223261415181920[[#This Row],[aantal consumpties Bruisend water deze maand]]+Tabel242567891011121314151716181921202223261415181920[[#This Row],[Aantal consumpties gekoeld water deze maand]]+Tabel242567891011121314151716181921202223261415181920[[#This Row],[Aantal consumpties Kamertemp deze maand]]</f>
        <v>1444.6666666666667</v>
      </c>
      <c r="AY35" s="95">
        <f>Tabel242567891011121314151716181921202223261415181920[[#This Row],[Subtotaal waterbar in consumpties]]+Tabel242567891011121314151716181921202223261415181920[[#This Row],[Subtotaal koffieautomaten]]</f>
        <v>2083.666666666667</v>
      </c>
    </row>
    <row r="36" spans="1:130" ht="14.45" customHeight="1" x14ac:dyDescent="0.25">
      <c r="A36" s="65" t="s">
        <v>54</v>
      </c>
      <c r="B36" t="s">
        <v>84</v>
      </c>
      <c r="C36" t="s">
        <v>31</v>
      </c>
      <c r="E36">
        <v>15554</v>
      </c>
      <c r="F36">
        <f>augustus2025!E36</f>
        <v>14987</v>
      </c>
      <c r="G36">
        <f>Tabel242567891011121314151716181921202223261415181920[[#This Row],[Stand Coffee einde maand]]-Tabel242567891011121314151716181921202223261415181920[[#This Row],[Coffee vorige maand]]</f>
        <v>567</v>
      </c>
      <c r="H36" s="53">
        <v>2695</v>
      </c>
      <c r="I36">
        <f>augustus2025!H36</f>
        <v>2564</v>
      </c>
      <c r="J36">
        <f>Tabel242567891011121314151716181921202223261415181920[[#This Row],[Stand Espresso Einde maand]]-Tabel242567891011121314151716181921202223261415181920[[#This Row],[Espresso vorige maand]]</f>
        <v>131</v>
      </c>
      <c r="K36" s="53">
        <v>1414</v>
      </c>
      <c r="L36">
        <f>augustus2025!K36</f>
        <v>1383</v>
      </c>
      <c r="M36">
        <f>Tabel242567891011121314151716181921202223261415181920[[#This Row],[Stand Latte Macchiato einde maand]]-Tabel242567891011121314151716181921202223261415181920[[#This Row],[Latte Macchiato vorige maand]]</f>
        <v>31</v>
      </c>
      <c r="N36" s="53">
        <v>513</v>
      </c>
      <c r="O36">
        <f>augustus2025!N36</f>
        <v>480</v>
      </c>
      <c r="P36">
        <f>Tabel242567891011121314151716181921202223261415181920[[#This Row],[Stand Coffee Latte einde maand]]-Tabel242567891011121314151716181921202223261415181920[[#This Row],[Coffee Latte vorige maand]]</f>
        <v>33</v>
      </c>
      <c r="Q36" s="53">
        <v>21926</v>
      </c>
      <c r="R36">
        <f>augustus2025!Q36</f>
        <v>21007</v>
      </c>
      <c r="S36">
        <f>Tabel242567891011121314151716181921202223261415181920[[#This Row],[Stand Hot Water einde maand]]-Tabel242567891011121314151716181921202223261415181920[[#This Row],[Hot Water vorige maand]]</f>
        <v>919</v>
      </c>
      <c r="T36" s="53">
        <v>5305</v>
      </c>
      <c r="U36">
        <f>augustus2025!T36</f>
        <v>5028</v>
      </c>
      <c r="V36">
        <f>Tabel242567891011121314151716181921202223261415181920[[#This Row],[Stand Cappucino einde maand]]-Tabel242567891011121314151716181921202223261415181920[[#This Row],[Stand Cappucino vorige maand]]</f>
        <v>277</v>
      </c>
      <c r="W36" s="53">
        <v>698</v>
      </c>
      <c r="X36">
        <f>augustus2025!W36</f>
        <v>674</v>
      </c>
      <c r="Y36">
        <f>Tabel242567891011121314151716181921202223261415181920[[#This Row],[Stand Cappucino Plantaardig einde maand]]-Tabel242567891011121314151716181921202223261415181920[[#This Row],[Stand Cappucino Plantaardig vorige maand]]</f>
        <v>24</v>
      </c>
      <c r="Z36" s="53">
        <v>1094</v>
      </c>
      <c r="AA36">
        <f>augustus2025!Z36</f>
        <v>1017</v>
      </c>
      <c r="AB36">
        <f>Tabel242567891011121314151716181921202223261415181920[[#This Row],[Stand Latte Macchiato Plantaardig einde maand]]-Tabel242567891011121314151716181921202223261415181920[[#This Row],[Stand Latte Macchiato Plantaardig vorige maand]]</f>
        <v>77</v>
      </c>
      <c r="AC36" s="71">
        <f>Tabel242567891011121314151716181921202223261415181920[[#This Row],[Verbruik Stand Latte Macchiato Plantaardig deze maand]]+Tabel242567891011121314151716181921202223261415181920[[#This Row],[Verbruik  Cappucino Plantaardig deze maand]]+Tabel242567891011121314151716181921202223261415181920[[#This Row],[Verbruik Cappucino deze maand]]+Tabel242567891011121314151716181921202223261415181920[[#This Row],[Verbruik Hot Water deze maand]]+Tabel242567891011121314151716181921202223261415181920[[#This Row],[Verbruik Coffee Latte deze maand]]+Tabel242567891011121314151716181921202223261415181920[[#This Row],[Verbruik Latte Macchiato deze maand]]+Tabel242567891011121314151716181921202223261415181920[[#This Row],[Verbruik Espresso deze maand]]+Tabel242567891011121314151716181921202223261415181920[[#This Row],[Verbruik Coffee deze maand]]</f>
        <v>2059</v>
      </c>
      <c r="AD36" s="69"/>
      <c r="AE36" s="41"/>
      <c r="AF36" s="5"/>
      <c r="AG36" s="5"/>
      <c r="AH36" s="75"/>
      <c r="AI36" s="41"/>
      <c r="AJ36" s="5"/>
      <c r="AK36" s="5"/>
      <c r="AL36" s="75"/>
      <c r="AM36" s="41"/>
      <c r="AN36" s="5"/>
      <c r="AO36" s="5"/>
      <c r="AP36" s="75"/>
      <c r="AQ36" s="41"/>
      <c r="AR36" s="5"/>
      <c r="AS36" s="5"/>
      <c r="AT36" s="75"/>
      <c r="AU36" s="41"/>
      <c r="AV36" s="5"/>
      <c r="AW36" s="5"/>
      <c r="AX36" s="79"/>
      <c r="AY36" s="95">
        <f>Tabel242567891011121314151716181921202223261415181920[[#This Row],[Subtotaal waterbar in consumpties]]+Tabel242567891011121314151716181921202223261415181920[[#This Row],[Subtotaal koffieautomaten]]</f>
        <v>2059</v>
      </c>
    </row>
    <row r="37" spans="1:130" ht="14.45" customHeight="1" x14ac:dyDescent="0.25">
      <c r="A37" s="65" t="s">
        <v>56</v>
      </c>
      <c r="B37" t="s">
        <v>85</v>
      </c>
      <c r="C37" t="s">
        <v>36</v>
      </c>
      <c r="E37" s="46"/>
      <c r="F37" s="46"/>
      <c r="G37" s="47"/>
      <c r="H37" s="54"/>
      <c r="I37" s="46"/>
      <c r="J37" s="47"/>
      <c r="K37" s="54"/>
      <c r="L37" s="46"/>
      <c r="M37" s="47"/>
      <c r="N37" s="54"/>
      <c r="O37" s="46"/>
      <c r="P37" s="47"/>
      <c r="Q37" s="54"/>
      <c r="R37" s="46"/>
      <c r="S37" s="47"/>
      <c r="T37" s="54"/>
      <c r="U37" s="46"/>
      <c r="V37" s="47"/>
      <c r="W37" s="54"/>
      <c r="X37" s="46"/>
      <c r="Y37" s="47"/>
      <c r="Z37" s="54"/>
      <c r="AA37" s="46"/>
      <c r="AB37" s="47"/>
      <c r="AC37" s="72"/>
      <c r="AD37" s="53">
        <v>192.3</v>
      </c>
      <c r="AE37">
        <f>augustus2025!AD37</f>
        <v>176.8</v>
      </c>
      <c r="AF37">
        <f>Tabel242567891011121314151716181921202223261415181920[[#This Row],[Stand Kamertemp liter einde maand]]-Tabel242567891011121314151716181921202223261415181920[[#This Row],[Stand Kamertemp liter vorige maand]]</f>
        <v>15.5</v>
      </c>
      <c r="AG37" s="2">
        <f>Tabel242567891011121314151716181921202223261415181920[[#This Row],[Verbruik Kamertemp liter deze maand]]/0.15</f>
        <v>103.33333333333334</v>
      </c>
      <c r="AH37" s="53">
        <v>975.8</v>
      </c>
      <c r="AI37">
        <f>augustus2025!AH37</f>
        <v>940</v>
      </c>
      <c r="AJ37">
        <f>Tabel242567891011121314151716181921202223261415181920[[#This Row],[Stand Gekoeld liter einde maand]]-Tabel242567891011121314151716181921202223261415181920[[#This Row],[Stand Gekoeld liter vorige maand]]</f>
        <v>35.799999999999955</v>
      </c>
      <c r="AK37" s="2">
        <f>Tabel242567891011121314151716181921202223261415181920[[#This Row],[Verbruik Gekoeld liter deze maand]]/0.15</f>
        <v>238.66666666666637</v>
      </c>
      <c r="AL37" s="53">
        <v>765.7</v>
      </c>
      <c r="AM37">
        <f>augustus2025!AL37</f>
        <v>714.6</v>
      </c>
      <c r="AN37">
        <f>Tabel242567891011121314151716181921202223261415181920[[#This Row],[Stand Bruisend liter einde maand]]-Tabel242567891011121314151716181921202223261415181920[[#This Row],[Stand Bruisend liter vorige maand]]</f>
        <v>51.100000000000023</v>
      </c>
      <c r="AO37" s="2">
        <f>Tabel242567891011121314151716181921202223261415181920[[#This Row],[Verbruik Bruisend liter deze maand]]/0.15</f>
        <v>340.66666666666686</v>
      </c>
      <c r="AP37" s="53">
        <v>418.8</v>
      </c>
      <c r="AQ37">
        <f>augustus2025!AP37</f>
        <v>381.6</v>
      </c>
      <c r="AR37">
        <f>Tabel242567891011121314151716181921202223261415181920[[#This Row],[Stand licht bruisend liter einde maand]]-Tabel242567891011121314151716181921202223261415181920[[#This Row],[Stand licht bruisend liter vorige maand]]</f>
        <v>37.199999999999989</v>
      </c>
      <c r="AS37" s="2">
        <f>Tabel242567891011121314151716181921202223261415181920[[#This Row],[Verbruik licht bruisend liter deze maand]]/0.15</f>
        <v>247.99999999999994</v>
      </c>
      <c r="AT37" s="53">
        <v>2817.9</v>
      </c>
      <c r="AU37">
        <f>augustus2025!AT37</f>
        <v>2679.7</v>
      </c>
      <c r="AV37">
        <f>Tabel242567891011121314151716181921202223261415181920[[#This Row],[Stand heet water liter einde maand]]-Tabel242567891011121314151716181921202223261415181920[[#This Row],[Stand heet water liter vorige maand]]</f>
        <v>138.20000000000027</v>
      </c>
      <c r="AW37" s="2">
        <f>Tabel242567891011121314151716181921202223261415181920[[#This Row],[Verbruik heet Water liter deze maand ]]/0.15</f>
        <v>921.33333333333519</v>
      </c>
      <c r="AX37" s="77">
        <f>Tabel242567891011121314151716181921202223261415181920[[#This Row],[Aantal consumpties heet water deze maand]]+Tabel242567891011121314151716181921202223261415181920[[#This Row],[Aantal consumpties licht bruisend water deze maand]]+Tabel242567891011121314151716181921202223261415181920[[#This Row],[aantal consumpties Bruisend water deze maand]]+Tabel242567891011121314151716181921202223261415181920[[#This Row],[Aantal consumpties gekoeld water deze maand]]+Tabel242567891011121314151716181921202223261415181920[[#This Row],[Aantal consumpties Kamertemp deze maand]]</f>
        <v>1852.0000000000014</v>
      </c>
      <c r="AY37" s="95">
        <f>Tabel242567891011121314151716181921202223261415181920[[#This Row],[Subtotaal waterbar in consumpties]]+Tabel242567891011121314151716181921202223261415181920[[#This Row],[Subtotaal koffieautomaten]]</f>
        <v>1852.0000000000014</v>
      </c>
    </row>
    <row r="38" spans="1:130" ht="14.45" customHeight="1" x14ac:dyDescent="0.25">
      <c r="A38" s="65" t="s">
        <v>58</v>
      </c>
      <c r="B38" t="s">
        <v>86</v>
      </c>
      <c r="C38" t="s">
        <v>47</v>
      </c>
      <c r="E38">
        <v>14146</v>
      </c>
      <c r="F38">
        <f>augustus2025!E38</f>
        <v>13725</v>
      </c>
      <c r="G38">
        <f>Tabel242567891011121314151716181921202223261415181920[[#This Row],[Stand Coffee einde maand]]-Tabel242567891011121314151716181921202223261415181920[[#This Row],[Coffee vorige maand]]</f>
        <v>421</v>
      </c>
      <c r="H38" s="53">
        <v>4050</v>
      </c>
      <c r="I38">
        <f>augustus2025!H38</f>
        <v>3933</v>
      </c>
      <c r="J38">
        <f>Tabel242567891011121314151716181921202223261415181920[[#This Row],[Stand Espresso Einde maand]]-Tabel242567891011121314151716181921202223261415181920[[#This Row],[Espresso vorige maand]]</f>
        <v>117</v>
      </c>
      <c r="K38" s="53">
        <v>2485</v>
      </c>
      <c r="L38">
        <f>augustus2025!K38</f>
        <v>2390</v>
      </c>
      <c r="M38">
        <f>Tabel242567891011121314151716181921202223261415181920[[#This Row],[Stand Latte Macchiato einde maand]]-Tabel242567891011121314151716181921202223261415181920[[#This Row],[Latte Macchiato vorige maand]]</f>
        <v>95</v>
      </c>
      <c r="N38" s="53">
        <v>1168</v>
      </c>
      <c r="O38">
        <f>augustus2025!N38</f>
        <v>1142</v>
      </c>
      <c r="P38">
        <f>Tabel242567891011121314151716181921202223261415181920[[#This Row],[Stand Coffee Latte einde maand]]-Tabel242567891011121314151716181921202223261415181920[[#This Row],[Coffee Latte vorige maand]]</f>
        <v>26</v>
      </c>
      <c r="Q38" s="53">
        <v>1724</v>
      </c>
      <c r="R38">
        <f>augustus2025!Q38</f>
        <v>1596</v>
      </c>
      <c r="S38">
        <f>Tabel242567891011121314151716181921202223261415181920[[#This Row],[Stand Hot Water einde maand]]-Tabel242567891011121314151716181921202223261415181920[[#This Row],[Hot Water vorige maand]]</f>
        <v>128</v>
      </c>
      <c r="T38" s="53">
        <v>7195</v>
      </c>
      <c r="U38">
        <f>augustus2025!T38</f>
        <v>7043</v>
      </c>
      <c r="V38">
        <f>Tabel242567891011121314151716181921202223261415181920[[#This Row],[Stand Cappucino einde maand]]-Tabel242567891011121314151716181921202223261415181920[[#This Row],[Stand Cappucino vorige maand]]</f>
        <v>152</v>
      </c>
      <c r="W38" s="53">
        <v>1080</v>
      </c>
      <c r="X38">
        <f>augustus2025!W38</f>
        <v>1071</v>
      </c>
      <c r="Y38">
        <f>Tabel242567891011121314151716181921202223261415181920[[#This Row],[Stand Cappucino Plantaardig einde maand]]-Tabel242567891011121314151716181921202223261415181920[[#This Row],[Stand Cappucino Plantaardig vorige maand]]</f>
        <v>9</v>
      </c>
      <c r="Z38" s="53">
        <v>834</v>
      </c>
      <c r="AA38">
        <f>augustus2025!Z38</f>
        <v>815</v>
      </c>
      <c r="AB38">
        <f>Tabel242567891011121314151716181921202223261415181920[[#This Row],[Stand Latte Macchiato Plantaardig einde maand]]-Tabel242567891011121314151716181921202223261415181920[[#This Row],[Stand Latte Macchiato Plantaardig vorige maand]]</f>
        <v>19</v>
      </c>
      <c r="AC38" s="71">
        <f>Tabel242567891011121314151716181921202223261415181920[[#This Row],[Verbruik Stand Latte Macchiato Plantaardig deze maand]]+Tabel242567891011121314151716181921202223261415181920[[#This Row],[Verbruik  Cappucino Plantaardig deze maand]]+Tabel242567891011121314151716181921202223261415181920[[#This Row],[Verbruik Cappucino deze maand]]+Tabel242567891011121314151716181921202223261415181920[[#This Row],[Verbruik Hot Water deze maand]]+Tabel242567891011121314151716181921202223261415181920[[#This Row],[Verbruik Coffee Latte deze maand]]+Tabel242567891011121314151716181921202223261415181920[[#This Row],[Verbruik Latte Macchiato deze maand]]+Tabel242567891011121314151716181921202223261415181920[[#This Row],[Verbruik Espresso deze maand]]+Tabel242567891011121314151716181921202223261415181920[[#This Row],[Verbruik Coffee deze maand]]</f>
        <v>967</v>
      </c>
      <c r="AD38" s="53">
        <v>167</v>
      </c>
      <c r="AE38">
        <f>augustus2025!AD38</f>
        <v>157.5</v>
      </c>
      <c r="AF38">
        <f>Tabel242567891011121314151716181921202223261415181920[[#This Row],[Stand Kamertemp liter einde maand]]-Tabel242567891011121314151716181921202223261415181920[[#This Row],[Stand Kamertemp liter vorige maand]]</f>
        <v>9.5</v>
      </c>
      <c r="AG38" s="2">
        <f>Tabel242567891011121314151716181921202223261415181920[[#This Row],[Verbruik Kamertemp liter deze maand]]/0.15</f>
        <v>63.333333333333336</v>
      </c>
      <c r="AH38" s="53">
        <v>835.4</v>
      </c>
      <c r="AI38">
        <f>augustus2025!AH38</f>
        <v>785.3</v>
      </c>
      <c r="AJ38">
        <f>Tabel242567891011121314151716181921202223261415181920[[#This Row],[Stand Gekoeld liter einde maand]]-Tabel242567891011121314151716181921202223261415181920[[#This Row],[Stand Gekoeld liter vorige maand]]</f>
        <v>50.100000000000023</v>
      </c>
      <c r="AK38" s="2">
        <f>Tabel242567891011121314151716181921202223261415181920[[#This Row],[Verbruik Gekoeld liter deze maand]]/0.15</f>
        <v>334.00000000000017</v>
      </c>
      <c r="AL38" s="53">
        <v>705.6</v>
      </c>
      <c r="AM38">
        <f>augustus2025!AL38</f>
        <v>664.4</v>
      </c>
      <c r="AN38">
        <f>Tabel242567891011121314151716181921202223261415181920[[#This Row],[Stand Bruisend liter einde maand]]-Tabel242567891011121314151716181921202223261415181920[[#This Row],[Stand Bruisend liter vorige maand]]</f>
        <v>41.200000000000045</v>
      </c>
      <c r="AO38" s="2">
        <f>Tabel242567891011121314151716181921202223261415181920[[#This Row],[Verbruik Bruisend liter deze maand]]/0.15</f>
        <v>274.66666666666697</v>
      </c>
      <c r="AP38" s="53">
        <v>198.2</v>
      </c>
      <c r="AQ38">
        <f>augustus2025!AP38</f>
        <v>187.8</v>
      </c>
      <c r="AR38">
        <f>Tabel242567891011121314151716181921202223261415181920[[#This Row],[Stand licht bruisend liter einde maand]]-Tabel242567891011121314151716181921202223261415181920[[#This Row],[Stand licht bruisend liter vorige maand]]</f>
        <v>10.399999999999977</v>
      </c>
      <c r="AS38" s="2">
        <f>Tabel242567891011121314151716181921202223261415181920[[#This Row],[Verbruik licht bruisend liter deze maand]]/0.15</f>
        <v>69.333333333333186</v>
      </c>
      <c r="AT38" s="53">
        <v>2440.6999999999998</v>
      </c>
      <c r="AU38">
        <f>augustus2025!AT38</f>
        <v>2293.8000000000002</v>
      </c>
      <c r="AV38">
        <f>Tabel242567891011121314151716181921202223261415181920[[#This Row],[Stand heet water liter einde maand]]-Tabel242567891011121314151716181921202223261415181920[[#This Row],[Stand heet water liter vorige maand]]</f>
        <v>146.89999999999964</v>
      </c>
      <c r="AW38" s="2">
        <f>Tabel242567891011121314151716181921202223261415181920[[#This Row],[Verbruik heet Water liter deze maand ]]/0.15</f>
        <v>979.33333333333098</v>
      </c>
      <c r="AX38" s="77">
        <f>Tabel242567891011121314151716181921202223261415181920[[#This Row],[Aantal consumpties heet water deze maand]]+Tabel242567891011121314151716181921202223261415181920[[#This Row],[Aantal consumpties licht bruisend water deze maand]]+Tabel242567891011121314151716181921202223261415181920[[#This Row],[aantal consumpties Bruisend water deze maand]]+Tabel242567891011121314151716181921202223261415181920[[#This Row],[Aantal consumpties gekoeld water deze maand]]+Tabel242567891011121314151716181921202223261415181920[[#This Row],[Aantal consumpties Kamertemp deze maand]]</f>
        <v>1720.6666666666647</v>
      </c>
      <c r="AY38" s="95">
        <f>Tabel242567891011121314151716181921202223261415181920[[#This Row],[Subtotaal waterbar in consumpties]]+Tabel242567891011121314151716181921202223261415181920[[#This Row],[Subtotaal koffieautomaten]]</f>
        <v>2687.6666666666647</v>
      </c>
    </row>
    <row r="39" spans="1:130" ht="14.45" customHeight="1" x14ac:dyDescent="0.25">
      <c r="A39" s="65" t="s">
        <v>60</v>
      </c>
      <c r="B39" t="s">
        <v>87</v>
      </c>
      <c r="C39" t="s">
        <v>31</v>
      </c>
      <c r="E39">
        <v>7978</v>
      </c>
      <c r="F39">
        <f>augustus2025!E39</f>
        <v>7670</v>
      </c>
      <c r="G39">
        <f>Tabel242567891011121314151716181921202223261415181920[[#This Row],[Stand Coffee einde maand]]-Tabel242567891011121314151716181921202223261415181920[[#This Row],[Coffee vorige maand]]</f>
        <v>308</v>
      </c>
      <c r="H39" s="53">
        <v>1128</v>
      </c>
      <c r="I39">
        <f>augustus2025!H39</f>
        <v>1102</v>
      </c>
      <c r="J39">
        <f>Tabel242567891011121314151716181921202223261415181920[[#This Row],[Stand Espresso Einde maand]]-Tabel242567891011121314151716181921202223261415181920[[#This Row],[Espresso vorige maand]]</f>
        <v>26</v>
      </c>
      <c r="K39" s="53">
        <v>739</v>
      </c>
      <c r="L39">
        <f>augustus2025!K39</f>
        <v>721</v>
      </c>
      <c r="M39">
        <f>Tabel242567891011121314151716181921202223261415181920[[#This Row],[Stand Latte Macchiato einde maand]]-Tabel242567891011121314151716181921202223261415181920[[#This Row],[Latte Macchiato vorige maand]]</f>
        <v>18</v>
      </c>
      <c r="N39" s="53">
        <v>920</v>
      </c>
      <c r="O39">
        <f>augustus2025!N39</f>
        <v>898</v>
      </c>
      <c r="P39">
        <f>Tabel242567891011121314151716181921202223261415181920[[#This Row],[Stand Coffee Latte einde maand]]-Tabel242567891011121314151716181921202223261415181920[[#This Row],[Coffee Latte vorige maand]]</f>
        <v>22</v>
      </c>
      <c r="Q39" s="53">
        <v>20824</v>
      </c>
      <c r="R39">
        <f>augustus2025!Q39</f>
        <v>20078</v>
      </c>
      <c r="S39">
        <f>Tabel242567891011121314151716181921202223261415181920[[#This Row],[Stand Hot Water einde maand]]-Tabel242567891011121314151716181921202223261415181920[[#This Row],[Hot Water vorige maand]]</f>
        <v>746</v>
      </c>
      <c r="T39" s="53">
        <v>4880</v>
      </c>
      <c r="U39">
        <f>augustus2025!T39</f>
        <v>4752</v>
      </c>
      <c r="V39">
        <f>Tabel242567891011121314151716181921202223261415181920[[#This Row],[Stand Cappucino einde maand]]-Tabel242567891011121314151716181921202223261415181920[[#This Row],[Stand Cappucino vorige maand]]</f>
        <v>128</v>
      </c>
      <c r="W39" s="53">
        <v>389</v>
      </c>
      <c r="X39">
        <f>augustus2025!W39</f>
        <v>374</v>
      </c>
      <c r="Y39">
        <f>Tabel242567891011121314151716181921202223261415181920[[#This Row],[Stand Cappucino Plantaardig einde maand]]-Tabel242567891011121314151716181921202223261415181920[[#This Row],[Stand Cappucino Plantaardig vorige maand]]</f>
        <v>15</v>
      </c>
      <c r="Z39" s="53">
        <v>253</v>
      </c>
      <c r="AA39">
        <f>augustus2025!Z39</f>
        <v>247</v>
      </c>
      <c r="AB39">
        <f>Tabel242567891011121314151716181921202223261415181920[[#This Row],[Stand Latte Macchiato Plantaardig einde maand]]-Tabel242567891011121314151716181921202223261415181920[[#This Row],[Stand Latte Macchiato Plantaardig vorige maand]]</f>
        <v>6</v>
      </c>
      <c r="AC39" s="71">
        <f>Tabel242567891011121314151716181921202223261415181920[[#This Row],[Verbruik Stand Latte Macchiato Plantaardig deze maand]]+Tabel242567891011121314151716181921202223261415181920[[#This Row],[Verbruik  Cappucino Plantaardig deze maand]]+Tabel242567891011121314151716181921202223261415181920[[#This Row],[Verbruik Cappucino deze maand]]+Tabel242567891011121314151716181921202223261415181920[[#This Row],[Verbruik Hot Water deze maand]]+Tabel242567891011121314151716181921202223261415181920[[#This Row],[Verbruik Coffee Latte deze maand]]+Tabel242567891011121314151716181921202223261415181920[[#This Row],[Verbruik Latte Macchiato deze maand]]+Tabel242567891011121314151716181921202223261415181920[[#This Row],[Verbruik Espresso deze maand]]+Tabel242567891011121314151716181921202223261415181920[[#This Row],[Verbruik Coffee deze maand]]</f>
        <v>1269</v>
      </c>
      <c r="AD39" s="69"/>
      <c r="AE39" s="41"/>
      <c r="AF39" s="5"/>
      <c r="AG39" s="5"/>
      <c r="AH39" s="75"/>
      <c r="AI39" s="41"/>
      <c r="AJ39" s="5"/>
      <c r="AK39" s="5"/>
      <c r="AL39" s="75"/>
      <c r="AM39" s="41"/>
      <c r="AN39" s="5"/>
      <c r="AO39" s="5"/>
      <c r="AP39" s="75"/>
      <c r="AQ39" s="41"/>
      <c r="AR39" s="5"/>
      <c r="AS39" s="5"/>
      <c r="AT39" s="75"/>
      <c r="AU39" s="41"/>
      <c r="AV39" s="5"/>
      <c r="AW39" s="5"/>
      <c r="AX39" s="79"/>
      <c r="AY39" s="95">
        <f>Tabel242567891011121314151716181921202223261415181920[[#This Row],[Subtotaal waterbar in consumpties]]+Tabel242567891011121314151716181921202223261415181920[[#This Row],[Subtotaal koffieautomaten]]</f>
        <v>1269</v>
      </c>
    </row>
    <row r="40" spans="1:130" s="81" customFormat="1" ht="14.45" customHeight="1" x14ac:dyDescent="0.25">
      <c r="A40" s="80" t="s">
        <v>88</v>
      </c>
      <c r="D40" s="82"/>
      <c r="H40" s="86"/>
      <c r="K40" s="86"/>
      <c r="N40" s="86"/>
      <c r="Q40" s="86"/>
      <c r="T40" s="86"/>
      <c r="W40" s="86"/>
      <c r="Z40" s="86"/>
      <c r="AC40" s="85"/>
      <c r="AD40" s="86"/>
      <c r="AG40" s="87"/>
      <c r="AH40" s="86"/>
      <c r="AK40" s="87"/>
      <c r="AL40" s="86"/>
      <c r="AO40" s="87"/>
      <c r="AP40" s="86"/>
      <c r="AS40" s="87"/>
      <c r="AT40" s="86"/>
      <c r="AW40" s="87"/>
      <c r="AX40" s="88"/>
      <c r="AY40" s="94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</row>
    <row r="41" spans="1:130" ht="14.45" customHeight="1" x14ac:dyDescent="0.25">
      <c r="A41" s="65" t="s">
        <v>39</v>
      </c>
      <c r="B41" t="s">
        <v>89</v>
      </c>
      <c r="C41" t="s">
        <v>47</v>
      </c>
      <c r="E41">
        <v>11314</v>
      </c>
      <c r="F41">
        <f>augustus2025!E41</f>
        <v>10748</v>
      </c>
      <c r="G41" s="40">
        <f>Tabel242567891011121314151716181921202223261415181920[[#This Row],[Stand Coffee einde maand]]-Tabel242567891011121314151716181921202223261415181920[[#This Row],[Coffee vorige maand]]</f>
        <v>566</v>
      </c>
      <c r="H41" s="53">
        <v>2865</v>
      </c>
      <c r="I41">
        <f>augustus2025!H41</f>
        <v>2644</v>
      </c>
      <c r="J41" s="40">
        <f>Tabel242567891011121314151716181921202223261415181920[[#This Row],[Stand Espresso Einde maand]]-Tabel242567891011121314151716181921202223261415181920[[#This Row],[Espresso vorige maand]]</f>
        <v>221</v>
      </c>
      <c r="K41" s="53">
        <v>1534</v>
      </c>
      <c r="L41">
        <f>augustus2025!K41</f>
        <v>1400</v>
      </c>
      <c r="M41" s="40">
        <f>Tabel242567891011121314151716181921202223261415181920[[#This Row],[Stand Latte Macchiato einde maand]]-Tabel242567891011121314151716181921202223261415181920[[#This Row],[Latte Macchiato vorige maand]]</f>
        <v>134</v>
      </c>
      <c r="N41" s="53">
        <v>718</v>
      </c>
      <c r="O41">
        <f>augustus2025!N41</f>
        <v>675</v>
      </c>
      <c r="P41" s="40">
        <f>Tabel242567891011121314151716181921202223261415181920[[#This Row],[Stand Coffee Latte einde maand]]-Tabel242567891011121314151716181921202223261415181920[[#This Row],[Coffee Latte vorige maand]]</f>
        <v>43</v>
      </c>
      <c r="Q41" s="53">
        <v>4639</v>
      </c>
      <c r="R41">
        <f>augustus2025!Q41</f>
        <v>4467</v>
      </c>
      <c r="S41" s="40">
        <f>Tabel242567891011121314151716181921202223261415181920[[#This Row],[Stand Hot Water einde maand]]-Tabel242567891011121314151716181921202223261415181920[[#This Row],[Hot Water vorige maand]]</f>
        <v>172</v>
      </c>
      <c r="T41" s="53">
        <v>8001</v>
      </c>
      <c r="U41">
        <f>augustus2025!T41</f>
        <v>7668</v>
      </c>
      <c r="V41" s="40">
        <f>Tabel242567891011121314151716181921202223261415181920[[#This Row],[Stand Cappucino einde maand]]-Tabel242567891011121314151716181921202223261415181920[[#This Row],[Stand Cappucino vorige maand]]</f>
        <v>333</v>
      </c>
      <c r="W41" s="53">
        <v>712</v>
      </c>
      <c r="X41">
        <f>augustus2025!W41</f>
        <v>671</v>
      </c>
      <c r="Y41" s="40">
        <f>Tabel242567891011121314151716181921202223261415181920[[#This Row],[Stand Cappucino Plantaardig einde maand]]-Tabel242567891011121314151716181921202223261415181920[[#This Row],[Stand Cappucino Plantaardig vorige maand]]</f>
        <v>41</v>
      </c>
      <c r="Z41" s="53">
        <v>228</v>
      </c>
      <c r="AA41">
        <f>augustus2025!Z41</f>
        <v>218</v>
      </c>
      <c r="AB41" s="40">
        <f>Tabel242567891011121314151716181921202223261415181920[[#This Row],[Stand Latte Macchiato Plantaardig einde maand]]-Tabel242567891011121314151716181921202223261415181920[[#This Row],[Stand Latte Macchiato Plantaardig vorige maand]]</f>
        <v>10</v>
      </c>
      <c r="AC41" s="73">
        <f>Tabel242567891011121314151716181921202223261415181920[[#This Row],[Verbruik Stand Latte Macchiato Plantaardig deze maand]]+Tabel242567891011121314151716181921202223261415181920[[#This Row],[Verbruik  Cappucino Plantaardig deze maand]]+Tabel242567891011121314151716181921202223261415181920[[#This Row],[Verbruik Cappucino deze maand]]+Tabel242567891011121314151716181921202223261415181920[[#This Row],[Verbruik Hot Water deze maand]]+Tabel242567891011121314151716181921202223261415181920[[#This Row],[Verbruik Coffee Latte deze maand]]+Tabel242567891011121314151716181921202223261415181920[[#This Row],[Verbruik Latte Macchiato deze maand]]+Tabel242567891011121314151716181921202223261415181920[[#This Row],[Verbruik Espresso deze maand]]+Tabel242567891011121314151716181921202223261415181920[[#This Row],[Verbruik Coffee deze maand]]</f>
        <v>1520</v>
      </c>
      <c r="AD41" s="97">
        <v>245.9</v>
      </c>
      <c r="AE41" s="102">
        <f>augustus2025!AD41</f>
        <v>229.8</v>
      </c>
      <c r="AF41" s="102">
        <f>Tabel242567891011121314151716181921202223261415181920[[#This Row],[Stand Kamertemp liter einde maand]]-Tabel242567891011121314151716181921202223261415181920[[#This Row],[Stand Kamertemp liter vorige maand]]</f>
        <v>16.099999999999994</v>
      </c>
      <c r="AG41" s="134">
        <f>Tabel242567891011121314151716181921202223261415181920[[#This Row],[Verbruik Kamertemp liter deze maand]]/0.15</f>
        <v>107.3333333333333</v>
      </c>
      <c r="AH41" s="97">
        <v>1784.1</v>
      </c>
      <c r="AI41" s="102">
        <f>augustus2025!AH41</f>
        <v>1646.1</v>
      </c>
      <c r="AJ41" s="102">
        <f>Tabel242567891011121314151716181921202223261415181920[[#This Row],[Stand Gekoeld liter einde maand]]-Tabel242567891011121314151716181921202223261415181920[[#This Row],[Stand Gekoeld liter vorige maand]]</f>
        <v>138</v>
      </c>
      <c r="AK41" s="134">
        <f>Tabel242567891011121314151716181921202223261415181920[[#This Row],[Verbruik Gekoeld liter deze maand]]/0.15</f>
        <v>920</v>
      </c>
      <c r="AL41" s="53">
        <v>783.9</v>
      </c>
      <c r="AM41">
        <f>augustus2025!AL41</f>
        <v>726.4</v>
      </c>
      <c r="AN41">
        <f>Tabel242567891011121314151716181921202223261415181920[[#This Row],[Stand Bruisend liter einde maand]]-Tabel242567891011121314151716181921202223261415181920[[#This Row],[Stand Bruisend liter vorige maand]]</f>
        <v>57.5</v>
      </c>
      <c r="AO41" s="2">
        <f>Tabel242567891011121314151716181921202223261415181920[[#This Row],[Verbruik Bruisend liter deze maand]]/0.15</f>
        <v>383.33333333333337</v>
      </c>
      <c r="AP41" s="53">
        <v>271.10000000000002</v>
      </c>
      <c r="AQ41">
        <f>augustus2025!AP41</f>
        <v>252</v>
      </c>
      <c r="AR41">
        <f>Tabel242567891011121314151716181921202223261415181920[[#This Row],[Stand licht bruisend liter einde maand]]-Tabel242567891011121314151716181921202223261415181920[[#This Row],[Stand licht bruisend liter vorige maand]]</f>
        <v>19.100000000000023</v>
      </c>
      <c r="AS41" s="2">
        <f>Tabel242567891011121314151716181921202223261415181920[[#This Row],[Verbruik licht bruisend liter deze maand]]/0.15</f>
        <v>127.33333333333348</v>
      </c>
      <c r="AT41" s="53">
        <v>757.3</v>
      </c>
      <c r="AU41">
        <f>augustus2025!AT41</f>
        <v>695.8</v>
      </c>
      <c r="AV41">
        <f>Tabel242567891011121314151716181921202223261415181920[[#This Row],[Stand heet water liter einde maand]]-Tabel242567891011121314151716181921202223261415181920[[#This Row],[Stand heet water liter vorige maand]]</f>
        <v>61.5</v>
      </c>
      <c r="AW41" s="2">
        <f>Tabel242567891011121314151716181921202223261415181920[[#This Row],[Verbruik heet Water liter deze maand ]]/0.15</f>
        <v>410</v>
      </c>
      <c r="AX41" s="77">
        <f>Tabel242567891011121314151716181921202223261415181920[[#This Row],[Aantal consumpties heet water deze maand]]+Tabel242567891011121314151716181921202223261415181920[[#This Row],[Aantal consumpties licht bruisend water deze maand]]+Tabel242567891011121314151716181921202223261415181920[[#This Row],[aantal consumpties Bruisend water deze maand]]+Tabel242567891011121314151716181921202223261415181920[[#This Row],[Aantal consumpties gekoeld water deze maand]]+Tabel242567891011121314151716181921202223261415181920[[#This Row],[Aantal consumpties Kamertemp deze maand]]</f>
        <v>1948.0000000000002</v>
      </c>
      <c r="AY41" s="95">
        <f>Tabel242567891011121314151716181921202223261415181920[[#This Row],[Subtotaal waterbar in consumpties]]+Tabel242567891011121314151716181921202223261415181920[[#This Row],[Subtotaal koffieautomaten]]</f>
        <v>3468</v>
      </c>
    </row>
    <row r="42" spans="1:130" ht="14.45" customHeight="1" x14ac:dyDescent="0.25">
      <c r="A42" s="65" t="s">
        <v>41</v>
      </c>
      <c r="B42" t="s">
        <v>90</v>
      </c>
      <c r="C42" t="s">
        <v>31</v>
      </c>
      <c r="E42">
        <v>15112</v>
      </c>
      <c r="F42">
        <f>augustus2025!E42</f>
        <v>14577</v>
      </c>
      <c r="G42">
        <f>Tabel242567891011121314151716181921202223261415181920[[#This Row],[Stand Coffee einde maand]]-Tabel242567891011121314151716181921202223261415181920[[#This Row],[Coffee vorige maand]]</f>
        <v>535</v>
      </c>
      <c r="H42" s="53">
        <v>5032</v>
      </c>
      <c r="I42">
        <f>augustus2025!H42</f>
        <v>4860</v>
      </c>
      <c r="J42">
        <f>Tabel242567891011121314151716181921202223261415181920[[#This Row],[Stand Espresso Einde maand]]-Tabel242567891011121314151716181921202223261415181920[[#This Row],[Espresso vorige maand]]</f>
        <v>172</v>
      </c>
      <c r="K42" s="53">
        <v>1266</v>
      </c>
      <c r="L42">
        <f>augustus2025!K42</f>
        <v>1227</v>
      </c>
      <c r="M42">
        <f>Tabel242567891011121314151716181921202223261415181920[[#This Row],[Stand Latte Macchiato einde maand]]-Tabel242567891011121314151716181921202223261415181920[[#This Row],[Latte Macchiato vorige maand]]</f>
        <v>39</v>
      </c>
      <c r="N42" s="53">
        <v>2624</v>
      </c>
      <c r="O42">
        <f>augustus2025!N42</f>
        <v>2528</v>
      </c>
      <c r="P42">
        <f>Tabel242567891011121314151716181921202223261415181920[[#This Row],[Stand Coffee Latte einde maand]]-Tabel242567891011121314151716181921202223261415181920[[#This Row],[Coffee Latte vorige maand]]</f>
        <v>96</v>
      </c>
      <c r="Q42" s="53">
        <v>45295</v>
      </c>
      <c r="R42">
        <f>augustus2025!Q42</f>
        <v>43827</v>
      </c>
      <c r="S42">
        <f>Tabel242567891011121314151716181921202223261415181920[[#This Row],[Stand Hot Water einde maand]]-Tabel242567891011121314151716181921202223261415181920[[#This Row],[Hot Water vorige maand]]</f>
        <v>1468</v>
      </c>
      <c r="T42" s="53">
        <v>7039</v>
      </c>
      <c r="U42">
        <f>augustus2025!T42</f>
        <v>6833</v>
      </c>
      <c r="V42">
        <f>Tabel242567891011121314151716181921202223261415181920[[#This Row],[Stand Cappucino einde maand]]-Tabel242567891011121314151716181921202223261415181920[[#This Row],[Stand Cappucino vorige maand]]</f>
        <v>206</v>
      </c>
      <c r="W42" s="53">
        <v>525</v>
      </c>
      <c r="X42">
        <f>augustus2025!W42</f>
        <v>495</v>
      </c>
      <c r="Y42">
        <f>Tabel242567891011121314151716181921202223261415181920[[#This Row],[Stand Cappucino Plantaardig einde maand]]-Tabel242567891011121314151716181921202223261415181920[[#This Row],[Stand Cappucino Plantaardig vorige maand]]</f>
        <v>30</v>
      </c>
      <c r="Z42" s="53">
        <v>552</v>
      </c>
      <c r="AA42">
        <f>augustus2025!Z42</f>
        <v>500</v>
      </c>
      <c r="AB42">
        <f>Tabel242567891011121314151716181921202223261415181920[[#This Row],[Stand Latte Macchiato Plantaardig einde maand]]-Tabel242567891011121314151716181921202223261415181920[[#This Row],[Stand Latte Macchiato Plantaardig vorige maand]]</f>
        <v>52</v>
      </c>
      <c r="AC42" s="71">
        <f>Tabel242567891011121314151716181921202223261415181920[[#This Row],[Verbruik Stand Latte Macchiato Plantaardig deze maand]]+Tabel242567891011121314151716181921202223261415181920[[#This Row],[Verbruik  Cappucino Plantaardig deze maand]]+Tabel242567891011121314151716181921202223261415181920[[#This Row],[Verbruik Cappucino deze maand]]+Tabel242567891011121314151716181921202223261415181920[[#This Row],[Verbruik Hot Water deze maand]]+Tabel242567891011121314151716181921202223261415181920[[#This Row],[Verbruik Coffee Latte deze maand]]+Tabel242567891011121314151716181921202223261415181920[[#This Row],[Verbruik Latte Macchiato deze maand]]+Tabel242567891011121314151716181921202223261415181920[[#This Row],[Verbruik Espresso deze maand]]+Tabel242567891011121314151716181921202223261415181920[[#This Row],[Verbruik Coffee deze maand]]</f>
        <v>2598</v>
      </c>
      <c r="AD42" s="69"/>
      <c r="AE42" s="41"/>
      <c r="AF42" s="5"/>
      <c r="AG42" s="5"/>
      <c r="AH42" s="75"/>
      <c r="AI42" s="41"/>
      <c r="AJ42" s="5"/>
      <c r="AK42" s="5"/>
      <c r="AL42" s="75"/>
      <c r="AM42" s="41"/>
      <c r="AN42" s="5"/>
      <c r="AO42" s="5"/>
      <c r="AP42" s="75"/>
      <c r="AQ42" s="41"/>
      <c r="AR42" s="5"/>
      <c r="AS42" s="5"/>
      <c r="AT42" s="75"/>
      <c r="AU42" s="41"/>
      <c r="AV42" s="5"/>
      <c r="AW42" s="5"/>
      <c r="AX42" s="79"/>
      <c r="AY42" s="95">
        <f>Tabel242567891011121314151716181921202223261415181920[[#This Row],[Subtotaal waterbar in consumpties]]+Tabel242567891011121314151716181921202223261415181920[[#This Row],[Subtotaal koffieautomaten]]</f>
        <v>2598</v>
      </c>
    </row>
    <row r="43" spans="1:130" ht="14.45" customHeight="1" x14ac:dyDescent="0.25">
      <c r="A43" s="65" t="s">
        <v>43</v>
      </c>
      <c r="B43" t="s">
        <v>91</v>
      </c>
      <c r="C43" t="s">
        <v>47</v>
      </c>
      <c r="E43">
        <v>17491</v>
      </c>
      <c r="F43">
        <f>augustus2025!E43</f>
        <v>16957</v>
      </c>
      <c r="G43">
        <f>Tabel242567891011121314151716181921202223261415181920[[#This Row],[Stand Coffee einde maand]]-Tabel242567891011121314151716181921202223261415181920[[#This Row],[Coffee vorige maand]]</f>
        <v>534</v>
      </c>
      <c r="H43" s="53">
        <v>3693</v>
      </c>
      <c r="I43">
        <f>augustus2025!H43</f>
        <v>3369</v>
      </c>
      <c r="J43">
        <f>Tabel242567891011121314151716181921202223261415181920[[#This Row],[Stand Espresso Einde maand]]-Tabel242567891011121314151716181921202223261415181920[[#This Row],[Espresso vorige maand]]</f>
        <v>324</v>
      </c>
      <c r="K43" s="53">
        <v>891</v>
      </c>
      <c r="L43">
        <f>augustus2025!K43</f>
        <v>827</v>
      </c>
      <c r="M43">
        <f>Tabel242567891011121314151716181921202223261415181920[[#This Row],[Stand Latte Macchiato einde maand]]-Tabel242567891011121314151716181921202223261415181920[[#This Row],[Latte Macchiato vorige maand]]</f>
        <v>64</v>
      </c>
      <c r="N43" s="53">
        <v>1379</v>
      </c>
      <c r="O43">
        <f>augustus2025!N43</f>
        <v>1332</v>
      </c>
      <c r="P43">
        <f>Tabel242567891011121314151716181921202223261415181920[[#This Row],[Stand Coffee Latte einde maand]]-Tabel242567891011121314151716181921202223261415181920[[#This Row],[Coffee Latte vorige maand]]</f>
        <v>47</v>
      </c>
      <c r="Q43" s="53">
        <v>1730</v>
      </c>
      <c r="R43">
        <f>augustus2025!Q43</f>
        <v>1673</v>
      </c>
      <c r="S43">
        <f>Tabel242567891011121314151716181921202223261415181920[[#This Row],[Stand Hot Water einde maand]]-Tabel242567891011121314151716181921202223261415181920[[#This Row],[Hot Water vorige maand]]</f>
        <v>57</v>
      </c>
      <c r="T43" s="53">
        <v>5290</v>
      </c>
      <c r="U43">
        <f>augustus2025!T43</f>
        <v>5106</v>
      </c>
      <c r="V43">
        <f>Tabel242567891011121314151716181921202223261415181920[[#This Row],[Stand Cappucino einde maand]]-Tabel242567891011121314151716181921202223261415181920[[#This Row],[Stand Cappucino vorige maand]]</f>
        <v>184</v>
      </c>
      <c r="W43" s="53">
        <v>3692</v>
      </c>
      <c r="X43">
        <f>augustus2025!W43</f>
        <v>3646</v>
      </c>
      <c r="Y43">
        <f>Tabel242567891011121314151716181921202223261415181920[[#This Row],[Stand Cappucino Plantaardig einde maand]]-Tabel242567891011121314151716181921202223261415181920[[#This Row],[Stand Cappucino Plantaardig vorige maand]]</f>
        <v>46</v>
      </c>
      <c r="Z43" s="53">
        <v>459</v>
      </c>
      <c r="AA43">
        <f>augustus2025!Z43</f>
        <v>441</v>
      </c>
      <c r="AB43">
        <f>Tabel242567891011121314151716181921202223261415181920[[#This Row],[Stand Latte Macchiato Plantaardig einde maand]]-Tabel242567891011121314151716181921202223261415181920[[#This Row],[Stand Latte Macchiato Plantaardig vorige maand]]</f>
        <v>18</v>
      </c>
      <c r="AC43" s="71">
        <f>Tabel242567891011121314151716181921202223261415181920[[#This Row],[Verbruik Stand Latte Macchiato Plantaardig deze maand]]+Tabel242567891011121314151716181921202223261415181920[[#This Row],[Verbruik  Cappucino Plantaardig deze maand]]+Tabel242567891011121314151716181921202223261415181920[[#This Row],[Verbruik Cappucino deze maand]]+Tabel242567891011121314151716181921202223261415181920[[#This Row],[Verbruik Hot Water deze maand]]+Tabel242567891011121314151716181921202223261415181920[[#This Row],[Verbruik Coffee Latte deze maand]]+Tabel242567891011121314151716181921202223261415181920[[#This Row],[Verbruik Latte Macchiato deze maand]]+Tabel242567891011121314151716181921202223261415181920[[#This Row],[Verbruik Espresso deze maand]]+Tabel242567891011121314151716181921202223261415181920[[#This Row],[Verbruik Coffee deze maand]]</f>
        <v>1274</v>
      </c>
      <c r="AD43" s="53">
        <v>332.1</v>
      </c>
      <c r="AE43">
        <f>augustus2025!AD43</f>
        <v>324.89999999999998</v>
      </c>
      <c r="AF43">
        <f>Tabel242567891011121314151716181921202223261415181920[[#This Row],[Stand Kamertemp liter einde maand]]-Tabel242567891011121314151716181921202223261415181920[[#This Row],[Stand Kamertemp liter vorige maand]]</f>
        <v>7.2000000000000455</v>
      </c>
      <c r="AG43" s="2">
        <f>Tabel242567891011121314151716181921202223261415181920[[#This Row],[Verbruik Kamertemp liter deze maand]]/0.15</f>
        <v>48.000000000000306</v>
      </c>
      <c r="AH43" s="53">
        <v>2315</v>
      </c>
      <c r="AI43">
        <f>augustus2025!AH43</f>
        <v>2139.8000000000002</v>
      </c>
      <c r="AJ43">
        <f>Tabel242567891011121314151716181921202223261415181920[[#This Row],[Stand Gekoeld liter einde maand]]-Tabel242567891011121314151716181921202223261415181920[[#This Row],[Stand Gekoeld liter vorige maand]]</f>
        <v>175.19999999999982</v>
      </c>
      <c r="AK43" s="2">
        <f>Tabel242567891011121314151716181921202223261415181920[[#This Row],[Verbruik Gekoeld liter deze maand]]/0.15</f>
        <v>1167.9999999999989</v>
      </c>
      <c r="AL43" s="53">
        <v>1615.7</v>
      </c>
      <c r="AM43">
        <f>augustus2025!AL43</f>
        <v>1479</v>
      </c>
      <c r="AN43">
        <f>Tabel242567891011121314151716181921202223261415181920[[#This Row],[Stand Bruisend liter einde maand]]-Tabel242567891011121314151716181921202223261415181920[[#This Row],[Stand Bruisend liter vorige maand]]</f>
        <v>136.70000000000005</v>
      </c>
      <c r="AO43" s="2">
        <f>Tabel242567891011121314151716181921202223261415181920[[#This Row],[Verbruik Bruisend liter deze maand]]/0.15</f>
        <v>911.33333333333371</v>
      </c>
      <c r="AP43" s="53">
        <v>586.5</v>
      </c>
      <c r="AQ43">
        <f>augustus2025!AP43</f>
        <v>531</v>
      </c>
      <c r="AR43">
        <f>Tabel242567891011121314151716181921202223261415181920[[#This Row],[Stand licht bruisend liter einde maand]]-Tabel242567891011121314151716181921202223261415181920[[#This Row],[Stand licht bruisend liter vorige maand]]</f>
        <v>55.5</v>
      </c>
      <c r="AS43" s="2">
        <f>Tabel242567891011121314151716181921202223261415181920[[#This Row],[Verbruik licht bruisend liter deze maand]]/0.15</f>
        <v>370</v>
      </c>
      <c r="AT43" s="53">
        <v>5863.1</v>
      </c>
      <c r="AU43">
        <f>augustus2025!AT43</f>
        <v>5467.3</v>
      </c>
      <c r="AV43">
        <f>Tabel242567891011121314151716181921202223261415181920[[#This Row],[Stand heet water liter einde maand]]-Tabel242567891011121314151716181921202223261415181920[[#This Row],[Stand heet water liter vorige maand]]</f>
        <v>395.80000000000018</v>
      </c>
      <c r="AW43" s="2">
        <f>Tabel242567891011121314151716181921202223261415181920[[#This Row],[Verbruik heet Water liter deze maand ]]/0.15</f>
        <v>2638.6666666666679</v>
      </c>
      <c r="AX43" s="77">
        <f>Tabel242567891011121314151716181921202223261415181920[[#This Row],[Aantal consumpties heet water deze maand]]+Tabel242567891011121314151716181921202223261415181920[[#This Row],[Aantal consumpties licht bruisend water deze maand]]+Tabel242567891011121314151716181921202223261415181920[[#This Row],[aantal consumpties Bruisend water deze maand]]+Tabel242567891011121314151716181921202223261415181920[[#This Row],[Aantal consumpties gekoeld water deze maand]]+Tabel242567891011121314151716181921202223261415181920[[#This Row],[Aantal consumpties Kamertemp deze maand]]</f>
        <v>5136.0000000000009</v>
      </c>
      <c r="AY43" s="95">
        <f>Tabel242567891011121314151716181921202223261415181920[[#This Row],[Subtotaal waterbar in consumpties]]+Tabel242567891011121314151716181921202223261415181920[[#This Row],[Subtotaal koffieautomaten]]</f>
        <v>6410.0000000000009</v>
      </c>
    </row>
    <row r="44" spans="1:130" ht="14.45" customHeight="1" x14ac:dyDescent="0.25">
      <c r="A44" s="65" t="s">
        <v>45</v>
      </c>
      <c r="B44" t="s">
        <v>92</v>
      </c>
      <c r="C44" t="s">
        <v>36</v>
      </c>
      <c r="E44" s="46"/>
      <c r="F44" s="46"/>
      <c r="G44" s="47"/>
      <c r="H44" s="54"/>
      <c r="I44" s="46"/>
      <c r="J44" s="47"/>
      <c r="K44" s="54"/>
      <c r="L44" s="46"/>
      <c r="M44" s="47"/>
      <c r="N44" s="54"/>
      <c r="O44" s="46"/>
      <c r="P44" s="47"/>
      <c r="Q44" s="54"/>
      <c r="R44" s="46"/>
      <c r="S44" s="47"/>
      <c r="T44" s="54"/>
      <c r="U44" s="46"/>
      <c r="V44" s="47"/>
      <c r="W44" s="54"/>
      <c r="X44" s="46"/>
      <c r="Y44" s="47"/>
      <c r="Z44" s="54"/>
      <c r="AA44" s="46"/>
      <c r="AB44" s="47"/>
      <c r="AC44" s="72"/>
      <c r="AD44" s="53">
        <v>275</v>
      </c>
      <c r="AE44">
        <f>augustus2025!AD44</f>
        <v>248.9</v>
      </c>
      <c r="AF44">
        <f>Tabel242567891011121314151716181921202223261415181920[[#This Row],[Stand Kamertemp liter einde maand]]-Tabel242567891011121314151716181921202223261415181920[[#This Row],[Stand Kamertemp liter vorige maand]]</f>
        <v>26.099999999999994</v>
      </c>
      <c r="AG44" s="2">
        <f>Tabel242567891011121314151716181921202223261415181920[[#This Row],[Verbruik Kamertemp liter deze maand]]/0.15</f>
        <v>173.99999999999997</v>
      </c>
      <c r="AH44" s="53">
        <v>865.3</v>
      </c>
      <c r="AI44">
        <f>augustus2025!AH44</f>
        <v>785.4</v>
      </c>
      <c r="AJ44">
        <f>Tabel242567891011121314151716181921202223261415181920[[#This Row],[Stand Gekoeld liter einde maand]]-Tabel242567891011121314151716181921202223261415181920[[#This Row],[Stand Gekoeld liter vorige maand]]</f>
        <v>79.899999999999977</v>
      </c>
      <c r="AK44" s="2">
        <f>Tabel242567891011121314151716181921202223261415181920[[#This Row],[Verbruik Gekoeld liter deze maand]]/0.15</f>
        <v>532.66666666666652</v>
      </c>
      <c r="AL44" s="53">
        <v>959.6</v>
      </c>
      <c r="AM44">
        <f>augustus2025!AL44</f>
        <v>869.8</v>
      </c>
      <c r="AN44">
        <f>Tabel242567891011121314151716181921202223261415181920[[#This Row],[Stand Bruisend liter einde maand]]-Tabel242567891011121314151716181921202223261415181920[[#This Row],[Stand Bruisend liter vorige maand]]</f>
        <v>89.800000000000068</v>
      </c>
      <c r="AO44" s="2">
        <f>Tabel242567891011121314151716181921202223261415181920[[#This Row],[Verbruik Bruisend liter deze maand]]/0.15</f>
        <v>598.6666666666672</v>
      </c>
      <c r="AP44" s="53">
        <v>330</v>
      </c>
      <c r="AQ44">
        <f>augustus2025!AP44</f>
        <v>293</v>
      </c>
      <c r="AR44">
        <f>Tabel242567891011121314151716181921202223261415181920[[#This Row],[Stand licht bruisend liter einde maand]]-Tabel242567891011121314151716181921202223261415181920[[#This Row],[Stand licht bruisend liter vorige maand]]</f>
        <v>37</v>
      </c>
      <c r="AS44" s="2">
        <f>Tabel242567891011121314151716181921202223261415181920[[#This Row],[Verbruik licht bruisend liter deze maand]]/0.15</f>
        <v>246.66666666666669</v>
      </c>
      <c r="AT44" s="53">
        <v>2858.1</v>
      </c>
      <c r="AU44">
        <f>augustus2025!AT44</f>
        <v>2626.4</v>
      </c>
      <c r="AV44">
        <f>Tabel242567891011121314151716181921202223261415181920[[#This Row],[Stand heet water liter einde maand]]-Tabel242567891011121314151716181921202223261415181920[[#This Row],[Stand heet water liter vorige maand]]</f>
        <v>231.69999999999982</v>
      </c>
      <c r="AW44" s="2">
        <f>Tabel242567891011121314151716181921202223261415181920[[#This Row],[Verbruik heet Water liter deze maand ]]/0.15</f>
        <v>1544.6666666666656</v>
      </c>
      <c r="AX44" s="77">
        <f>Tabel242567891011121314151716181921202223261415181920[[#This Row],[Aantal consumpties heet water deze maand]]+Tabel242567891011121314151716181921202223261415181920[[#This Row],[Aantal consumpties licht bruisend water deze maand]]+Tabel242567891011121314151716181921202223261415181920[[#This Row],[aantal consumpties Bruisend water deze maand]]+Tabel242567891011121314151716181921202223261415181920[[#This Row],[Aantal consumpties gekoeld water deze maand]]+Tabel242567891011121314151716181921202223261415181920[[#This Row],[Aantal consumpties Kamertemp deze maand]]</f>
        <v>3096.6666666666661</v>
      </c>
      <c r="AY44" s="95">
        <f>Tabel242567891011121314151716181921202223261415181920[[#This Row],[Subtotaal waterbar in consumpties]]+Tabel242567891011121314151716181921202223261415181920[[#This Row],[Subtotaal koffieautomaten]]</f>
        <v>3096.6666666666661</v>
      </c>
    </row>
    <row r="45" spans="1:130" ht="14.45" customHeight="1" x14ac:dyDescent="0.25">
      <c r="A45" s="65" t="s">
        <v>48</v>
      </c>
      <c r="B45" t="s">
        <v>158</v>
      </c>
      <c r="C45" t="s">
        <v>31</v>
      </c>
      <c r="E45">
        <v>30735</v>
      </c>
      <c r="F45">
        <f>augustus2025!E45</f>
        <v>29504</v>
      </c>
      <c r="G45">
        <f>Tabel242567891011121314151716181921202223261415181920[[#This Row],[Stand Coffee einde maand]]-Tabel242567891011121314151716181921202223261415181920[[#This Row],[Coffee vorige maand]]</f>
        <v>1231</v>
      </c>
      <c r="H45" s="53">
        <v>7919</v>
      </c>
      <c r="I45">
        <f>augustus2025!H45</f>
        <v>7602</v>
      </c>
      <c r="J45">
        <f>Tabel242567891011121314151716181921202223261415181920[[#This Row],[Stand Espresso Einde maand]]-Tabel242567891011121314151716181921202223261415181920[[#This Row],[Espresso vorige maand]]</f>
        <v>317</v>
      </c>
      <c r="K45" s="53">
        <v>3084</v>
      </c>
      <c r="L45">
        <f>augustus2025!K45</f>
        <v>2962</v>
      </c>
      <c r="M45">
        <f>Tabel242567891011121314151716181921202223261415181920[[#This Row],[Stand Latte Macchiato einde maand]]-Tabel242567891011121314151716181921202223261415181920[[#This Row],[Latte Macchiato vorige maand]]</f>
        <v>122</v>
      </c>
      <c r="N45" s="53">
        <v>685</v>
      </c>
      <c r="O45">
        <f>augustus2025!N45</f>
        <v>632</v>
      </c>
      <c r="P45">
        <f>Tabel242567891011121314151716181921202223261415181920[[#This Row],[Stand Coffee Latte einde maand]]-Tabel242567891011121314151716181921202223261415181920[[#This Row],[Coffee Latte vorige maand]]</f>
        <v>53</v>
      </c>
      <c r="Q45" s="53">
        <v>29343</v>
      </c>
      <c r="R45">
        <f>augustus2025!Q45</f>
        <v>28031</v>
      </c>
      <c r="S45">
        <f>Tabel242567891011121314151716181921202223261415181920[[#This Row],[Stand Hot Water einde maand]]-Tabel242567891011121314151716181921202223261415181920[[#This Row],[Hot Water vorige maand]]</f>
        <v>1312</v>
      </c>
      <c r="T45" s="53">
        <v>11003</v>
      </c>
      <c r="U45">
        <f>augustus2025!T45</f>
        <v>10637</v>
      </c>
      <c r="V45">
        <f>Tabel242567891011121314151716181921202223261415181920[[#This Row],[Stand Cappucino einde maand]]-Tabel242567891011121314151716181921202223261415181920[[#This Row],[Stand Cappucino vorige maand]]</f>
        <v>366</v>
      </c>
      <c r="W45" s="53">
        <v>1695</v>
      </c>
      <c r="X45">
        <f>augustus2025!W45</f>
        <v>1658</v>
      </c>
      <c r="Y45">
        <f>Tabel242567891011121314151716181921202223261415181920[[#This Row],[Stand Cappucino Plantaardig einde maand]]-Tabel242567891011121314151716181921202223261415181920[[#This Row],[Stand Cappucino Plantaardig vorige maand]]</f>
        <v>37</v>
      </c>
      <c r="Z45" s="53">
        <v>1364</v>
      </c>
      <c r="AA45">
        <f>augustus2025!Z45</f>
        <v>1325</v>
      </c>
      <c r="AB45">
        <f>Tabel242567891011121314151716181921202223261415181920[[#This Row],[Stand Latte Macchiato Plantaardig einde maand]]-Tabel242567891011121314151716181921202223261415181920[[#This Row],[Stand Latte Macchiato Plantaardig vorige maand]]</f>
        <v>39</v>
      </c>
      <c r="AC45" s="71">
        <f>Tabel242567891011121314151716181921202223261415181920[[#This Row],[Verbruik Stand Latte Macchiato Plantaardig deze maand]]+Tabel242567891011121314151716181921202223261415181920[[#This Row],[Verbruik  Cappucino Plantaardig deze maand]]+Tabel242567891011121314151716181921202223261415181920[[#This Row],[Verbruik Cappucino deze maand]]+Tabel242567891011121314151716181921202223261415181920[[#This Row],[Verbruik Hot Water deze maand]]+Tabel242567891011121314151716181921202223261415181920[[#This Row],[Verbruik Coffee Latte deze maand]]+Tabel242567891011121314151716181921202223261415181920[[#This Row],[Verbruik Latte Macchiato deze maand]]+Tabel242567891011121314151716181921202223261415181920[[#This Row],[Verbruik Espresso deze maand]]+Tabel242567891011121314151716181921202223261415181920[[#This Row],[Verbruik Coffee deze maand]]</f>
        <v>3477</v>
      </c>
      <c r="AD45" s="69"/>
      <c r="AE45" s="41"/>
      <c r="AF45" s="5"/>
      <c r="AG45" s="5"/>
      <c r="AH45" s="75"/>
      <c r="AI45" s="41"/>
      <c r="AJ45" s="5"/>
      <c r="AK45" s="5"/>
      <c r="AL45" s="75"/>
      <c r="AM45" s="41"/>
      <c r="AN45" s="5"/>
      <c r="AO45" s="5"/>
      <c r="AP45" s="75"/>
      <c r="AQ45" s="41"/>
      <c r="AR45" s="5"/>
      <c r="AS45" s="5"/>
      <c r="AT45" s="75"/>
      <c r="AU45" s="41"/>
      <c r="AV45" s="5"/>
      <c r="AW45" s="5"/>
      <c r="AX45" s="79"/>
      <c r="AY45" s="95">
        <f>Tabel242567891011121314151716181921202223261415181920[[#This Row],[Subtotaal waterbar in consumpties]]+Tabel242567891011121314151716181921202223261415181920[[#This Row],[Subtotaal koffieautomaten]]</f>
        <v>3477</v>
      </c>
    </row>
    <row r="46" spans="1:130" ht="14.45" customHeight="1" x14ac:dyDescent="0.25">
      <c r="A46" s="65" t="s">
        <v>50</v>
      </c>
      <c r="B46" t="s">
        <v>93</v>
      </c>
      <c r="C46" t="s">
        <v>36</v>
      </c>
      <c r="E46" s="46"/>
      <c r="F46" s="46"/>
      <c r="G46" s="47"/>
      <c r="H46" s="54"/>
      <c r="I46" s="46"/>
      <c r="J46" s="47"/>
      <c r="K46" s="54"/>
      <c r="L46" s="46"/>
      <c r="M46" s="47"/>
      <c r="N46" s="54"/>
      <c r="O46" s="46"/>
      <c r="P46" s="47"/>
      <c r="Q46" s="54"/>
      <c r="R46" s="46"/>
      <c r="S46" s="47"/>
      <c r="T46" s="54"/>
      <c r="U46" s="46"/>
      <c r="V46" s="47"/>
      <c r="W46" s="54"/>
      <c r="X46" s="46"/>
      <c r="Y46" s="47"/>
      <c r="Z46" s="54"/>
      <c r="AA46" s="46"/>
      <c r="AB46" s="47"/>
      <c r="AC46" s="72"/>
      <c r="AD46" s="53">
        <v>121.5</v>
      </c>
      <c r="AE46">
        <f>augustus2025!AD46</f>
        <v>104</v>
      </c>
      <c r="AF46">
        <f>Tabel242567891011121314151716181921202223261415181920[[#This Row],[Stand Kamertemp liter einde maand]]-Tabel242567891011121314151716181921202223261415181920[[#This Row],[Stand Kamertemp liter vorige maand]]</f>
        <v>17.5</v>
      </c>
      <c r="AG46" s="2">
        <f>Tabel242567891011121314151716181921202223261415181920[[#This Row],[Verbruik Kamertemp liter deze maand]]/0.15</f>
        <v>116.66666666666667</v>
      </c>
      <c r="AH46" s="53">
        <v>986</v>
      </c>
      <c r="AI46">
        <f>augustus2025!AH46</f>
        <v>821.8</v>
      </c>
      <c r="AJ46">
        <f>Tabel242567891011121314151716181921202223261415181920[[#This Row],[Stand Gekoeld liter einde maand]]-Tabel242567891011121314151716181921202223261415181920[[#This Row],[Stand Gekoeld liter vorige maand]]</f>
        <v>164.20000000000005</v>
      </c>
      <c r="AK46" s="2">
        <f>Tabel242567891011121314151716181921202223261415181920[[#This Row],[Verbruik Gekoeld liter deze maand]]/0.15</f>
        <v>1094.666666666667</v>
      </c>
      <c r="AL46" s="53">
        <v>462</v>
      </c>
      <c r="AM46">
        <f>augustus2025!AL46</f>
        <v>449</v>
      </c>
      <c r="AN46">
        <f>Tabel242567891011121314151716181921202223261415181920[[#This Row],[Stand Bruisend liter einde maand]]-Tabel242567891011121314151716181921202223261415181920[[#This Row],[Stand Bruisend liter vorige maand]]</f>
        <v>13</v>
      </c>
      <c r="AO46" s="2">
        <f>Tabel242567891011121314151716181921202223261415181920[[#This Row],[Verbruik Bruisend liter deze maand]]/0.15</f>
        <v>86.666666666666671</v>
      </c>
      <c r="AP46" s="53">
        <v>175.3</v>
      </c>
      <c r="AQ46">
        <f>augustus2025!AP46</f>
        <v>166.4</v>
      </c>
      <c r="AR46">
        <f>Tabel242567891011121314151716181921202223261415181920[[#This Row],[Stand licht bruisend liter einde maand]]-Tabel242567891011121314151716181921202223261415181920[[#This Row],[Stand licht bruisend liter vorige maand]]</f>
        <v>8.9000000000000057</v>
      </c>
      <c r="AS46" s="2">
        <f>Tabel242567891011121314151716181921202223261415181920[[#This Row],[Verbruik licht bruisend liter deze maand]]/0.15</f>
        <v>59.333333333333371</v>
      </c>
      <c r="AT46" s="53">
        <v>1688.5</v>
      </c>
      <c r="AU46">
        <f>augustus2025!AT46</f>
        <v>1554.1</v>
      </c>
      <c r="AV46">
        <f>Tabel242567891011121314151716181921202223261415181920[[#This Row],[Stand heet water liter einde maand]]-Tabel242567891011121314151716181921202223261415181920[[#This Row],[Stand heet water liter vorige maand]]</f>
        <v>134.40000000000009</v>
      </c>
      <c r="AW46" s="2">
        <f>Tabel242567891011121314151716181921202223261415181920[[#This Row],[Verbruik heet Water liter deze maand ]]/0.15</f>
        <v>896.00000000000068</v>
      </c>
      <c r="AX46" s="77">
        <f>Tabel242567891011121314151716181921202223261415181920[[#This Row],[Aantal consumpties heet water deze maand]]+Tabel242567891011121314151716181921202223261415181920[[#This Row],[Aantal consumpties licht bruisend water deze maand]]+Tabel242567891011121314151716181921202223261415181920[[#This Row],[aantal consumpties Bruisend water deze maand]]+Tabel242567891011121314151716181921202223261415181920[[#This Row],[Aantal consumpties gekoeld water deze maand]]+Tabel242567891011121314151716181921202223261415181920[[#This Row],[Aantal consumpties Kamertemp deze maand]]</f>
        <v>2253.3333333333344</v>
      </c>
      <c r="AY46" s="95">
        <f>Tabel242567891011121314151716181921202223261415181920[[#This Row],[Subtotaal waterbar in consumpties]]+Tabel242567891011121314151716181921202223261415181920[[#This Row],[Subtotaal koffieautomaten]]</f>
        <v>2253.3333333333344</v>
      </c>
    </row>
    <row r="47" spans="1:130" ht="14.45" customHeight="1" x14ac:dyDescent="0.25">
      <c r="A47" s="67">
        <v>10</v>
      </c>
      <c r="B47" t="s">
        <v>94</v>
      </c>
      <c r="C47" t="s">
        <v>31</v>
      </c>
      <c r="E47">
        <v>11147</v>
      </c>
      <c r="F47">
        <f>augustus2025!E47</f>
        <v>10698</v>
      </c>
      <c r="G47">
        <f>Tabel242567891011121314151716181921202223261415181920[[#This Row],[Stand Coffee einde maand]]-Tabel242567891011121314151716181921202223261415181920[[#This Row],[Coffee vorige maand]]</f>
        <v>449</v>
      </c>
      <c r="H47" s="53">
        <v>8875</v>
      </c>
      <c r="I47">
        <f>augustus2025!H47</f>
        <v>8507</v>
      </c>
      <c r="J47">
        <f>Tabel242567891011121314151716181921202223261415181920[[#This Row],[Stand Espresso Einde maand]]-Tabel242567891011121314151716181921202223261415181920[[#This Row],[Espresso vorige maand]]</f>
        <v>368</v>
      </c>
      <c r="K47" s="53">
        <v>1488</v>
      </c>
      <c r="L47">
        <f>augustus2025!K47</f>
        <v>1393</v>
      </c>
      <c r="M47">
        <f>Tabel242567891011121314151716181921202223261415181920[[#This Row],[Stand Latte Macchiato einde maand]]-Tabel242567891011121314151716181921202223261415181920[[#This Row],[Latte Macchiato vorige maand]]</f>
        <v>95</v>
      </c>
      <c r="N47" s="53">
        <v>947</v>
      </c>
      <c r="O47">
        <f>augustus2025!N47</f>
        <v>930</v>
      </c>
      <c r="P47">
        <f>Tabel242567891011121314151716181921202223261415181920[[#This Row],[Stand Coffee Latte einde maand]]-Tabel242567891011121314151716181921202223261415181920[[#This Row],[Coffee Latte vorige maand]]</f>
        <v>17</v>
      </c>
      <c r="Q47" s="53">
        <v>22377</v>
      </c>
      <c r="R47">
        <f>augustus2025!Q47</f>
        <v>21567</v>
      </c>
      <c r="S47">
        <f>Tabel242567891011121314151716181921202223261415181920[[#This Row],[Stand Hot Water einde maand]]-Tabel242567891011121314151716181921202223261415181920[[#This Row],[Hot Water vorige maand]]</f>
        <v>810</v>
      </c>
      <c r="T47" s="53">
        <v>8491</v>
      </c>
      <c r="U47">
        <f>augustus2025!T47</f>
        <v>8225</v>
      </c>
      <c r="V47">
        <f>Tabel242567891011121314151716181921202223261415181920[[#This Row],[Stand Cappucino einde maand]]-Tabel242567891011121314151716181921202223261415181920[[#This Row],[Stand Cappucino vorige maand]]</f>
        <v>266</v>
      </c>
      <c r="W47" s="53">
        <v>1141</v>
      </c>
      <c r="X47">
        <f>augustus2025!W47</f>
        <v>1105</v>
      </c>
      <c r="Y47">
        <f>Tabel242567891011121314151716181921202223261415181920[[#This Row],[Stand Cappucino Plantaardig einde maand]]-Tabel242567891011121314151716181921202223261415181920[[#This Row],[Stand Cappucino Plantaardig vorige maand]]</f>
        <v>36</v>
      </c>
      <c r="Z47" s="53">
        <v>242</v>
      </c>
      <c r="AA47">
        <f>augustus2025!Z47</f>
        <v>220</v>
      </c>
      <c r="AB47">
        <f>Tabel242567891011121314151716181921202223261415181920[[#This Row],[Stand Latte Macchiato Plantaardig einde maand]]-Tabel242567891011121314151716181921202223261415181920[[#This Row],[Stand Latte Macchiato Plantaardig vorige maand]]</f>
        <v>22</v>
      </c>
      <c r="AC47" s="71">
        <f>Tabel242567891011121314151716181921202223261415181920[[#This Row],[Verbruik Stand Latte Macchiato Plantaardig deze maand]]+Tabel242567891011121314151716181921202223261415181920[[#This Row],[Verbruik  Cappucino Plantaardig deze maand]]+Tabel242567891011121314151716181921202223261415181920[[#This Row],[Verbruik Cappucino deze maand]]+Tabel242567891011121314151716181921202223261415181920[[#This Row],[Verbruik Hot Water deze maand]]+Tabel242567891011121314151716181921202223261415181920[[#This Row],[Verbruik Coffee Latte deze maand]]+Tabel242567891011121314151716181921202223261415181920[[#This Row],[Verbruik Latte Macchiato deze maand]]+Tabel242567891011121314151716181921202223261415181920[[#This Row],[Verbruik Espresso deze maand]]+Tabel242567891011121314151716181921202223261415181920[[#This Row],[Verbruik Coffee deze maand]]</f>
        <v>2063</v>
      </c>
      <c r="AD47" s="69"/>
      <c r="AE47" s="41"/>
      <c r="AF47" s="5"/>
      <c r="AG47" s="5"/>
      <c r="AH47" s="75"/>
      <c r="AI47" s="41"/>
      <c r="AJ47" s="5"/>
      <c r="AK47" s="5"/>
      <c r="AL47" s="75"/>
      <c r="AM47" s="41"/>
      <c r="AN47" s="5"/>
      <c r="AO47" s="5"/>
      <c r="AP47" s="75"/>
      <c r="AQ47" s="41"/>
      <c r="AR47" s="5"/>
      <c r="AS47" s="5"/>
      <c r="AT47" s="75"/>
      <c r="AU47" s="41"/>
      <c r="AV47" s="5"/>
      <c r="AW47" s="5"/>
      <c r="AX47" s="79"/>
      <c r="AY47" s="95">
        <f>Tabel242567891011121314151716181921202223261415181920[[#This Row],[Subtotaal waterbar in consumpties]]+Tabel242567891011121314151716181921202223261415181920[[#This Row],[Subtotaal koffieautomaten]]</f>
        <v>2063</v>
      </c>
    </row>
    <row r="48" spans="1:130" ht="14.45" customHeight="1" x14ac:dyDescent="0.25">
      <c r="A48" s="65" t="s">
        <v>54</v>
      </c>
      <c r="B48" t="s">
        <v>95</v>
      </c>
      <c r="C48" t="s">
        <v>47</v>
      </c>
      <c r="E48">
        <v>13371</v>
      </c>
      <c r="F48">
        <f>augustus2025!E48</f>
        <v>12907</v>
      </c>
      <c r="G48">
        <f>Tabel242567891011121314151716181921202223261415181920[[#This Row],[Stand Coffee einde maand]]-Tabel242567891011121314151716181921202223261415181920[[#This Row],[Coffee vorige maand]]</f>
        <v>464</v>
      </c>
      <c r="H48" s="53">
        <v>4268</v>
      </c>
      <c r="I48">
        <f>augustus2025!H48</f>
        <v>4084</v>
      </c>
      <c r="J48">
        <f>Tabel242567891011121314151716181921202223261415181920[[#This Row],[Stand Espresso Einde maand]]-Tabel242567891011121314151716181921202223261415181920[[#This Row],[Espresso vorige maand]]</f>
        <v>184</v>
      </c>
      <c r="K48" s="53">
        <v>1303</v>
      </c>
      <c r="L48">
        <f>augustus2025!K48</f>
        <v>1252</v>
      </c>
      <c r="M48">
        <f>Tabel242567891011121314151716181921202223261415181920[[#This Row],[Stand Latte Macchiato einde maand]]-Tabel242567891011121314151716181921202223261415181920[[#This Row],[Latte Macchiato vorige maand]]</f>
        <v>51</v>
      </c>
      <c r="N48" s="53">
        <v>648</v>
      </c>
      <c r="O48">
        <f>augustus2025!N48</f>
        <v>638</v>
      </c>
      <c r="P48">
        <f>Tabel242567891011121314151716181921202223261415181920[[#This Row],[Stand Coffee Latte einde maand]]-Tabel242567891011121314151716181921202223261415181920[[#This Row],[Coffee Latte vorige maand]]</f>
        <v>10</v>
      </c>
      <c r="Q48" s="53">
        <v>0</v>
      </c>
      <c r="R48">
        <f>augustus2025!Q48</f>
        <v>0</v>
      </c>
      <c r="S48">
        <v>0</v>
      </c>
      <c r="T48" s="53">
        <v>6210</v>
      </c>
      <c r="U48">
        <f>augustus2025!T48</f>
        <v>6020</v>
      </c>
      <c r="V48">
        <f>Tabel242567891011121314151716181921202223261415181920[[#This Row],[Stand Cappucino einde maand]]-Tabel242567891011121314151716181921202223261415181920[[#This Row],[Stand Cappucino vorige maand]]</f>
        <v>190</v>
      </c>
      <c r="W48" s="53">
        <v>1426</v>
      </c>
      <c r="X48">
        <f>augustus2025!W48</f>
        <v>1394</v>
      </c>
      <c r="Y48">
        <f>Tabel242567891011121314151716181921202223261415181920[[#This Row],[Stand Cappucino Plantaardig einde maand]]-Tabel242567891011121314151716181921202223261415181920[[#This Row],[Stand Cappucino Plantaardig vorige maand]]</f>
        <v>32</v>
      </c>
      <c r="Z48" s="53">
        <v>884</v>
      </c>
      <c r="AA48">
        <f>augustus2025!Z48</f>
        <v>854</v>
      </c>
      <c r="AB48">
        <f>Tabel242567891011121314151716181921202223261415181920[[#This Row],[Stand Latte Macchiato Plantaardig einde maand]]-Tabel242567891011121314151716181921202223261415181920[[#This Row],[Stand Latte Macchiato Plantaardig vorige maand]]</f>
        <v>30</v>
      </c>
      <c r="AC48" s="71">
        <f>Tabel242567891011121314151716181921202223261415181920[[#This Row],[Verbruik Stand Latte Macchiato Plantaardig deze maand]]+Tabel242567891011121314151716181921202223261415181920[[#This Row],[Verbruik  Cappucino Plantaardig deze maand]]+Tabel242567891011121314151716181921202223261415181920[[#This Row],[Verbruik Cappucino deze maand]]+Tabel242567891011121314151716181921202223261415181920[[#This Row],[Verbruik Hot Water deze maand]]+Tabel242567891011121314151716181921202223261415181920[[#This Row],[Verbruik Coffee Latte deze maand]]+Tabel242567891011121314151716181921202223261415181920[[#This Row],[Verbruik Latte Macchiato deze maand]]+Tabel242567891011121314151716181921202223261415181920[[#This Row],[Verbruik Espresso deze maand]]+Tabel242567891011121314151716181921202223261415181920[[#This Row],[Verbruik Coffee deze maand]]</f>
        <v>961</v>
      </c>
      <c r="AD48" s="53">
        <v>249.8</v>
      </c>
      <c r="AE48">
        <f>augustus2025!AD48</f>
        <v>226</v>
      </c>
      <c r="AF48">
        <f>Tabel242567891011121314151716181921202223261415181920[[#This Row],[Stand Kamertemp liter einde maand]]-Tabel242567891011121314151716181921202223261415181920[[#This Row],[Stand Kamertemp liter vorige maand]]</f>
        <v>23.800000000000011</v>
      </c>
      <c r="AG48" s="2">
        <f>Tabel242567891011121314151716181921202223261415181920[[#This Row],[Verbruik Kamertemp liter deze maand]]/0.15</f>
        <v>158.66666666666674</v>
      </c>
      <c r="AH48" s="53">
        <v>1751.7</v>
      </c>
      <c r="AI48">
        <f>augustus2025!AH48</f>
        <v>1653</v>
      </c>
      <c r="AJ48">
        <f>Tabel242567891011121314151716181921202223261415181920[[#This Row],[Stand Gekoeld liter einde maand]]-Tabel242567891011121314151716181921202223261415181920[[#This Row],[Stand Gekoeld liter vorige maand]]</f>
        <v>98.700000000000045</v>
      </c>
      <c r="AK48" s="2">
        <f>Tabel242567891011121314151716181921202223261415181920[[#This Row],[Verbruik Gekoeld liter deze maand]]/0.15</f>
        <v>658.00000000000034</v>
      </c>
      <c r="AL48" s="53">
        <v>976.2</v>
      </c>
      <c r="AM48">
        <f>augustus2025!AL48</f>
        <v>908.1</v>
      </c>
      <c r="AN48">
        <f>Tabel242567891011121314151716181921202223261415181920[[#This Row],[Stand Bruisend liter einde maand]]-Tabel242567891011121314151716181921202223261415181920[[#This Row],[Stand Bruisend liter vorige maand]]</f>
        <v>68.100000000000023</v>
      </c>
      <c r="AO48" s="2">
        <f>Tabel242567891011121314151716181921202223261415181920[[#This Row],[Verbruik Bruisend liter deze maand]]/0.15</f>
        <v>454.00000000000017</v>
      </c>
      <c r="AP48" s="53">
        <v>371.2</v>
      </c>
      <c r="AQ48">
        <f>augustus2025!AP48</f>
        <v>340.8</v>
      </c>
      <c r="AR48">
        <f>Tabel242567891011121314151716181921202223261415181920[[#This Row],[Stand licht bruisend liter einde maand]]-Tabel242567891011121314151716181921202223261415181920[[#This Row],[Stand licht bruisend liter vorige maand]]</f>
        <v>30.399999999999977</v>
      </c>
      <c r="AS48" s="2">
        <f>Tabel242567891011121314151716181921202223261415181920[[#This Row],[Verbruik licht bruisend liter deze maand]]/0.15</f>
        <v>202.66666666666652</v>
      </c>
      <c r="AT48" s="53">
        <v>3386.5</v>
      </c>
      <c r="AU48">
        <f>augustus2025!AT48</f>
        <v>3148.7</v>
      </c>
      <c r="AV48">
        <f>Tabel242567891011121314151716181921202223261415181920[[#This Row],[Stand heet water liter einde maand]]-Tabel242567891011121314151716181921202223261415181920[[#This Row],[Stand heet water liter vorige maand]]</f>
        <v>237.80000000000018</v>
      </c>
      <c r="AW48" s="2">
        <f>Tabel242567891011121314151716181921202223261415181920[[#This Row],[Verbruik heet Water liter deze maand ]]/0.15</f>
        <v>1585.3333333333346</v>
      </c>
      <c r="AX48" s="77">
        <f>Tabel242567891011121314151716181921202223261415181920[[#This Row],[Aantal consumpties heet water deze maand]]+Tabel242567891011121314151716181921202223261415181920[[#This Row],[Aantal consumpties licht bruisend water deze maand]]+Tabel242567891011121314151716181921202223261415181920[[#This Row],[aantal consumpties Bruisend water deze maand]]+Tabel242567891011121314151716181921202223261415181920[[#This Row],[Aantal consumpties gekoeld water deze maand]]+Tabel242567891011121314151716181921202223261415181920[[#This Row],[Aantal consumpties Kamertemp deze maand]]</f>
        <v>3058.6666666666688</v>
      </c>
      <c r="AY48" s="95">
        <f>Tabel242567891011121314151716181921202223261415181920[[#This Row],[Subtotaal waterbar in consumpties]]+Tabel242567891011121314151716181921202223261415181920[[#This Row],[Subtotaal koffieautomaten]]</f>
        <v>4019.6666666666688</v>
      </c>
    </row>
    <row r="49" spans="1:130" ht="14.45" customHeight="1" x14ac:dyDescent="0.25">
      <c r="A49" s="65" t="s">
        <v>56</v>
      </c>
      <c r="B49" t="s">
        <v>96</v>
      </c>
      <c r="C49" t="s">
        <v>36</v>
      </c>
      <c r="E49" s="46"/>
      <c r="F49" s="46"/>
      <c r="G49" s="47"/>
      <c r="H49" s="54"/>
      <c r="I49" s="46"/>
      <c r="J49" s="47"/>
      <c r="K49" s="54"/>
      <c r="L49" s="46"/>
      <c r="M49" s="47"/>
      <c r="N49" s="54"/>
      <c r="O49" s="46"/>
      <c r="P49" s="47"/>
      <c r="Q49" s="54"/>
      <c r="R49" s="46"/>
      <c r="S49" s="47"/>
      <c r="T49" s="54"/>
      <c r="U49" s="46"/>
      <c r="V49" s="47"/>
      <c r="W49" s="54"/>
      <c r="X49" s="46"/>
      <c r="Y49" s="47"/>
      <c r="Z49" s="54"/>
      <c r="AA49" s="46"/>
      <c r="AB49" s="47"/>
      <c r="AC49" s="72"/>
      <c r="AD49" s="53">
        <v>224.5</v>
      </c>
      <c r="AE49">
        <f>augustus2025!AD49</f>
        <v>203</v>
      </c>
      <c r="AF49">
        <f>Tabel242567891011121314151716181921202223261415181920[[#This Row],[Stand Kamertemp liter einde maand]]-Tabel242567891011121314151716181921202223261415181920[[#This Row],[Stand Kamertemp liter vorige maand]]</f>
        <v>21.5</v>
      </c>
      <c r="AG49" s="2">
        <f>Tabel242567891011121314151716181921202223261415181920[[#This Row],[Verbruik Kamertemp liter deze maand]]/0.15</f>
        <v>143.33333333333334</v>
      </c>
      <c r="AH49" s="53">
        <v>1434.7</v>
      </c>
      <c r="AI49">
        <f>augustus2025!AH49</f>
        <v>1280.4000000000001</v>
      </c>
      <c r="AJ49">
        <f>Tabel242567891011121314151716181921202223261415181920[[#This Row],[Stand Gekoeld liter einde maand]]-Tabel242567891011121314151716181921202223261415181920[[#This Row],[Stand Gekoeld liter vorige maand]]</f>
        <v>154.29999999999995</v>
      </c>
      <c r="AK49" s="2">
        <f>Tabel242567891011121314151716181921202223261415181920[[#This Row],[Verbruik Gekoeld liter deze maand]]/0.15</f>
        <v>1028.6666666666665</v>
      </c>
      <c r="AL49" s="53">
        <v>617.29999999999995</v>
      </c>
      <c r="AM49">
        <f>augustus2025!AL49</f>
        <v>545.29999999999995</v>
      </c>
      <c r="AN49">
        <f>Tabel242567891011121314151716181921202223261415181920[[#This Row],[Stand Bruisend liter einde maand]]-Tabel242567891011121314151716181921202223261415181920[[#This Row],[Stand Bruisend liter vorige maand]]</f>
        <v>72</v>
      </c>
      <c r="AO49" s="2">
        <f>Tabel242567891011121314151716181921202223261415181920[[#This Row],[Verbruik Bruisend liter deze maand]]/0.15</f>
        <v>480</v>
      </c>
      <c r="AP49" s="53">
        <v>312.2</v>
      </c>
      <c r="AQ49">
        <f>augustus2025!AP49</f>
        <v>288.2</v>
      </c>
      <c r="AR49">
        <f>Tabel242567891011121314151716181921202223261415181920[[#This Row],[Stand licht bruisend liter einde maand]]-Tabel242567891011121314151716181921202223261415181920[[#This Row],[Stand licht bruisend liter vorige maand]]</f>
        <v>24</v>
      </c>
      <c r="AS49" s="2">
        <f>Tabel242567891011121314151716181921202223261415181920[[#This Row],[Verbruik licht bruisend liter deze maand]]/0.15</f>
        <v>160</v>
      </c>
      <c r="AT49" s="53">
        <v>3104.9</v>
      </c>
      <c r="AU49">
        <f>augustus2025!AT49</f>
        <v>2837.6</v>
      </c>
      <c r="AV49">
        <f>Tabel242567891011121314151716181921202223261415181920[[#This Row],[Stand heet water liter einde maand]]-Tabel242567891011121314151716181921202223261415181920[[#This Row],[Stand heet water liter vorige maand]]</f>
        <v>267.30000000000018</v>
      </c>
      <c r="AW49" s="2">
        <f>Tabel242567891011121314151716181921202223261415181920[[#This Row],[Verbruik heet Water liter deze maand ]]/0.15</f>
        <v>1782.0000000000014</v>
      </c>
      <c r="AX49" s="77">
        <f>Tabel242567891011121314151716181921202223261415181920[[#This Row],[Aantal consumpties heet water deze maand]]+Tabel242567891011121314151716181921202223261415181920[[#This Row],[Aantal consumpties licht bruisend water deze maand]]+Tabel242567891011121314151716181921202223261415181920[[#This Row],[aantal consumpties Bruisend water deze maand]]+Tabel242567891011121314151716181921202223261415181920[[#This Row],[Aantal consumpties gekoeld water deze maand]]+Tabel242567891011121314151716181921202223261415181920[[#This Row],[Aantal consumpties Kamertemp deze maand]]</f>
        <v>3594.0000000000014</v>
      </c>
      <c r="AY49" s="95">
        <f>Tabel242567891011121314151716181921202223261415181920[[#This Row],[Subtotaal waterbar in consumpties]]+Tabel242567891011121314151716181921202223261415181920[[#This Row],[Subtotaal koffieautomaten]]</f>
        <v>3594.0000000000014</v>
      </c>
    </row>
    <row r="50" spans="1:130" ht="14.45" customHeight="1" x14ac:dyDescent="0.25">
      <c r="A50" s="65" t="s">
        <v>58</v>
      </c>
      <c r="B50" t="s">
        <v>97</v>
      </c>
      <c r="C50" t="s">
        <v>31</v>
      </c>
      <c r="E50">
        <v>16758</v>
      </c>
      <c r="F50">
        <f>augustus2025!E50</f>
        <v>16149</v>
      </c>
      <c r="G50">
        <f>Tabel242567891011121314151716181921202223261415181920[[#This Row],[Stand Coffee einde maand]]-Tabel242567891011121314151716181921202223261415181920[[#This Row],[Coffee vorige maand]]</f>
        <v>609</v>
      </c>
      <c r="H50" s="53">
        <v>4667</v>
      </c>
      <c r="I50">
        <f>augustus2025!H50</f>
        <v>4444</v>
      </c>
      <c r="J50">
        <f>Tabel242567891011121314151716181921202223261415181920[[#This Row],[Stand Espresso Einde maand]]-Tabel242567891011121314151716181921202223261415181920[[#This Row],[Espresso vorige maand]]</f>
        <v>223</v>
      </c>
      <c r="K50" s="53">
        <v>1765</v>
      </c>
      <c r="L50">
        <f>augustus2025!K50</f>
        <v>1680</v>
      </c>
      <c r="M50">
        <f>Tabel242567891011121314151716181921202223261415181920[[#This Row],[Stand Latte Macchiato einde maand]]-Tabel242567891011121314151716181921202223261415181920[[#This Row],[Latte Macchiato vorige maand]]</f>
        <v>85</v>
      </c>
      <c r="N50" s="53">
        <v>1495</v>
      </c>
      <c r="O50">
        <f>augustus2025!N50</f>
        <v>1479</v>
      </c>
      <c r="P50">
        <f>Tabel242567891011121314151716181921202223261415181920[[#This Row],[Stand Coffee Latte einde maand]]-Tabel242567891011121314151716181921202223261415181920[[#This Row],[Coffee Latte vorige maand]]</f>
        <v>16</v>
      </c>
      <c r="Q50" s="53">
        <v>15274</v>
      </c>
      <c r="R50">
        <f>augustus2025!Q50</f>
        <v>14900</v>
      </c>
      <c r="S50">
        <f>Tabel242567891011121314151716181921202223261415181920[[#This Row],[Stand Hot Water einde maand]]-Tabel242567891011121314151716181921202223261415181920[[#This Row],[Hot Water vorige maand]]</f>
        <v>374</v>
      </c>
      <c r="T50" s="53">
        <v>9377</v>
      </c>
      <c r="U50">
        <f>augustus2025!T50</f>
        <v>9218</v>
      </c>
      <c r="V50">
        <f>Tabel242567891011121314151716181921202223261415181920[[#This Row],[Stand Cappucino einde maand]]-Tabel242567891011121314151716181921202223261415181920[[#This Row],[Stand Cappucino vorige maand]]</f>
        <v>159</v>
      </c>
      <c r="W50" s="53">
        <v>1796</v>
      </c>
      <c r="X50">
        <f>augustus2025!W50</f>
        <v>1751</v>
      </c>
      <c r="Y50">
        <f>Tabel242567891011121314151716181921202223261415181920[[#This Row],[Stand Cappucino Plantaardig einde maand]]-Tabel242567891011121314151716181921202223261415181920[[#This Row],[Stand Cappucino Plantaardig vorige maand]]</f>
        <v>45</v>
      </c>
      <c r="Z50" s="53">
        <v>698</v>
      </c>
      <c r="AA50">
        <f>augustus2025!Z50</f>
        <v>625</v>
      </c>
      <c r="AB50">
        <f>Tabel242567891011121314151716181921202223261415181920[[#This Row],[Stand Latte Macchiato Plantaardig einde maand]]-Tabel242567891011121314151716181921202223261415181920[[#This Row],[Stand Latte Macchiato Plantaardig vorige maand]]</f>
        <v>73</v>
      </c>
      <c r="AC50" s="135">
        <f>Tabel242567891011121314151716181921202223261415181920[[#This Row],[Verbruik Stand Latte Macchiato Plantaardig deze maand]]+Tabel242567891011121314151716181921202223261415181920[[#This Row],[Verbruik  Cappucino Plantaardig deze maand]]+Tabel242567891011121314151716181921202223261415181920[[#This Row],[Verbruik Cappucino deze maand]]+Tabel242567891011121314151716181921202223261415181920[[#This Row],[Verbruik Hot Water deze maand]]+Tabel242567891011121314151716181921202223261415181920[[#This Row],[Verbruik Coffee Latte deze maand]]+Tabel242567891011121314151716181921202223261415181920[[#This Row],[Verbruik Latte Macchiato deze maand]]+Tabel242567891011121314151716181921202223261415181920[[#This Row],[Verbruik Espresso deze maand]]+Tabel242567891011121314151716181921202223261415181920[[#This Row],[Verbruik Coffee deze maand]]</f>
        <v>1584</v>
      </c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78"/>
      <c r="AY50" s="136">
        <f>Tabel242567891011121314151716181921202223261415181920[[#This Row],[Subtotaal waterbar in consumpties]]+Tabel242567891011121314151716181921202223261415181920[[#This Row],[Subtotaal koffieautomaten]]</f>
        <v>1584</v>
      </c>
    </row>
    <row r="51" spans="1:130" ht="14.45" customHeight="1" x14ac:dyDescent="0.25">
      <c r="A51" s="65" t="s">
        <v>60</v>
      </c>
      <c r="B51" t="s">
        <v>98</v>
      </c>
      <c r="C51" t="s">
        <v>47</v>
      </c>
      <c r="E51">
        <v>10170</v>
      </c>
      <c r="F51">
        <f>augustus2025!E51</f>
        <v>9853</v>
      </c>
      <c r="G51">
        <f>Tabel242567891011121314151716181921202223261415181920[[#This Row],[Stand Coffee einde maand]]-Tabel242567891011121314151716181921202223261415181920[[#This Row],[Coffee vorige maand]]</f>
        <v>317</v>
      </c>
      <c r="H51" s="53">
        <v>3326</v>
      </c>
      <c r="I51">
        <f>augustus2025!H51</f>
        <v>3202</v>
      </c>
      <c r="J51">
        <f>Tabel242567891011121314151716181921202223261415181920[[#This Row],[Stand Espresso Einde maand]]-Tabel242567891011121314151716181921202223261415181920[[#This Row],[Espresso vorige maand]]</f>
        <v>124</v>
      </c>
      <c r="K51" s="53">
        <v>927</v>
      </c>
      <c r="L51">
        <f>augustus2025!K51</f>
        <v>907</v>
      </c>
      <c r="M51">
        <f>Tabel242567891011121314151716181921202223261415181920[[#This Row],[Stand Latte Macchiato einde maand]]-Tabel242567891011121314151716181921202223261415181920[[#This Row],[Latte Macchiato vorige maand]]</f>
        <v>20</v>
      </c>
      <c r="N51" s="53">
        <v>1333</v>
      </c>
      <c r="O51">
        <f>augustus2025!N51</f>
        <v>1281</v>
      </c>
      <c r="P51">
        <f>Tabel242567891011121314151716181921202223261415181920[[#This Row],[Stand Coffee Latte einde maand]]-Tabel242567891011121314151716181921202223261415181920[[#This Row],[Coffee Latte vorige maand]]</f>
        <v>52</v>
      </c>
      <c r="Q51" s="53">
        <v>1</v>
      </c>
      <c r="R51">
        <f>augustus2025!Q51</f>
        <v>1</v>
      </c>
      <c r="S51">
        <f>Tabel242567891011121314151716181921202223261415181920[[#This Row],[Stand Hot Water einde maand]]-Tabel242567891011121314151716181921202223261415181920[[#This Row],[Hot Water vorige maand]]</f>
        <v>0</v>
      </c>
      <c r="T51" s="53">
        <v>6752</v>
      </c>
      <c r="U51">
        <f>augustus2025!T51</f>
        <v>6523</v>
      </c>
      <c r="V51">
        <f>Tabel242567891011121314151716181921202223261415181920[[#This Row],[Stand Cappucino einde maand]]-Tabel242567891011121314151716181921202223261415181920[[#This Row],[Stand Cappucino vorige maand]]</f>
        <v>229</v>
      </c>
      <c r="W51" s="53">
        <v>927</v>
      </c>
      <c r="X51">
        <f>augustus2025!W51</f>
        <v>887</v>
      </c>
      <c r="Y51">
        <f>Tabel242567891011121314151716181921202223261415181920[[#This Row],[Stand Cappucino Plantaardig einde maand]]-Tabel242567891011121314151716181921202223261415181920[[#This Row],[Stand Cappucino Plantaardig vorige maand]]</f>
        <v>40</v>
      </c>
      <c r="Z51" s="53">
        <v>199</v>
      </c>
      <c r="AA51">
        <f>augustus2025!Z51</f>
        <v>192</v>
      </c>
      <c r="AB51">
        <f>Tabel242567891011121314151716181921202223261415181920[[#This Row],[Stand Latte Macchiato Plantaardig einde maand]]-Tabel242567891011121314151716181921202223261415181920[[#This Row],[Stand Latte Macchiato Plantaardig vorige maand]]</f>
        <v>7</v>
      </c>
      <c r="AC51" s="71">
        <f>Tabel242567891011121314151716181921202223261415181920[[#This Row],[Verbruik Stand Latte Macchiato Plantaardig deze maand]]+Tabel242567891011121314151716181921202223261415181920[[#This Row],[Verbruik  Cappucino Plantaardig deze maand]]+Tabel242567891011121314151716181921202223261415181920[[#This Row],[Verbruik Cappucino deze maand]]+Tabel242567891011121314151716181921202223261415181920[[#This Row],[Verbruik Hot Water deze maand]]+Tabel242567891011121314151716181921202223261415181920[[#This Row],[Verbruik Coffee Latte deze maand]]+Tabel242567891011121314151716181921202223261415181920[[#This Row],[Verbruik Latte Macchiato deze maand]]+Tabel242567891011121314151716181921202223261415181920[[#This Row],[Verbruik Espresso deze maand]]+Tabel242567891011121314151716181921202223261415181920[[#This Row],[Verbruik Coffee deze maand]]</f>
        <v>789</v>
      </c>
      <c r="AD51" s="53">
        <v>75.099999999999994</v>
      </c>
      <c r="AE51">
        <f>augustus2025!AD51</f>
        <v>69.400000000000006</v>
      </c>
      <c r="AF51">
        <f>Tabel242567891011121314151716181921202223261415181920[[#This Row],[Stand Kamertemp liter einde maand]]-Tabel242567891011121314151716181921202223261415181920[[#This Row],[Stand Kamertemp liter vorige maand]]</f>
        <v>5.6999999999999886</v>
      </c>
      <c r="AG51" s="2">
        <f>Tabel242567891011121314151716181921202223261415181920[[#This Row],[Verbruik Kamertemp liter deze maand]]/0.15</f>
        <v>37.999999999999929</v>
      </c>
      <c r="AH51" s="53">
        <v>1122.2</v>
      </c>
      <c r="AI51">
        <f>augustus2025!AH51</f>
        <v>964.2</v>
      </c>
      <c r="AJ51">
        <f>Tabel242567891011121314151716181921202223261415181920[[#This Row],[Stand Gekoeld liter einde maand]]-Tabel242567891011121314151716181921202223261415181920[[#This Row],[Stand Gekoeld liter vorige maand]]</f>
        <v>158</v>
      </c>
      <c r="AK51" s="2">
        <f>Tabel242567891011121314151716181921202223261415181920[[#This Row],[Verbruik Gekoeld liter deze maand]]/0.15</f>
        <v>1053.3333333333335</v>
      </c>
      <c r="AL51" s="53">
        <v>726.7</v>
      </c>
      <c r="AM51">
        <f>augustus2025!AL51</f>
        <v>645.1</v>
      </c>
      <c r="AN51">
        <f>Tabel242567891011121314151716181921202223261415181920[[#This Row],[Stand Bruisend liter einde maand]]-Tabel242567891011121314151716181921202223261415181920[[#This Row],[Stand Bruisend liter vorige maand]]</f>
        <v>81.600000000000023</v>
      </c>
      <c r="AO51" s="2">
        <f>Tabel242567891011121314151716181921202223261415181920[[#This Row],[Verbruik Bruisend liter deze maand]]/0.15</f>
        <v>544.00000000000023</v>
      </c>
      <c r="AP51" s="53">
        <v>112.6</v>
      </c>
      <c r="AQ51">
        <f>augustus2025!AP51</f>
        <v>99.7</v>
      </c>
      <c r="AR51">
        <f>Tabel242567891011121314151716181921202223261415181920[[#This Row],[Stand licht bruisend liter einde maand]]-Tabel242567891011121314151716181921202223261415181920[[#This Row],[Stand licht bruisend liter vorige maand]]</f>
        <v>12.899999999999991</v>
      </c>
      <c r="AS51" s="2">
        <f>Tabel242567891011121314151716181921202223261415181920[[#This Row],[Verbruik licht bruisend liter deze maand]]/0.15</f>
        <v>85.999999999999943</v>
      </c>
      <c r="AT51" s="53">
        <v>1561.4</v>
      </c>
      <c r="AU51">
        <f>augustus2025!AT51</f>
        <v>1386.3</v>
      </c>
      <c r="AV51">
        <f>Tabel242567891011121314151716181921202223261415181920[[#This Row],[Stand heet water liter einde maand]]-Tabel242567891011121314151716181921202223261415181920[[#This Row],[Stand heet water liter vorige maand]]</f>
        <v>175.10000000000014</v>
      </c>
      <c r="AW51" s="2">
        <f>Tabel242567891011121314151716181921202223261415181920[[#This Row],[Verbruik heet Water liter deze maand ]]/0.15</f>
        <v>1167.3333333333344</v>
      </c>
      <c r="AX51" s="77">
        <f>Tabel242567891011121314151716181921202223261415181920[[#This Row],[Aantal consumpties heet water deze maand]]+Tabel242567891011121314151716181921202223261415181920[[#This Row],[Aantal consumpties licht bruisend water deze maand]]+Tabel242567891011121314151716181921202223261415181920[[#This Row],[aantal consumpties Bruisend water deze maand]]+Tabel242567891011121314151716181921202223261415181920[[#This Row],[Aantal consumpties gekoeld water deze maand]]+Tabel242567891011121314151716181921202223261415181920[[#This Row],[Aantal consumpties Kamertemp deze maand]]</f>
        <v>2888.6666666666679</v>
      </c>
      <c r="AY51" s="95">
        <f>Tabel242567891011121314151716181921202223261415181920[[#This Row],[Subtotaal waterbar in consumpties]]+Tabel242567891011121314151716181921202223261415181920[[#This Row],[Subtotaal koffieautomaten]]</f>
        <v>3677.6666666666679</v>
      </c>
    </row>
    <row r="52" spans="1:130" s="81" customFormat="1" ht="14.45" customHeight="1" x14ac:dyDescent="0.25">
      <c r="A52" s="80" t="s">
        <v>99</v>
      </c>
      <c r="D52" s="82"/>
      <c r="H52" s="86"/>
      <c r="K52" s="86"/>
      <c r="N52" s="86"/>
      <c r="Q52" s="86"/>
      <c r="T52" s="86"/>
      <c r="W52" s="86"/>
      <c r="Z52" s="86"/>
      <c r="AC52" s="85"/>
      <c r="AD52" s="86"/>
      <c r="AG52" s="87"/>
      <c r="AH52" s="86"/>
      <c r="AK52" s="87"/>
      <c r="AL52" s="86"/>
      <c r="AO52" s="87"/>
      <c r="AP52" s="86"/>
      <c r="AS52" s="87"/>
      <c r="AT52" s="86"/>
      <c r="AW52" s="87"/>
      <c r="AX52" s="88"/>
      <c r="AY52" s="94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</row>
    <row r="53" spans="1:130" ht="14.45" customHeight="1" x14ac:dyDescent="0.25">
      <c r="A53" s="65" t="s">
        <v>43</v>
      </c>
      <c r="B53" t="s">
        <v>100</v>
      </c>
      <c r="C53" t="s">
        <v>31</v>
      </c>
      <c r="E53">
        <v>14888</v>
      </c>
      <c r="F53">
        <f>augustus2025!E53</f>
        <v>14500</v>
      </c>
      <c r="G53">
        <f>Tabel242567891011121314151716181921202223261415181920[[#This Row],[Stand Coffee einde maand]]-Tabel242567891011121314151716181921202223261415181920[[#This Row],[Coffee vorige maand]]</f>
        <v>388</v>
      </c>
      <c r="H53" s="97">
        <f>824+4469</f>
        <v>5293</v>
      </c>
      <c r="I53">
        <f>augustus2025!H53</f>
        <v>5171</v>
      </c>
      <c r="J53">
        <f>Tabel242567891011121314151716181921202223261415181920[[#This Row],[Stand Espresso Einde maand]]-Tabel242567891011121314151716181921202223261415181920[[#This Row],[Espresso vorige maand]]</f>
        <v>122</v>
      </c>
      <c r="K53" s="53">
        <v>1523</v>
      </c>
      <c r="L53">
        <f>augustus2025!K53</f>
        <v>1486</v>
      </c>
      <c r="M53">
        <f>Tabel242567891011121314151716181921202223261415181920[[#This Row],[Stand Latte Macchiato einde maand]]-Tabel242567891011121314151716181921202223261415181920[[#This Row],[Latte Macchiato vorige maand]]</f>
        <v>37</v>
      </c>
      <c r="N53" s="53">
        <v>675</v>
      </c>
      <c r="O53">
        <f>augustus2025!N53</f>
        <v>657</v>
      </c>
      <c r="P53">
        <f>Tabel242567891011121314151716181921202223261415181920[[#This Row],[Stand Coffee Latte einde maand]]-Tabel242567891011121314151716181921202223261415181920[[#This Row],[Coffee Latte vorige maand]]</f>
        <v>18</v>
      </c>
      <c r="Q53" s="53">
        <v>36088</v>
      </c>
      <c r="R53">
        <f>augustus2025!Q53</f>
        <v>35244</v>
      </c>
      <c r="S53">
        <f>Tabel242567891011121314151716181921202223261415181920[[#This Row],[Stand Hot Water einde maand]]-Tabel242567891011121314151716181921202223261415181920[[#This Row],[Hot Water vorige maand]]</f>
        <v>844</v>
      </c>
      <c r="T53" s="53">
        <v>4170</v>
      </c>
      <c r="U53">
        <f>augustus2025!T53</f>
        <v>4091</v>
      </c>
      <c r="V53">
        <f>Tabel242567891011121314151716181921202223261415181920[[#This Row],[Stand Cappucino einde maand]]-Tabel242567891011121314151716181921202223261415181920[[#This Row],[Stand Cappucino vorige maand]]</f>
        <v>79</v>
      </c>
      <c r="W53" s="53">
        <v>1264</v>
      </c>
      <c r="X53">
        <f>augustus2025!W53</f>
        <v>1242</v>
      </c>
      <c r="Y53">
        <f>Tabel242567891011121314151716181921202223261415181920[[#This Row],[Stand Cappucino Plantaardig einde maand]]-Tabel242567891011121314151716181921202223261415181920[[#This Row],[Stand Cappucino Plantaardig vorige maand]]</f>
        <v>22</v>
      </c>
      <c r="Z53" s="53">
        <v>257</v>
      </c>
      <c r="AA53">
        <f>augustus2025!Z53</f>
        <v>250</v>
      </c>
      <c r="AB53">
        <f>Tabel242567891011121314151716181921202223261415181920[[#This Row],[Stand Latte Macchiato Plantaardig einde maand]]-Tabel242567891011121314151716181921202223261415181920[[#This Row],[Stand Latte Macchiato Plantaardig vorige maand]]</f>
        <v>7</v>
      </c>
      <c r="AC53" s="71">
        <f>Tabel242567891011121314151716181921202223261415181920[[#This Row],[Verbruik Stand Latte Macchiato Plantaardig deze maand]]+Tabel242567891011121314151716181921202223261415181920[[#This Row],[Verbruik  Cappucino Plantaardig deze maand]]+Tabel242567891011121314151716181921202223261415181920[[#This Row],[Verbruik Cappucino deze maand]]+Tabel242567891011121314151716181921202223261415181920[[#This Row],[Verbruik Hot Water deze maand]]+Tabel242567891011121314151716181921202223261415181920[[#This Row],[Verbruik Coffee Latte deze maand]]+Tabel242567891011121314151716181921202223261415181920[[#This Row],[Verbruik Latte Macchiato deze maand]]+Tabel242567891011121314151716181921202223261415181920[[#This Row],[Verbruik Espresso deze maand]]+Tabel242567891011121314151716181921202223261415181920[[#This Row],[Verbruik Coffee deze maand]]</f>
        <v>1517</v>
      </c>
      <c r="AD53" s="69"/>
      <c r="AE53" s="41"/>
      <c r="AF53" s="5"/>
      <c r="AG53" s="5"/>
      <c r="AH53" s="75"/>
      <c r="AI53" s="41"/>
      <c r="AJ53" s="5"/>
      <c r="AK53" s="5"/>
      <c r="AL53" s="75"/>
      <c r="AM53" s="41"/>
      <c r="AN53" s="5"/>
      <c r="AO53" s="5"/>
      <c r="AP53" s="75"/>
      <c r="AQ53" s="41"/>
      <c r="AR53" s="5"/>
      <c r="AS53" s="5"/>
      <c r="AT53" s="75"/>
      <c r="AU53" s="41"/>
      <c r="AV53" s="5"/>
      <c r="AW53" s="5"/>
      <c r="AX53" s="79"/>
      <c r="AY53" s="95">
        <f>Tabel242567891011121314151716181921202223261415181920[[#This Row],[Subtotaal waterbar in consumpties]]+Tabel242567891011121314151716181921202223261415181920[[#This Row],[Subtotaal koffieautomaten]]</f>
        <v>1517</v>
      </c>
    </row>
    <row r="54" spans="1:130" ht="14.45" customHeight="1" x14ac:dyDescent="0.25">
      <c r="A54" s="65" t="s">
        <v>45</v>
      </c>
      <c r="B54" t="s">
        <v>101</v>
      </c>
      <c r="C54" t="s">
        <v>47</v>
      </c>
      <c r="E54">
        <v>11165</v>
      </c>
      <c r="F54">
        <f>augustus2025!E54</f>
        <v>10792</v>
      </c>
      <c r="G54">
        <f>Tabel242567891011121314151716181921202223261415181920[[#This Row],[Stand Coffee einde maand]]-Tabel242567891011121314151716181921202223261415181920[[#This Row],[Coffee vorige maand]]</f>
        <v>373</v>
      </c>
      <c r="H54" s="53">
        <v>5331</v>
      </c>
      <c r="I54">
        <f>augustus2025!H54</f>
        <v>5209</v>
      </c>
      <c r="J54">
        <f>Tabel242567891011121314151716181921202223261415181920[[#This Row],[Stand Espresso Einde maand]]-Tabel242567891011121314151716181921202223261415181920[[#This Row],[Espresso vorige maand]]</f>
        <v>122</v>
      </c>
      <c r="K54" s="53">
        <v>727</v>
      </c>
      <c r="L54">
        <f>augustus2025!K54</f>
        <v>716</v>
      </c>
      <c r="M54">
        <f>Tabel242567891011121314151716181921202223261415181920[[#This Row],[Stand Latte Macchiato einde maand]]-Tabel242567891011121314151716181921202223261415181920[[#This Row],[Latte Macchiato vorige maand]]</f>
        <v>11</v>
      </c>
      <c r="N54" s="53">
        <v>599</v>
      </c>
      <c r="O54">
        <f>augustus2025!N54</f>
        <v>589</v>
      </c>
      <c r="P54">
        <f>Tabel242567891011121314151716181921202223261415181920[[#This Row],[Stand Coffee Latte einde maand]]-Tabel242567891011121314151716181921202223261415181920[[#This Row],[Coffee Latte vorige maand]]</f>
        <v>10</v>
      </c>
      <c r="Q54" s="53">
        <v>1</v>
      </c>
      <c r="R54">
        <f>augustus2025!Q54</f>
        <v>1</v>
      </c>
      <c r="S54">
        <f>Tabel242567891011121314151716181921202223261415181920[[#This Row],[Stand Hot Water einde maand]]-Tabel242567891011121314151716181921202223261415181920[[#This Row],[Hot Water vorige maand]]</f>
        <v>0</v>
      </c>
      <c r="T54" s="53">
        <v>4965</v>
      </c>
      <c r="U54">
        <f>augustus2025!T54</f>
        <v>4815</v>
      </c>
      <c r="V54">
        <f>Tabel242567891011121314151716181921202223261415181920[[#This Row],[Stand Cappucino einde maand]]-Tabel242567891011121314151716181921202223261415181920[[#This Row],[Stand Cappucino vorige maand]]</f>
        <v>150</v>
      </c>
      <c r="W54" s="53">
        <v>1012</v>
      </c>
      <c r="X54">
        <f>augustus2025!W54</f>
        <v>991</v>
      </c>
      <c r="Y54">
        <f>Tabel242567891011121314151716181921202223261415181920[[#This Row],[Stand Cappucino Plantaardig einde maand]]-Tabel242567891011121314151716181921202223261415181920[[#This Row],[Stand Cappucino Plantaardig vorige maand]]</f>
        <v>21</v>
      </c>
      <c r="Z54" s="53">
        <v>258</v>
      </c>
      <c r="AA54">
        <f>augustus2025!Z54</f>
        <v>256</v>
      </c>
      <c r="AB54">
        <f>Tabel242567891011121314151716181921202223261415181920[[#This Row],[Stand Latte Macchiato Plantaardig einde maand]]-Tabel242567891011121314151716181921202223261415181920[[#This Row],[Stand Latte Macchiato Plantaardig vorige maand]]</f>
        <v>2</v>
      </c>
      <c r="AC54" s="71">
        <f>Tabel242567891011121314151716181921202223261415181920[[#This Row],[Verbruik Stand Latte Macchiato Plantaardig deze maand]]+Tabel242567891011121314151716181921202223261415181920[[#This Row],[Verbruik  Cappucino Plantaardig deze maand]]+Tabel242567891011121314151716181921202223261415181920[[#This Row],[Verbruik Cappucino deze maand]]+Tabel242567891011121314151716181921202223261415181920[[#This Row],[Verbruik Hot Water deze maand]]+Tabel242567891011121314151716181921202223261415181920[[#This Row],[Verbruik Coffee Latte deze maand]]+Tabel242567891011121314151716181921202223261415181920[[#This Row],[Verbruik Latte Macchiato deze maand]]+Tabel242567891011121314151716181921202223261415181920[[#This Row],[Verbruik Espresso deze maand]]+Tabel242567891011121314151716181921202223261415181920[[#This Row],[Verbruik Coffee deze maand]]</f>
        <v>689</v>
      </c>
      <c r="AD54" s="53">
        <v>148.6</v>
      </c>
      <c r="AE54">
        <f>augustus2025!AD54</f>
        <v>112.8</v>
      </c>
      <c r="AF54">
        <f>Tabel242567891011121314151716181921202223261415181920[[#This Row],[Stand Kamertemp liter einde maand]]-Tabel242567891011121314151716181921202223261415181920[[#This Row],[Stand Kamertemp liter vorige maand]]</f>
        <v>35.799999999999997</v>
      </c>
      <c r="AG54" s="2">
        <f>Tabel242567891011121314151716181921202223261415181920[[#This Row],[Verbruik Kamertemp liter deze maand]]/0.15</f>
        <v>238.66666666666666</v>
      </c>
      <c r="AH54" s="53">
        <v>700.9</v>
      </c>
      <c r="AI54">
        <f>augustus2025!AH54</f>
        <v>589.6</v>
      </c>
      <c r="AJ54">
        <f>Tabel242567891011121314151716181921202223261415181920[[#This Row],[Stand Gekoeld liter einde maand]]-Tabel242567891011121314151716181921202223261415181920[[#This Row],[Stand Gekoeld liter vorige maand]]</f>
        <v>111.29999999999995</v>
      </c>
      <c r="AK54" s="2">
        <f>Tabel242567891011121314151716181921202223261415181920[[#This Row],[Verbruik Gekoeld liter deze maand]]/0.15</f>
        <v>741.99999999999977</v>
      </c>
      <c r="AL54" s="53">
        <v>619.79999999999995</v>
      </c>
      <c r="AM54">
        <f>augustus2025!AL54</f>
        <v>523.79999999999995</v>
      </c>
      <c r="AN54">
        <f>Tabel242567891011121314151716181921202223261415181920[[#This Row],[Stand Bruisend liter einde maand]]-Tabel242567891011121314151716181921202223261415181920[[#This Row],[Stand Bruisend liter vorige maand]]</f>
        <v>96</v>
      </c>
      <c r="AO54" s="2">
        <f>Tabel242567891011121314151716181921202223261415181920[[#This Row],[Verbruik Bruisend liter deze maand]]/0.15</f>
        <v>640</v>
      </c>
      <c r="AP54" s="53">
        <v>116.6</v>
      </c>
      <c r="AQ54">
        <f>augustus2025!AP54</f>
        <v>81.5</v>
      </c>
      <c r="AR54">
        <f>Tabel242567891011121314151716181921202223261415181920[[#This Row],[Stand licht bruisend liter einde maand]]-Tabel242567891011121314151716181921202223261415181920[[#This Row],[Stand licht bruisend liter vorige maand]]</f>
        <v>35.099999999999994</v>
      </c>
      <c r="AS54" s="2">
        <f>Tabel242567891011121314151716181921202223261415181920[[#This Row],[Verbruik licht bruisend liter deze maand]]/0.15</f>
        <v>233.99999999999997</v>
      </c>
      <c r="AT54" s="53">
        <v>1486.6</v>
      </c>
      <c r="AU54">
        <f>augustus2025!AT54</f>
        <v>1149.3</v>
      </c>
      <c r="AV54">
        <f>Tabel242567891011121314151716181921202223261415181920[[#This Row],[Stand heet water liter einde maand]]-Tabel242567891011121314151716181921202223261415181920[[#This Row],[Stand heet water liter vorige maand]]</f>
        <v>337.29999999999995</v>
      </c>
      <c r="AW54" s="2">
        <f>Tabel242567891011121314151716181921202223261415181920[[#This Row],[Verbruik heet Water liter deze maand ]]/0.15</f>
        <v>2248.6666666666665</v>
      </c>
      <c r="AX54" s="77">
        <f>Tabel242567891011121314151716181921202223261415181920[[#This Row],[Aantal consumpties heet water deze maand]]+Tabel242567891011121314151716181921202223261415181920[[#This Row],[Aantal consumpties licht bruisend water deze maand]]+Tabel242567891011121314151716181921202223261415181920[[#This Row],[aantal consumpties Bruisend water deze maand]]+Tabel242567891011121314151716181921202223261415181920[[#This Row],[Aantal consumpties gekoeld water deze maand]]+Tabel242567891011121314151716181921202223261415181920[[#This Row],[Aantal consumpties Kamertemp deze maand]]</f>
        <v>4103.333333333333</v>
      </c>
      <c r="AY54" s="95">
        <f>Tabel242567891011121314151716181921202223261415181920[[#This Row],[Subtotaal waterbar in consumpties]]+Tabel242567891011121314151716181921202223261415181920[[#This Row],[Subtotaal koffieautomaten]]</f>
        <v>4792.333333333333</v>
      </c>
    </row>
    <row r="55" spans="1:130" ht="14.45" customHeight="1" x14ac:dyDescent="0.25">
      <c r="A55" s="65" t="s">
        <v>48</v>
      </c>
      <c r="B55" t="s">
        <v>102</v>
      </c>
      <c r="C55" t="s">
        <v>31</v>
      </c>
      <c r="E55">
        <v>9449</v>
      </c>
      <c r="F55">
        <f>augustus2025!E55</f>
        <v>9089</v>
      </c>
      <c r="G55">
        <f>Tabel242567891011121314151716181921202223261415181920[[#This Row],[Stand Coffee einde maand]]-Tabel242567891011121314151716181921202223261415181920[[#This Row],[Coffee vorige maand]]</f>
        <v>360</v>
      </c>
      <c r="H55" s="53">
        <v>2362</v>
      </c>
      <c r="I55">
        <f>augustus2025!H55</f>
        <v>2323</v>
      </c>
      <c r="J55">
        <f>Tabel242567891011121314151716181921202223261415181920[[#This Row],[Stand Espresso Einde maand]]-Tabel242567891011121314151716181921202223261415181920[[#This Row],[Espresso vorige maand]]</f>
        <v>39</v>
      </c>
      <c r="K55" s="53">
        <v>966</v>
      </c>
      <c r="L55">
        <f>augustus2025!K55</f>
        <v>902</v>
      </c>
      <c r="M55">
        <f>Tabel242567891011121314151716181921202223261415181920[[#This Row],[Stand Latte Macchiato einde maand]]-Tabel242567891011121314151716181921202223261415181920[[#This Row],[Latte Macchiato vorige maand]]</f>
        <v>64</v>
      </c>
      <c r="N55" s="53">
        <v>521</v>
      </c>
      <c r="O55">
        <f>augustus2025!N55</f>
        <v>486</v>
      </c>
      <c r="P55">
        <f>Tabel242567891011121314151716181921202223261415181920[[#This Row],[Stand Coffee Latte einde maand]]-Tabel242567891011121314151716181921202223261415181920[[#This Row],[Coffee Latte vorige maand]]</f>
        <v>35</v>
      </c>
      <c r="Q55" s="53">
        <v>24175</v>
      </c>
      <c r="R55">
        <f>augustus2025!Q55</f>
        <v>23374</v>
      </c>
      <c r="S55">
        <f>Tabel242567891011121314151716181921202223261415181920[[#This Row],[Stand Hot Water einde maand]]-Tabel242567891011121314151716181921202223261415181920[[#This Row],[Hot Water vorige maand]]</f>
        <v>801</v>
      </c>
      <c r="T55" s="53">
        <v>4259</v>
      </c>
      <c r="U55">
        <f>augustus2025!T55</f>
        <v>4114</v>
      </c>
      <c r="V55">
        <f>Tabel242567891011121314151716181921202223261415181920[[#This Row],[Stand Cappucino einde maand]]-Tabel242567891011121314151716181921202223261415181920[[#This Row],[Stand Cappucino vorige maand]]</f>
        <v>145</v>
      </c>
      <c r="W55" s="53">
        <v>1965</v>
      </c>
      <c r="X55">
        <f>augustus2025!W55</f>
        <v>1940</v>
      </c>
      <c r="Y55">
        <f>Tabel242567891011121314151716181921202223261415181920[[#This Row],[Stand Cappucino Plantaardig einde maand]]-Tabel242567891011121314151716181921202223261415181920[[#This Row],[Stand Cappucino Plantaardig vorige maand]]</f>
        <v>25</v>
      </c>
      <c r="Z55" s="53">
        <v>254</v>
      </c>
      <c r="AA55">
        <f>augustus2025!Z55</f>
        <v>250</v>
      </c>
      <c r="AB55">
        <f>Tabel242567891011121314151716181921202223261415181920[[#This Row],[Stand Latte Macchiato Plantaardig einde maand]]-Tabel242567891011121314151716181921202223261415181920[[#This Row],[Stand Latte Macchiato Plantaardig vorige maand]]</f>
        <v>4</v>
      </c>
      <c r="AC55" s="71">
        <f>Tabel242567891011121314151716181921202223261415181920[[#This Row],[Verbruik Stand Latte Macchiato Plantaardig deze maand]]+Tabel242567891011121314151716181921202223261415181920[[#This Row],[Verbruik  Cappucino Plantaardig deze maand]]+Tabel242567891011121314151716181921202223261415181920[[#This Row],[Verbruik Cappucino deze maand]]+Tabel242567891011121314151716181921202223261415181920[[#This Row],[Verbruik Hot Water deze maand]]+Tabel242567891011121314151716181921202223261415181920[[#This Row],[Verbruik Coffee Latte deze maand]]+Tabel242567891011121314151716181921202223261415181920[[#This Row],[Verbruik Latte Macchiato deze maand]]+Tabel242567891011121314151716181921202223261415181920[[#This Row],[Verbruik Espresso deze maand]]+Tabel242567891011121314151716181921202223261415181920[[#This Row],[Verbruik Coffee deze maand]]</f>
        <v>1473</v>
      </c>
      <c r="AD55" s="69"/>
      <c r="AE55" s="41"/>
      <c r="AF55" s="5"/>
      <c r="AG55" s="5"/>
      <c r="AH55" s="75"/>
      <c r="AI55" s="41"/>
      <c r="AJ55" s="5"/>
      <c r="AK55" s="5"/>
      <c r="AL55" s="75"/>
      <c r="AM55" s="41"/>
      <c r="AN55" s="5"/>
      <c r="AO55" s="5"/>
      <c r="AP55" s="75"/>
      <c r="AQ55" s="41"/>
      <c r="AR55" s="5"/>
      <c r="AS55" s="5"/>
      <c r="AT55" s="75"/>
      <c r="AU55" s="41"/>
      <c r="AV55" s="5"/>
      <c r="AW55" s="5"/>
      <c r="AX55" s="79"/>
      <c r="AY55" s="95">
        <f>Tabel242567891011121314151716181921202223261415181920[[#This Row],[Subtotaal waterbar in consumpties]]+Tabel242567891011121314151716181921202223261415181920[[#This Row],[Subtotaal koffieautomaten]]</f>
        <v>1473</v>
      </c>
    </row>
    <row r="56" spans="1:130" ht="14.45" customHeight="1" x14ac:dyDescent="0.25">
      <c r="A56" s="65" t="s">
        <v>50</v>
      </c>
      <c r="B56" t="s">
        <v>103</v>
      </c>
      <c r="C56" t="s">
        <v>47</v>
      </c>
      <c r="E56">
        <v>9680</v>
      </c>
      <c r="F56">
        <f>augustus2025!E56</f>
        <v>9470</v>
      </c>
      <c r="G56">
        <f>Tabel242567891011121314151716181921202223261415181920[[#This Row],[Stand Coffee einde maand]]-Tabel242567891011121314151716181921202223261415181920[[#This Row],[Coffee vorige maand]]</f>
        <v>210</v>
      </c>
      <c r="H56" s="53">
        <v>4233</v>
      </c>
      <c r="I56">
        <f>augustus2025!H56</f>
        <v>4124</v>
      </c>
      <c r="J56">
        <f>Tabel242567891011121314151716181921202223261415181920[[#This Row],[Stand Espresso Einde maand]]-Tabel242567891011121314151716181921202223261415181920[[#This Row],[Espresso vorige maand]]</f>
        <v>109</v>
      </c>
      <c r="K56" s="53">
        <v>337</v>
      </c>
      <c r="L56">
        <f>augustus2025!K56</f>
        <v>336</v>
      </c>
      <c r="M56">
        <f>Tabel242567891011121314151716181921202223261415181920[[#This Row],[Stand Latte Macchiato einde maand]]-Tabel242567891011121314151716181921202223261415181920[[#This Row],[Latte Macchiato vorige maand]]</f>
        <v>1</v>
      </c>
      <c r="N56" s="53">
        <v>135</v>
      </c>
      <c r="O56">
        <f>augustus2025!N56</f>
        <v>134</v>
      </c>
      <c r="P56">
        <f>Tabel242567891011121314151716181921202223261415181920[[#This Row],[Stand Coffee Latte einde maand]]-Tabel242567891011121314151716181921202223261415181920[[#This Row],[Coffee Latte vorige maand]]</f>
        <v>1</v>
      </c>
      <c r="Q56" s="53">
        <v>1</v>
      </c>
      <c r="R56">
        <f>augustus2025!Q56</f>
        <v>1</v>
      </c>
      <c r="S56">
        <f>Tabel242567891011121314151716181921202223261415181920[[#This Row],[Stand Hot Water einde maand]]-Tabel242567891011121314151716181921202223261415181920[[#This Row],[Hot Water vorige maand]]</f>
        <v>0</v>
      </c>
      <c r="T56" s="53">
        <v>7452</v>
      </c>
      <c r="U56">
        <f>augustus2025!T56</f>
        <v>7176</v>
      </c>
      <c r="V56">
        <f>Tabel242567891011121314151716181921202223261415181920[[#This Row],[Stand Cappucino einde maand]]-Tabel242567891011121314151716181921202223261415181920[[#This Row],[Stand Cappucino vorige maand]]</f>
        <v>276</v>
      </c>
      <c r="W56" s="53">
        <v>689</v>
      </c>
      <c r="X56">
        <f>augustus2025!W56</f>
        <v>673</v>
      </c>
      <c r="Y56">
        <f>Tabel242567891011121314151716181921202223261415181920[[#This Row],[Stand Cappucino Plantaardig einde maand]]-Tabel242567891011121314151716181921202223261415181920[[#This Row],[Stand Cappucino Plantaardig vorige maand]]</f>
        <v>16</v>
      </c>
      <c r="Z56" s="53">
        <v>132</v>
      </c>
      <c r="AA56">
        <f>augustus2025!Z56</f>
        <v>130</v>
      </c>
      <c r="AB56">
        <f>Tabel242567891011121314151716181921202223261415181920[[#This Row],[Stand Latte Macchiato Plantaardig einde maand]]-Tabel242567891011121314151716181921202223261415181920[[#This Row],[Stand Latte Macchiato Plantaardig vorige maand]]</f>
        <v>2</v>
      </c>
      <c r="AC56" s="71">
        <f>Tabel242567891011121314151716181921202223261415181920[[#This Row],[Verbruik Stand Latte Macchiato Plantaardig deze maand]]+Tabel242567891011121314151716181921202223261415181920[[#This Row],[Verbruik  Cappucino Plantaardig deze maand]]+Tabel242567891011121314151716181921202223261415181920[[#This Row],[Verbruik Cappucino deze maand]]+Tabel242567891011121314151716181921202223261415181920[[#This Row],[Verbruik Hot Water deze maand]]+Tabel242567891011121314151716181921202223261415181920[[#This Row],[Verbruik Coffee Latte deze maand]]+Tabel242567891011121314151716181921202223261415181920[[#This Row],[Verbruik Latte Macchiato deze maand]]+Tabel242567891011121314151716181921202223261415181920[[#This Row],[Verbruik Espresso deze maand]]+Tabel242567891011121314151716181921202223261415181920[[#This Row],[Verbruik Coffee deze maand]]</f>
        <v>615</v>
      </c>
      <c r="AD56" s="53">
        <v>139.5</v>
      </c>
      <c r="AE56">
        <f>augustus2025!AD56</f>
        <v>118.7</v>
      </c>
      <c r="AF56">
        <f>Tabel242567891011121314151716181921202223261415181920[[#This Row],[Stand Kamertemp liter einde maand]]-Tabel242567891011121314151716181921202223261415181920[[#This Row],[Stand Kamertemp liter vorige maand]]</f>
        <v>20.799999999999997</v>
      </c>
      <c r="AG56" s="2">
        <f>Tabel242567891011121314151716181921202223261415181920[[#This Row],[Verbruik Kamertemp liter deze maand]]/0.15</f>
        <v>138.66666666666666</v>
      </c>
      <c r="AH56" s="53">
        <v>774.7</v>
      </c>
      <c r="AI56">
        <f>augustus2025!AH56</f>
        <v>688.6</v>
      </c>
      <c r="AJ56">
        <f>Tabel242567891011121314151716181921202223261415181920[[#This Row],[Stand Gekoeld liter einde maand]]-Tabel242567891011121314151716181921202223261415181920[[#This Row],[Stand Gekoeld liter vorige maand]]</f>
        <v>86.100000000000023</v>
      </c>
      <c r="AK56" s="2">
        <f>Tabel242567891011121314151716181921202223261415181920[[#This Row],[Verbruik Gekoeld liter deze maand]]/0.15</f>
        <v>574.00000000000023</v>
      </c>
      <c r="AL56" s="53">
        <v>849.7</v>
      </c>
      <c r="AM56">
        <f>augustus2025!AL56</f>
        <v>753.8</v>
      </c>
      <c r="AN56">
        <f>Tabel242567891011121314151716181921202223261415181920[[#This Row],[Stand Bruisend liter einde maand]]-Tabel242567891011121314151716181921202223261415181920[[#This Row],[Stand Bruisend liter vorige maand]]</f>
        <v>95.900000000000091</v>
      </c>
      <c r="AO56" s="2">
        <f>Tabel242567891011121314151716181921202223261415181920[[#This Row],[Verbruik Bruisend liter deze maand]]/0.15</f>
        <v>639.33333333333394</v>
      </c>
      <c r="AP56" s="53">
        <v>305.7</v>
      </c>
      <c r="AQ56">
        <f>augustus2025!AP56</f>
        <v>265</v>
      </c>
      <c r="AR56">
        <f>Tabel242567891011121314151716181921202223261415181920[[#This Row],[Stand licht bruisend liter einde maand]]-Tabel242567891011121314151716181921202223261415181920[[#This Row],[Stand licht bruisend liter vorige maand]]</f>
        <v>40.699999999999989</v>
      </c>
      <c r="AS56" s="2">
        <f>Tabel242567891011121314151716181921202223261415181920[[#This Row],[Verbruik licht bruisend liter deze maand]]/0.15</f>
        <v>271.33333333333326</v>
      </c>
      <c r="AT56" s="53">
        <v>2527.6</v>
      </c>
      <c r="AU56">
        <f>augustus2025!AT56</f>
        <v>2279.9</v>
      </c>
      <c r="AV56">
        <f>Tabel242567891011121314151716181921202223261415181920[[#This Row],[Stand heet water liter einde maand]]-Tabel242567891011121314151716181921202223261415181920[[#This Row],[Stand heet water liter vorige maand]]</f>
        <v>247.69999999999982</v>
      </c>
      <c r="AW56" s="2">
        <f>Tabel242567891011121314151716181921202223261415181920[[#This Row],[Verbruik heet Water liter deze maand ]]/0.15</f>
        <v>1651.3333333333321</v>
      </c>
      <c r="AX56" s="77">
        <f>Tabel242567891011121314151716181921202223261415181920[[#This Row],[Aantal consumpties heet water deze maand]]+Tabel242567891011121314151716181921202223261415181920[[#This Row],[Aantal consumpties licht bruisend water deze maand]]+Tabel242567891011121314151716181921202223261415181920[[#This Row],[aantal consumpties Bruisend water deze maand]]+Tabel242567891011121314151716181921202223261415181920[[#This Row],[Aantal consumpties gekoeld water deze maand]]+Tabel242567891011121314151716181921202223261415181920[[#This Row],[Aantal consumpties Kamertemp deze maand]]</f>
        <v>3274.6666666666656</v>
      </c>
      <c r="AY56" s="95">
        <f>Tabel242567891011121314151716181921202223261415181920[[#This Row],[Subtotaal waterbar in consumpties]]+Tabel242567891011121314151716181921202223261415181920[[#This Row],[Subtotaal koffieautomaten]]</f>
        <v>3889.6666666666656</v>
      </c>
    </row>
    <row r="57" spans="1:130" ht="14.45" customHeight="1" x14ac:dyDescent="0.25">
      <c r="A57" s="65" t="s">
        <v>52</v>
      </c>
      <c r="B57" t="s">
        <v>104</v>
      </c>
      <c r="C57" t="s">
        <v>47</v>
      </c>
      <c r="E57">
        <v>5132</v>
      </c>
      <c r="F57">
        <f>augustus2025!E57</f>
        <v>4886</v>
      </c>
      <c r="G57">
        <f>Tabel242567891011121314151716181921202223261415181920[[#This Row],[Stand Coffee einde maand]]-Tabel242567891011121314151716181921202223261415181920[[#This Row],[Coffee vorige maand]]</f>
        <v>246</v>
      </c>
      <c r="H57" s="53">
        <v>853</v>
      </c>
      <c r="I57">
        <f>augustus2025!H57</f>
        <v>819</v>
      </c>
      <c r="J57">
        <f>Tabel242567891011121314151716181921202223261415181920[[#This Row],[Stand Espresso Einde maand]]-Tabel242567891011121314151716181921202223261415181920[[#This Row],[Espresso vorige maand]]</f>
        <v>34</v>
      </c>
      <c r="K57" s="53">
        <v>459</v>
      </c>
      <c r="L57">
        <f>augustus2025!K57</f>
        <v>446</v>
      </c>
      <c r="M57">
        <f>Tabel242567891011121314151716181921202223261415181920[[#This Row],[Stand Latte Macchiato einde maand]]-Tabel242567891011121314151716181921202223261415181920[[#This Row],[Latte Macchiato vorige maand]]</f>
        <v>13</v>
      </c>
      <c r="N57" s="53">
        <v>1163</v>
      </c>
      <c r="O57">
        <f>augustus2025!N57</f>
        <v>1056</v>
      </c>
      <c r="P57">
        <f>Tabel242567891011121314151716181921202223261415181920[[#This Row],[Stand Coffee Latte einde maand]]-Tabel242567891011121314151716181921202223261415181920[[#This Row],[Coffee Latte vorige maand]]</f>
        <v>107</v>
      </c>
      <c r="Q57" s="53">
        <v>913</v>
      </c>
      <c r="R57">
        <f>augustus2025!Q57</f>
        <v>881</v>
      </c>
      <c r="S57">
        <f>Tabel242567891011121314151716181921202223261415181920[[#This Row],[Stand Hot Water einde maand]]-Tabel242567891011121314151716181921202223261415181920[[#This Row],[Hot Water vorige maand]]</f>
        <v>32</v>
      </c>
      <c r="T57" s="53">
        <v>5195</v>
      </c>
      <c r="U57">
        <f>augustus2025!T57</f>
        <v>4945</v>
      </c>
      <c r="V57">
        <f>Tabel242567891011121314151716181921202223261415181920[[#This Row],[Stand Cappucino einde maand]]-Tabel242567891011121314151716181921202223261415181920[[#This Row],[Stand Cappucino vorige maand]]</f>
        <v>250</v>
      </c>
      <c r="W57" s="53">
        <v>906</v>
      </c>
      <c r="X57">
        <f>augustus2025!W57</f>
        <v>881</v>
      </c>
      <c r="Y57">
        <f>Tabel242567891011121314151716181921202223261415181920[[#This Row],[Stand Cappucino Plantaardig einde maand]]-Tabel242567891011121314151716181921202223261415181920[[#This Row],[Stand Cappucino Plantaardig vorige maand]]</f>
        <v>25</v>
      </c>
      <c r="Z57" s="53">
        <v>151</v>
      </c>
      <c r="AA57">
        <f>augustus2025!Z57</f>
        <v>131</v>
      </c>
      <c r="AB57">
        <f>Tabel242567891011121314151716181921202223261415181920[[#This Row],[Stand Latte Macchiato Plantaardig einde maand]]-Tabel242567891011121314151716181921202223261415181920[[#This Row],[Stand Latte Macchiato Plantaardig vorige maand]]</f>
        <v>20</v>
      </c>
      <c r="AC57" s="71">
        <f>Tabel242567891011121314151716181921202223261415181920[[#This Row],[Verbruik Stand Latte Macchiato Plantaardig deze maand]]+Tabel242567891011121314151716181921202223261415181920[[#This Row],[Verbruik  Cappucino Plantaardig deze maand]]+Tabel242567891011121314151716181921202223261415181920[[#This Row],[Verbruik Cappucino deze maand]]+Tabel242567891011121314151716181921202223261415181920[[#This Row],[Verbruik Hot Water deze maand]]+Tabel242567891011121314151716181921202223261415181920[[#This Row],[Verbruik Coffee Latte deze maand]]+Tabel242567891011121314151716181921202223261415181920[[#This Row],[Verbruik Latte Macchiato deze maand]]+Tabel242567891011121314151716181921202223261415181920[[#This Row],[Verbruik Espresso deze maand]]+Tabel242567891011121314151716181921202223261415181920[[#This Row],[Verbruik Coffee deze maand]]</f>
        <v>727</v>
      </c>
      <c r="AD57" s="53">
        <v>15</v>
      </c>
      <c r="AE57">
        <f>augustus2025!AD57</f>
        <v>5.8</v>
      </c>
      <c r="AF57">
        <f>Tabel242567891011121314151716181921202223261415181920[[#This Row],[Stand Kamertemp liter einde maand]]-Tabel242567891011121314151716181921202223261415181920[[#This Row],[Stand Kamertemp liter vorige maand]]</f>
        <v>9.1999999999999993</v>
      </c>
      <c r="AG57" s="2">
        <f>Tabel242567891011121314151716181921202223261415181920[[#This Row],[Verbruik Kamertemp liter deze maand]]/0.15</f>
        <v>61.333333333333329</v>
      </c>
      <c r="AH57" s="53">
        <v>275.5</v>
      </c>
      <c r="AI57">
        <f>augustus2025!AH57</f>
        <v>162.5</v>
      </c>
      <c r="AJ57">
        <f>Tabel242567891011121314151716181921202223261415181920[[#This Row],[Stand Gekoeld liter einde maand]]-Tabel242567891011121314151716181921202223261415181920[[#This Row],[Stand Gekoeld liter vorige maand]]</f>
        <v>113</v>
      </c>
      <c r="AK57" s="2">
        <f>Tabel242567891011121314151716181921202223261415181920[[#This Row],[Verbruik Gekoeld liter deze maand]]/0.15</f>
        <v>753.33333333333337</v>
      </c>
      <c r="AL57" s="53">
        <v>113.1</v>
      </c>
      <c r="AM57">
        <f>augustus2025!AL57</f>
        <v>66.7</v>
      </c>
      <c r="AN57">
        <f>Tabel242567891011121314151716181921202223261415181920[[#This Row],[Stand Bruisend liter einde maand]]-Tabel242567891011121314151716181921202223261415181920[[#This Row],[Stand Bruisend liter vorige maand]]</f>
        <v>46.399999999999991</v>
      </c>
      <c r="AO57" s="2">
        <f>Tabel242567891011121314151716181921202223261415181920[[#This Row],[Verbruik Bruisend liter deze maand]]/0.15</f>
        <v>309.33333333333331</v>
      </c>
      <c r="AP57" s="53">
        <v>39.9</v>
      </c>
      <c r="AQ57">
        <f>augustus2025!AP57</f>
        <v>28.1</v>
      </c>
      <c r="AR57">
        <f>Tabel242567891011121314151716181921202223261415181920[[#This Row],[Stand licht bruisend liter einde maand]]-Tabel242567891011121314151716181921202223261415181920[[#This Row],[Stand licht bruisend liter vorige maand]]</f>
        <v>11.799999999999997</v>
      </c>
      <c r="AS57" s="2">
        <f>Tabel242567891011121314151716181921202223261415181920[[#This Row],[Verbruik licht bruisend liter deze maand]]/0.15</f>
        <v>78.666666666666657</v>
      </c>
      <c r="AT57" s="53">
        <v>609.29999999999995</v>
      </c>
      <c r="AU57">
        <f>augustus2025!AT57</f>
        <v>339.1</v>
      </c>
      <c r="AV57">
        <f>Tabel242567891011121314151716181921202223261415181920[[#This Row],[Stand heet water liter einde maand]]-Tabel242567891011121314151716181921202223261415181920[[#This Row],[Stand heet water liter vorige maand]]</f>
        <v>270.19999999999993</v>
      </c>
      <c r="AW57" s="2">
        <f>Tabel242567891011121314151716181921202223261415181920[[#This Row],[Verbruik heet Water liter deze maand ]]/0.15</f>
        <v>1801.333333333333</v>
      </c>
      <c r="AX57" s="77">
        <f>Tabel242567891011121314151716181921202223261415181920[[#This Row],[Aantal consumpties heet water deze maand]]+Tabel242567891011121314151716181921202223261415181920[[#This Row],[Aantal consumpties licht bruisend water deze maand]]+Tabel242567891011121314151716181921202223261415181920[[#This Row],[aantal consumpties Bruisend water deze maand]]+Tabel242567891011121314151716181921202223261415181920[[#This Row],[Aantal consumpties gekoeld water deze maand]]+Tabel242567891011121314151716181921202223261415181920[[#This Row],[Aantal consumpties Kamertemp deze maand]]</f>
        <v>3004</v>
      </c>
      <c r="AY57" s="95">
        <f>Tabel242567891011121314151716181921202223261415181920[[#This Row],[Subtotaal waterbar in consumpties]]+Tabel242567891011121314151716181921202223261415181920[[#This Row],[Subtotaal koffieautomaten]]</f>
        <v>3731</v>
      </c>
    </row>
    <row r="58" spans="1:130" ht="14.45" customHeight="1" x14ac:dyDescent="0.25">
      <c r="A58" s="65" t="s">
        <v>54</v>
      </c>
      <c r="B58" t="s">
        <v>105</v>
      </c>
      <c r="C58" t="s">
        <v>31</v>
      </c>
      <c r="E58">
        <v>8589</v>
      </c>
      <c r="F58">
        <f>augustus2025!E58</f>
        <v>8350</v>
      </c>
      <c r="G58">
        <f>Tabel242567891011121314151716181921202223261415181920[[#This Row],[Stand Coffee einde maand]]-Tabel242567891011121314151716181921202223261415181920[[#This Row],[Coffee vorige maand]]</f>
        <v>239</v>
      </c>
      <c r="H58" s="53">
        <v>3984</v>
      </c>
      <c r="I58">
        <f>augustus2025!H58</f>
        <v>3836</v>
      </c>
      <c r="J58">
        <f>Tabel242567891011121314151716181921202223261415181920[[#This Row],[Stand Espresso Einde maand]]-Tabel242567891011121314151716181921202223261415181920[[#This Row],[Espresso vorige maand]]</f>
        <v>148</v>
      </c>
      <c r="K58" s="53">
        <v>3466</v>
      </c>
      <c r="L58">
        <f>augustus2025!K58</f>
        <v>3431</v>
      </c>
      <c r="M58">
        <f>Tabel242567891011121314151716181921202223261415181920[[#This Row],[Stand Latte Macchiato einde maand]]-Tabel242567891011121314151716181921202223261415181920[[#This Row],[Latte Macchiato vorige maand]]</f>
        <v>35</v>
      </c>
      <c r="N58" s="53">
        <v>1111</v>
      </c>
      <c r="O58">
        <f>augustus2025!N58</f>
        <v>1086</v>
      </c>
      <c r="P58">
        <f>Tabel242567891011121314151716181921202223261415181920[[#This Row],[Stand Coffee Latte einde maand]]-Tabel242567891011121314151716181921202223261415181920[[#This Row],[Coffee Latte vorige maand]]</f>
        <v>25</v>
      </c>
      <c r="Q58" s="53">
        <v>36938</v>
      </c>
      <c r="R58">
        <f>augustus2025!Q58</f>
        <v>36204</v>
      </c>
      <c r="S58">
        <f>Tabel242567891011121314151716181921202223261415181920[[#This Row],[Stand Hot Water einde maand]]-Tabel242567891011121314151716181921202223261415181920[[#This Row],[Hot Water vorige maand]]</f>
        <v>734</v>
      </c>
      <c r="T58" s="53">
        <v>6989</v>
      </c>
      <c r="U58">
        <f>augustus2025!T58</f>
        <v>6805</v>
      </c>
      <c r="V58">
        <f>Tabel242567891011121314151716181921202223261415181920[[#This Row],[Stand Cappucino einde maand]]-Tabel242567891011121314151716181921202223261415181920[[#This Row],[Stand Cappucino vorige maand]]</f>
        <v>184</v>
      </c>
      <c r="W58" s="53">
        <v>1133</v>
      </c>
      <c r="X58">
        <f>augustus2025!W58</f>
        <v>1124</v>
      </c>
      <c r="Y58">
        <f>Tabel242567891011121314151716181921202223261415181920[[#This Row],[Stand Cappucino Plantaardig einde maand]]-Tabel242567891011121314151716181921202223261415181920[[#This Row],[Stand Cappucino Plantaardig vorige maand]]</f>
        <v>9</v>
      </c>
      <c r="Z58" s="53">
        <v>285</v>
      </c>
      <c r="AA58">
        <f>augustus2025!Z58</f>
        <v>272</v>
      </c>
      <c r="AB58">
        <f>Tabel242567891011121314151716181921202223261415181920[[#This Row],[Stand Latte Macchiato Plantaardig einde maand]]-Tabel242567891011121314151716181921202223261415181920[[#This Row],[Stand Latte Macchiato Plantaardig vorige maand]]</f>
        <v>13</v>
      </c>
      <c r="AC58" s="71">
        <f>Tabel242567891011121314151716181921202223261415181920[[#This Row],[Verbruik Stand Latte Macchiato Plantaardig deze maand]]+Tabel242567891011121314151716181921202223261415181920[[#This Row],[Verbruik  Cappucino Plantaardig deze maand]]+Tabel242567891011121314151716181921202223261415181920[[#This Row],[Verbruik Cappucino deze maand]]+Tabel242567891011121314151716181921202223261415181920[[#This Row],[Verbruik Hot Water deze maand]]+Tabel242567891011121314151716181921202223261415181920[[#This Row],[Verbruik Coffee Latte deze maand]]+Tabel242567891011121314151716181921202223261415181920[[#This Row],[Verbruik Latte Macchiato deze maand]]+Tabel242567891011121314151716181921202223261415181920[[#This Row],[Verbruik Espresso deze maand]]+Tabel242567891011121314151716181921202223261415181920[[#This Row],[Verbruik Coffee deze maand]]</f>
        <v>1387</v>
      </c>
      <c r="AD58" s="69"/>
      <c r="AE58" s="41"/>
      <c r="AF58" s="5"/>
      <c r="AG58" s="5"/>
      <c r="AH58" s="75"/>
      <c r="AI58" s="41"/>
      <c r="AJ58" s="5"/>
      <c r="AK58" s="5"/>
      <c r="AL58" s="75"/>
      <c r="AM58" s="41"/>
      <c r="AN58" s="5"/>
      <c r="AO58" s="5"/>
      <c r="AP58" s="75"/>
      <c r="AQ58" s="41"/>
      <c r="AR58" s="5"/>
      <c r="AS58" s="5"/>
      <c r="AT58" s="75"/>
      <c r="AU58" s="41"/>
      <c r="AV58" s="5"/>
      <c r="AW58" s="5"/>
      <c r="AX58" s="79"/>
      <c r="AY58" s="95">
        <f>Tabel242567891011121314151716181921202223261415181920[[#This Row],[Subtotaal waterbar in consumpties]]+Tabel242567891011121314151716181921202223261415181920[[#This Row],[Subtotaal koffieautomaten]]</f>
        <v>1387</v>
      </c>
    </row>
    <row r="59" spans="1:130" ht="14.45" customHeight="1" x14ac:dyDescent="0.25">
      <c r="A59" s="65" t="s">
        <v>56</v>
      </c>
      <c r="B59" t="s">
        <v>106</v>
      </c>
      <c r="C59" t="s">
        <v>47</v>
      </c>
      <c r="E59">
        <v>13616</v>
      </c>
      <c r="F59">
        <f>augustus2025!E59</f>
        <v>13166</v>
      </c>
      <c r="G59">
        <f>Tabel242567891011121314151716181921202223261415181920[[#This Row],[Stand Coffee einde maand]]-Tabel242567891011121314151716181921202223261415181920[[#This Row],[Coffee vorige maand]]</f>
        <v>450</v>
      </c>
      <c r="H59" s="53">
        <v>4068</v>
      </c>
      <c r="I59">
        <f>augustus2025!H59</f>
        <v>3866</v>
      </c>
      <c r="J59">
        <f>Tabel242567891011121314151716181921202223261415181920[[#This Row],[Stand Espresso Einde maand]]-Tabel242567891011121314151716181921202223261415181920[[#This Row],[Espresso vorige maand]]</f>
        <v>202</v>
      </c>
      <c r="K59" s="53">
        <v>3699</v>
      </c>
      <c r="L59">
        <f>augustus2025!K59</f>
        <v>3586</v>
      </c>
      <c r="M59">
        <f>Tabel242567891011121314151716181921202223261415181920[[#This Row],[Stand Latte Macchiato einde maand]]-Tabel242567891011121314151716181921202223261415181920[[#This Row],[Latte Macchiato vorige maand]]</f>
        <v>113</v>
      </c>
      <c r="N59" s="53">
        <v>428</v>
      </c>
      <c r="O59">
        <f>augustus2025!N59</f>
        <v>407</v>
      </c>
      <c r="P59">
        <f>Tabel242567891011121314151716181921202223261415181920[[#This Row],[Stand Coffee Latte einde maand]]-Tabel242567891011121314151716181921202223261415181920[[#This Row],[Coffee Latte vorige maand]]</f>
        <v>21</v>
      </c>
      <c r="Q59" s="53">
        <v>1</v>
      </c>
      <c r="R59">
        <f>augustus2025!Q59</f>
        <v>1</v>
      </c>
      <c r="S59">
        <f>Tabel242567891011121314151716181921202223261415181920[[#This Row],[Stand Hot Water einde maand]]-Tabel242567891011121314151716181921202223261415181920[[#This Row],[Hot Water vorige maand]]</f>
        <v>0</v>
      </c>
      <c r="T59" s="53">
        <v>7216</v>
      </c>
      <c r="U59">
        <f>augustus2025!T59</f>
        <v>7035</v>
      </c>
      <c r="V59">
        <f>Tabel242567891011121314151716181921202223261415181920[[#This Row],[Stand Cappucino einde maand]]-Tabel242567891011121314151716181921202223261415181920[[#This Row],[Stand Cappucino vorige maand]]</f>
        <v>181</v>
      </c>
      <c r="W59" s="53">
        <v>1347</v>
      </c>
      <c r="X59">
        <f>augustus2025!W59</f>
        <v>1328</v>
      </c>
      <c r="Y59">
        <f>Tabel242567891011121314151716181921202223261415181920[[#This Row],[Stand Cappucino Plantaardig einde maand]]-Tabel242567891011121314151716181921202223261415181920[[#This Row],[Stand Cappucino Plantaardig vorige maand]]</f>
        <v>19</v>
      </c>
      <c r="Z59" s="53">
        <v>193</v>
      </c>
      <c r="AA59">
        <f>augustus2025!Z59</f>
        <v>186</v>
      </c>
      <c r="AB59">
        <f>Tabel242567891011121314151716181921202223261415181920[[#This Row],[Stand Latte Macchiato Plantaardig einde maand]]-Tabel242567891011121314151716181921202223261415181920[[#This Row],[Stand Latte Macchiato Plantaardig vorige maand]]</f>
        <v>7</v>
      </c>
      <c r="AC59" s="71">
        <f>Tabel242567891011121314151716181921202223261415181920[[#This Row],[Verbruik Stand Latte Macchiato Plantaardig deze maand]]+Tabel242567891011121314151716181921202223261415181920[[#This Row],[Verbruik  Cappucino Plantaardig deze maand]]+Tabel242567891011121314151716181921202223261415181920[[#This Row],[Verbruik Cappucino deze maand]]+Tabel242567891011121314151716181921202223261415181920[[#This Row],[Verbruik Hot Water deze maand]]+Tabel242567891011121314151716181921202223261415181920[[#This Row],[Verbruik Coffee Latte deze maand]]+Tabel242567891011121314151716181921202223261415181920[[#This Row],[Verbruik Latte Macchiato deze maand]]+Tabel242567891011121314151716181921202223261415181920[[#This Row],[Verbruik Espresso deze maand]]+Tabel242567891011121314151716181921202223261415181920[[#This Row],[Verbruik Coffee deze maand]]</f>
        <v>993</v>
      </c>
      <c r="AD59" s="120">
        <v>0.6</v>
      </c>
      <c r="AE59" s="49">
        <v>0</v>
      </c>
      <c r="AF59" s="49">
        <f>Tabel242567891011121314151716181921202223261415181920[[#This Row],[Stand Kamertemp liter einde maand]]-Tabel242567891011121314151716181921202223261415181920[[#This Row],[Stand Kamertemp liter vorige maand]]</f>
        <v>0.6</v>
      </c>
      <c r="AG59" s="121">
        <f>Tabel242567891011121314151716181921202223261415181920[[#This Row],[Verbruik Kamertemp liter deze maand]]/0.15</f>
        <v>4</v>
      </c>
      <c r="AH59" s="120">
        <v>22.9</v>
      </c>
      <c r="AI59" s="49">
        <v>0</v>
      </c>
      <c r="AJ59" s="49">
        <f>Tabel242567891011121314151716181921202223261415181920[[#This Row],[Stand Gekoeld liter einde maand]]-Tabel242567891011121314151716181921202223261415181920[[#This Row],[Stand Gekoeld liter vorige maand]]</f>
        <v>22.9</v>
      </c>
      <c r="AK59" s="121">
        <f>Tabel242567891011121314151716181921202223261415181920[[#This Row],[Verbruik Gekoeld liter deze maand]]/0.15</f>
        <v>152.66666666666666</v>
      </c>
      <c r="AL59" s="120">
        <v>12.2</v>
      </c>
      <c r="AM59" s="49">
        <v>0</v>
      </c>
      <c r="AN59" s="49">
        <f>Tabel242567891011121314151716181921202223261415181920[[#This Row],[Stand Bruisend liter einde maand]]-Tabel242567891011121314151716181921202223261415181920[[#This Row],[Stand Bruisend liter vorige maand]]</f>
        <v>12.2</v>
      </c>
      <c r="AO59" s="121">
        <f>Tabel242567891011121314151716181921202223261415181920[[#This Row],[Verbruik Bruisend liter deze maand]]/0.15</f>
        <v>81.333333333333329</v>
      </c>
      <c r="AP59" s="120">
        <v>3.1</v>
      </c>
      <c r="AQ59" s="49">
        <v>0</v>
      </c>
      <c r="AR59" s="49">
        <f>Tabel242567891011121314151716181921202223261415181920[[#This Row],[Stand licht bruisend liter einde maand]]-Tabel242567891011121314151716181921202223261415181920[[#This Row],[Stand licht bruisend liter vorige maand]]</f>
        <v>3.1</v>
      </c>
      <c r="AS59" s="121">
        <f>Tabel242567891011121314151716181921202223261415181920[[#This Row],[Verbruik licht bruisend liter deze maand]]/0.15</f>
        <v>20.666666666666668</v>
      </c>
      <c r="AT59" s="120">
        <v>31.6</v>
      </c>
      <c r="AU59" s="49">
        <v>0</v>
      </c>
      <c r="AV59" s="49">
        <f>Tabel242567891011121314151716181921202223261415181920[[#This Row],[Stand heet water liter einde maand]]-Tabel242567891011121314151716181921202223261415181920[[#This Row],[Stand heet water liter vorige maand]]</f>
        <v>31.6</v>
      </c>
      <c r="AW59" s="121">
        <f>Tabel242567891011121314151716181921202223261415181920[[#This Row],[Verbruik heet Water liter deze maand ]]/0.15</f>
        <v>210.66666666666669</v>
      </c>
      <c r="AX59" s="77">
        <f>Tabel242567891011121314151716181921202223261415181920[[#This Row],[Aantal consumpties heet water deze maand]]+Tabel242567891011121314151716181921202223261415181920[[#This Row],[Aantal consumpties licht bruisend water deze maand]]+Tabel242567891011121314151716181921202223261415181920[[#This Row],[aantal consumpties Bruisend water deze maand]]+Tabel242567891011121314151716181921202223261415181920[[#This Row],[Aantal consumpties gekoeld water deze maand]]+Tabel242567891011121314151716181921202223261415181920[[#This Row],[Aantal consumpties Kamertemp deze maand]]</f>
        <v>469.33333333333337</v>
      </c>
      <c r="AY59" s="95">
        <f>Tabel242567891011121314151716181921202223261415181920[[#This Row],[Subtotaal waterbar in consumpties]]+Tabel242567891011121314151716181921202223261415181920[[#This Row],[Subtotaal koffieautomaten]]</f>
        <v>1462.3333333333335</v>
      </c>
    </row>
    <row r="60" spans="1:130" ht="14.45" customHeight="1" x14ac:dyDescent="0.25">
      <c r="A60" s="65" t="s">
        <v>58</v>
      </c>
      <c r="B60" t="s">
        <v>107</v>
      </c>
      <c r="C60" t="s">
        <v>31</v>
      </c>
      <c r="E60">
        <v>14764</v>
      </c>
      <c r="F60">
        <f>augustus2025!E60</f>
        <v>14294</v>
      </c>
      <c r="G60">
        <f>Tabel242567891011121314151716181921202223261415181920[[#This Row],[Stand Coffee einde maand]]-Tabel242567891011121314151716181921202223261415181920[[#This Row],[Coffee vorige maand]]</f>
        <v>470</v>
      </c>
      <c r="H60" s="53">
        <v>2925</v>
      </c>
      <c r="I60">
        <f>augustus2025!H60</f>
        <v>2775</v>
      </c>
      <c r="J60">
        <f>Tabel242567891011121314151716181921202223261415181920[[#This Row],[Stand Espresso Einde maand]]-Tabel242567891011121314151716181921202223261415181920[[#This Row],[Espresso vorige maand]]</f>
        <v>150</v>
      </c>
      <c r="K60" s="53">
        <v>2243</v>
      </c>
      <c r="L60">
        <f>augustus2025!K60</f>
        <v>2180</v>
      </c>
      <c r="M60">
        <f>Tabel242567891011121314151716181921202223261415181920[[#This Row],[Stand Latte Macchiato einde maand]]-Tabel242567891011121314151716181921202223261415181920[[#This Row],[Latte Macchiato vorige maand]]</f>
        <v>63</v>
      </c>
      <c r="N60" s="53">
        <v>392</v>
      </c>
      <c r="O60">
        <f>augustus2025!N60</f>
        <v>377</v>
      </c>
      <c r="P60">
        <f>Tabel242567891011121314151716181921202223261415181920[[#This Row],[Stand Coffee Latte einde maand]]-Tabel242567891011121314151716181921202223261415181920[[#This Row],[Coffee Latte vorige maand]]</f>
        <v>15</v>
      </c>
      <c r="Q60" s="53">
        <v>27641</v>
      </c>
      <c r="R60">
        <f>augustus2025!Q60</f>
        <v>27015</v>
      </c>
      <c r="S60">
        <f>Tabel242567891011121314151716181921202223261415181920[[#This Row],[Stand Hot Water einde maand]]-Tabel242567891011121314151716181921202223261415181920[[#This Row],[Hot Water vorige maand]]</f>
        <v>626</v>
      </c>
      <c r="T60" s="53">
        <v>3937</v>
      </c>
      <c r="U60">
        <f>augustus2025!T60</f>
        <v>3837</v>
      </c>
      <c r="V60">
        <f>Tabel242567891011121314151716181921202223261415181920[[#This Row],[Stand Cappucino einde maand]]-Tabel242567891011121314151716181921202223261415181920[[#This Row],[Stand Cappucino vorige maand]]</f>
        <v>100</v>
      </c>
      <c r="W60" s="53">
        <v>2553</v>
      </c>
      <c r="X60">
        <f>augustus2025!W60</f>
        <v>2492</v>
      </c>
      <c r="Y60">
        <f>Tabel242567891011121314151716181921202223261415181920[[#This Row],[Stand Cappucino Plantaardig einde maand]]-Tabel242567891011121314151716181921202223261415181920[[#This Row],[Stand Cappucino Plantaardig vorige maand]]</f>
        <v>61</v>
      </c>
      <c r="Z60" s="53">
        <v>491</v>
      </c>
      <c r="AA60">
        <f>augustus2025!Z60</f>
        <v>489</v>
      </c>
      <c r="AB60">
        <f>Tabel242567891011121314151716181921202223261415181920[[#This Row],[Stand Latte Macchiato Plantaardig einde maand]]-Tabel242567891011121314151716181921202223261415181920[[#This Row],[Stand Latte Macchiato Plantaardig vorige maand]]</f>
        <v>2</v>
      </c>
      <c r="AC60" s="71">
        <f>Tabel242567891011121314151716181921202223261415181920[[#This Row],[Verbruik Stand Latte Macchiato Plantaardig deze maand]]+Tabel242567891011121314151716181921202223261415181920[[#This Row],[Verbruik  Cappucino Plantaardig deze maand]]+Tabel242567891011121314151716181921202223261415181920[[#This Row],[Verbruik Cappucino deze maand]]+Tabel242567891011121314151716181921202223261415181920[[#This Row],[Verbruik Hot Water deze maand]]+Tabel242567891011121314151716181921202223261415181920[[#This Row],[Verbruik Coffee Latte deze maand]]+Tabel242567891011121314151716181921202223261415181920[[#This Row],[Verbruik Latte Macchiato deze maand]]+Tabel242567891011121314151716181921202223261415181920[[#This Row],[Verbruik Espresso deze maand]]+Tabel242567891011121314151716181921202223261415181920[[#This Row],[Verbruik Coffee deze maand]]</f>
        <v>1487</v>
      </c>
      <c r="AD60" s="69"/>
      <c r="AE60" s="41"/>
      <c r="AF60" s="5"/>
      <c r="AG60" s="5"/>
      <c r="AH60" s="75"/>
      <c r="AI60" s="41"/>
      <c r="AJ60" s="5"/>
      <c r="AK60" s="5"/>
      <c r="AL60" s="75"/>
      <c r="AM60" s="41"/>
      <c r="AN60" s="5"/>
      <c r="AO60" s="5"/>
      <c r="AP60" s="75"/>
      <c r="AQ60" s="41"/>
      <c r="AR60" s="5"/>
      <c r="AS60" s="5"/>
      <c r="AT60" s="75"/>
      <c r="AU60" s="41"/>
      <c r="AV60" s="5"/>
      <c r="AW60" s="5"/>
      <c r="AX60" s="79"/>
      <c r="AY60" s="95">
        <f>Tabel242567891011121314151716181921202223261415181920[[#This Row],[Subtotaal waterbar in consumpties]]+Tabel242567891011121314151716181921202223261415181920[[#This Row],[Subtotaal koffieautomaten]]</f>
        <v>1487</v>
      </c>
    </row>
    <row r="61" spans="1:130" ht="14.45" customHeight="1" x14ac:dyDescent="0.25">
      <c r="A61" s="65" t="s">
        <v>60</v>
      </c>
      <c r="B61" t="s">
        <v>108</v>
      </c>
      <c r="C61" t="s">
        <v>36</v>
      </c>
      <c r="E61" s="46"/>
      <c r="F61" s="46"/>
      <c r="G61" s="47"/>
      <c r="H61" s="54"/>
      <c r="I61" s="46"/>
      <c r="J61" s="47"/>
      <c r="K61" s="54"/>
      <c r="L61" s="46"/>
      <c r="M61" s="47"/>
      <c r="N61" s="54"/>
      <c r="O61" s="46"/>
      <c r="P61" s="47"/>
      <c r="Q61" s="54"/>
      <c r="R61" s="46"/>
      <c r="S61" s="47"/>
      <c r="T61" s="54"/>
      <c r="U61" s="46"/>
      <c r="V61" s="47"/>
      <c r="W61" s="54"/>
      <c r="X61" s="46"/>
      <c r="Y61" s="47"/>
      <c r="Z61" s="54"/>
      <c r="AA61" s="46"/>
      <c r="AB61" s="47"/>
      <c r="AC61" s="72"/>
      <c r="AD61" s="53">
        <v>361.9</v>
      </c>
      <c r="AE61">
        <f>augustus2025!AD61</f>
        <v>0</v>
      </c>
      <c r="AF61">
        <f>Tabel242567891011121314151716181921202223261415181920[[#This Row],[Stand Kamertemp liter einde maand]]-Tabel242567891011121314151716181921202223261415181920[[#This Row],[Stand Kamertemp liter vorige maand]]</f>
        <v>361.9</v>
      </c>
      <c r="AG61" s="2">
        <f>Tabel242567891011121314151716181921202223261415181920[[#This Row],[Verbruik Kamertemp liter deze maand]]/0.15</f>
        <v>2412.6666666666665</v>
      </c>
      <c r="AH61" s="53">
        <v>2002.5</v>
      </c>
      <c r="AI61">
        <f>augustus2025!AH61</f>
        <v>0</v>
      </c>
      <c r="AJ61">
        <f>Tabel242567891011121314151716181921202223261415181920[[#This Row],[Stand Gekoeld liter einde maand]]-Tabel242567891011121314151716181921202223261415181920[[#This Row],[Stand Gekoeld liter vorige maand]]</f>
        <v>2002.5</v>
      </c>
      <c r="AK61" s="2">
        <f>Tabel242567891011121314151716181921202223261415181920[[#This Row],[Verbruik Gekoeld liter deze maand]]/0.15</f>
        <v>13350</v>
      </c>
      <c r="AL61" s="53">
        <v>1000</v>
      </c>
      <c r="AM61">
        <f>augustus2025!AL61</f>
        <v>0</v>
      </c>
      <c r="AN61">
        <f>Tabel242567891011121314151716181921202223261415181920[[#This Row],[Stand Bruisend liter einde maand]]-Tabel242567891011121314151716181921202223261415181920[[#This Row],[Stand Bruisend liter vorige maand]]</f>
        <v>1000</v>
      </c>
      <c r="AO61" s="2">
        <f>Tabel242567891011121314151716181921202223261415181920[[#This Row],[Verbruik Bruisend liter deze maand]]/0.15</f>
        <v>6666.666666666667</v>
      </c>
      <c r="AP61" s="53">
        <v>1370.5</v>
      </c>
      <c r="AQ61">
        <f>augustus2025!AP61</f>
        <v>0</v>
      </c>
      <c r="AR61">
        <f>Tabel242567891011121314151716181921202223261415181920[[#This Row],[Stand licht bruisend liter einde maand]]-Tabel242567891011121314151716181921202223261415181920[[#This Row],[Stand licht bruisend liter vorige maand]]</f>
        <v>1370.5</v>
      </c>
      <c r="AS61" s="2">
        <f>Tabel242567891011121314151716181921202223261415181920[[#This Row],[Verbruik licht bruisend liter deze maand]]/0.15</f>
        <v>9136.6666666666679</v>
      </c>
      <c r="AT61" s="53">
        <v>4848.6000000000004</v>
      </c>
      <c r="AU61">
        <f>augustus2025!AT61</f>
        <v>0</v>
      </c>
      <c r="AV61">
        <f>Tabel242567891011121314151716181921202223261415181920[[#This Row],[Stand heet water liter einde maand]]-Tabel242567891011121314151716181921202223261415181920[[#This Row],[Stand heet water liter vorige maand]]</f>
        <v>4848.6000000000004</v>
      </c>
      <c r="AW61" s="2">
        <f>Tabel242567891011121314151716181921202223261415181920[[#This Row],[Verbruik heet Water liter deze maand ]]/0.15</f>
        <v>32324.000000000004</v>
      </c>
      <c r="AX61" s="77">
        <f>Tabel242567891011121314151716181921202223261415181920[[#This Row],[Aantal consumpties heet water deze maand]]+Tabel242567891011121314151716181921202223261415181920[[#This Row],[Aantal consumpties licht bruisend water deze maand]]+Tabel242567891011121314151716181921202223261415181920[[#This Row],[aantal consumpties Bruisend water deze maand]]+Tabel242567891011121314151716181921202223261415181920[[#This Row],[Aantal consumpties gekoeld water deze maand]]+Tabel242567891011121314151716181921202223261415181920[[#This Row],[Aantal consumpties Kamertemp deze maand]]</f>
        <v>63890</v>
      </c>
      <c r="AY61" s="95">
        <f>Tabel242567891011121314151716181921202223261415181920[[#This Row],[Subtotaal waterbar in consumpties]]+Tabel242567891011121314151716181921202223261415181920[[#This Row],[Subtotaal koffieautomaten]]</f>
        <v>63890</v>
      </c>
    </row>
    <row r="62" spans="1:130" s="81" customFormat="1" x14ac:dyDescent="0.25">
      <c r="A62" s="165" t="s">
        <v>109</v>
      </c>
      <c r="B62" s="151"/>
      <c r="C62" s="151"/>
      <c r="D62" s="166"/>
      <c r="E62" s="151"/>
      <c r="F62" s="151"/>
      <c r="G62" s="151"/>
      <c r="H62" s="167"/>
      <c r="I62" s="151"/>
      <c r="J62" s="151"/>
      <c r="K62" s="167"/>
      <c r="L62" s="151"/>
      <c r="M62" s="151"/>
      <c r="N62" s="167"/>
      <c r="O62" s="151"/>
      <c r="P62" s="151"/>
      <c r="Q62" s="167"/>
      <c r="R62" s="151"/>
      <c r="S62" s="151"/>
      <c r="T62" s="167"/>
      <c r="U62" s="151"/>
      <c r="V62" s="151"/>
      <c r="W62" s="167"/>
      <c r="X62" s="151"/>
      <c r="Y62" s="151"/>
      <c r="Z62" s="167"/>
      <c r="AA62" s="151"/>
      <c r="AB62" s="151"/>
      <c r="AC62" s="168"/>
      <c r="AD62" s="169"/>
      <c r="AE62" s="154"/>
      <c r="AF62" s="151"/>
      <c r="AG62" s="155"/>
      <c r="AH62" s="169"/>
      <c r="AI62" s="154"/>
      <c r="AJ62" s="151"/>
      <c r="AK62" s="155"/>
      <c r="AL62" s="169"/>
      <c r="AM62" s="154"/>
      <c r="AN62" s="151"/>
      <c r="AO62" s="155"/>
      <c r="AP62" s="169"/>
      <c r="AQ62" s="154"/>
      <c r="AR62" s="151"/>
      <c r="AS62" s="155"/>
      <c r="AT62" s="169"/>
      <c r="AU62" s="154"/>
      <c r="AV62" s="151"/>
      <c r="AW62" s="155"/>
      <c r="AX62" s="170"/>
      <c r="AY62" s="171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</row>
    <row r="63" spans="1:130" x14ac:dyDescent="0.25">
      <c r="A63" s="67">
        <v>1</v>
      </c>
      <c r="B63" t="s">
        <v>110</v>
      </c>
      <c r="C63" t="s">
        <v>31</v>
      </c>
      <c r="E63">
        <v>12779</v>
      </c>
      <c r="F63">
        <f>augustus2025!E63</f>
        <v>12395</v>
      </c>
      <c r="G63">
        <f>Tabel242567891011121314151716181921202223261415181920[[#This Row],[Stand Coffee einde maand]]-Tabel242567891011121314151716181921202223261415181920[[#This Row],[Coffee vorige maand]]</f>
        <v>384</v>
      </c>
      <c r="H63" s="53">
        <v>1708</v>
      </c>
      <c r="I63">
        <f>augustus2025!H63</f>
        <v>1679</v>
      </c>
      <c r="J63">
        <f>Tabel242567891011121314151716181921202223261415181920[[#This Row],[Stand Espresso Einde maand]]-Tabel242567891011121314151716181921202223261415181920[[#This Row],[Espresso vorige maand]]</f>
        <v>29</v>
      </c>
      <c r="K63" s="53">
        <v>1160</v>
      </c>
      <c r="L63">
        <f>augustus2025!K63</f>
        <v>1146</v>
      </c>
      <c r="M63">
        <f>Tabel242567891011121314151716181921202223261415181920[[#This Row],[Stand Latte Macchiato einde maand]]-Tabel242567891011121314151716181921202223261415181920[[#This Row],[Latte Macchiato vorige maand]]</f>
        <v>14</v>
      </c>
      <c r="N63" s="53">
        <v>532</v>
      </c>
      <c r="O63">
        <f>augustus2025!N63</f>
        <v>531</v>
      </c>
      <c r="P63">
        <f>Tabel242567891011121314151716181921202223261415181920[[#This Row],[Stand Coffee Latte einde maand]]-Tabel242567891011121314151716181921202223261415181920[[#This Row],[Coffee Latte vorige maand]]</f>
        <v>1</v>
      </c>
      <c r="Q63" s="53">
        <v>11168</v>
      </c>
      <c r="R63">
        <f>augustus2025!Q63</f>
        <v>10783</v>
      </c>
      <c r="S63">
        <f>Tabel242567891011121314151716181921202223261415181920[[#This Row],[Stand Hot Water einde maand]]-Tabel242567891011121314151716181921202223261415181920[[#This Row],[Hot Water vorige maand]]</f>
        <v>385</v>
      </c>
      <c r="T63" s="53">
        <v>4460</v>
      </c>
      <c r="U63">
        <f>augustus2025!T63</f>
        <v>4337</v>
      </c>
      <c r="V63">
        <f>Tabel242567891011121314151716181921202223261415181920[[#This Row],[Stand Cappucino einde maand]]-Tabel242567891011121314151716181921202223261415181920[[#This Row],[Stand Cappucino vorige maand]]</f>
        <v>123</v>
      </c>
      <c r="W63" s="53">
        <v>62</v>
      </c>
      <c r="X63">
        <f>augustus2025!W63</f>
        <v>59</v>
      </c>
      <c r="Y63">
        <f>Tabel242567891011121314151716181921202223261415181920[[#This Row],[Stand Cappucino Plantaardig einde maand]]-Tabel242567891011121314151716181921202223261415181920[[#This Row],[Stand Cappucino Plantaardig vorige maand]]</f>
        <v>3</v>
      </c>
      <c r="Z63" s="53">
        <v>255</v>
      </c>
      <c r="AA63">
        <f>augustus2025!Z63</f>
        <v>250</v>
      </c>
      <c r="AB63">
        <f>Tabel242567891011121314151716181921202223261415181920[[#This Row],[Stand Latte Macchiato Plantaardig einde maand]]-Tabel242567891011121314151716181921202223261415181920[[#This Row],[Stand Latte Macchiato Plantaardig vorige maand]]</f>
        <v>5</v>
      </c>
      <c r="AC63" s="71">
        <f>Tabel242567891011121314151716181921202223261415181920[[#This Row],[Verbruik Stand Latte Macchiato Plantaardig deze maand]]+Tabel242567891011121314151716181921202223261415181920[[#This Row],[Verbruik  Cappucino Plantaardig deze maand]]+Tabel242567891011121314151716181921202223261415181920[[#This Row],[Verbruik Cappucino deze maand]]+Tabel242567891011121314151716181921202223261415181920[[#This Row],[Verbruik Hot Water deze maand]]+Tabel242567891011121314151716181921202223261415181920[[#This Row],[Verbruik Coffee Latte deze maand]]+Tabel242567891011121314151716181921202223261415181920[[#This Row],[Verbruik Latte Macchiato deze maand]]+Tabel242567891011121314151716181921202223261415181920[[#This Row],[Verbruik Espresso deze maand]]+Tabel242567891011121314151716181921202223261415181920[[#This Row],[Verbruik Coffee deze maand]]</f>
        <v>944</v>
      </c>
      <c r="AD63" s="69"/>
      <c r="AE63" s="41"/>
      <c r="AF63" s="5"/>
      <c r="AG63" s="5"/>
      <c r="AH63" s="69"/>
      <c r="AI63" s="41"/>
      <c r="AJ63" s="5"/>
      <c r="AK63" s="5"/>
      <c r="AL63" s="69"/>
      <c r="AM63" s="41"/>
      <c r="AN63" s="5"/>
      <c r="AO63" s="5"/>
      <c r="AP63" s="69"/>
      <c r="AQ63" s="41"/>
      <c r="AR63" s="5"/>
      <c r="AS63" s="5"/>
      <c r="AT63" s="69"/>
      <c r="AU63" s="41"/>
      <c r="AV63" s="5"/>
      <c r="AW63" s="7"/>
      <c r="AX63" s="78"/>
      <c r="AY63" s="95">
        <f>Tabel242567891011121314151716181921202223261415181920[[#This Row],[Subtotaal waterbar in consumpties]]+Tabel242567891011121314151716181921202223261415181920[[#This Row],[Subtotaal koffieautomaten]]</f>
        <v>944</v>
      </c>
    </row>
    <row r="64" spans="1:130" x14ac:dyDescent="0.25">
      <c r="A64" s="67">
        <v>1</v>
      </c>
      <c r="B64" t="s">
        <v>111</v>
      </c>
      <c r="C64" t="s">
        <v>31</v>
      </c>
      <c r="E64">
        <v>13385</v>
      </c>
      <c r="F64">
        <f>augustus2025!E64</f>
        <v>12925</v>
      </c>
      <c r="G64">
        <f>Tabel242567891011121314151716181921202223261415181920[[#This Row],[Stand Coffee einde maand]]-Tabel242567891011121314151716181921202223261415181920[[#This Row],[Coffee vorige maand]]</f>
        <v>460</v>
      </c>
      <c r="H64" s="53">
        <v>724</v>
      </c>
      <c r="I64">
        <f>augustus2025!H64</f>
        <v>680</v>
      </c>
      <c r="J64">
        <f>Tabel242567891011121314151716181921202223261415181920[[#This Row],[Stand Espresso Einde maand]]-Tabel242567891011121314151716181921202223261415181920[[#This Row],[Espresso vorige maand]]</f>
        <v>44</v>
      </c>
      <c r="K64" s="53">
        <v>2295</v>
      </c>
      <c r="L64">
        <f>augustus2025!K64</f>
        <v>2259</v>
      </c>
      <c r="M64">
        <f>Tabel242567891011121314151716181921202223261415181920[[#This Row],[Stand Latte Macchiato einde maand]]-Tabel242567891011121314151716181921202223261415181920[[#This Row],[Latte Macchiato vorige maand]]</f>
        <v>36</v>
      </c>
      <c r="N64" s="53">
        <v>1341</v>
      </c>
      <c r="O64">
        <f>augustus2025!N64</f>
        <v>1340</v>
      </c>
      <c r="P64">
        <f>Tabel242567891011121314151716181921202223261415181920[[#This Row],[Stand Coffee Latte einde maand]]-Tabel242567891011121314151716181921202223261415181920[[#This Row],[Coffee Latte vorige maand]]</f>
        <v>1</v>
      </c>
      <c r="Q64" s="53">
        <v>10930</v>
      </c>
      <c r="R64">
        <f>augustus2025!Q64</f>
        <v>10641</v>
      </c>
      <c r="S64">
        <f>Tabel242567891011121314151716181921202223261415181920[[#This Row],[Stand Hot Water einde maand]]-Tabel242567891011121314151716181921202223261415181920[[#This Row],[Hot Water vorige maand]]</f>
        <v>289</v>
      </c>
      <c r="T64" s="53">
        <v>4072</v>
      </c>
      <c r="U64">
        <f>augustus2025!T64</f>
        <v>3854</v>
      </c>
      <c r="V64">
        <f>Tabel242567891011121314151716181921202223261415181920[[#This Row],[Stand Cappucino einde maand]]-Tabel242567891011121314151716181921202223261415181920[[#This Row],[Stand Cappucino vorige maand]]</f>
        <v>218</v>
      </c>
      <c r="W64" s="53">
        <v>299</v>
      </c>
      <c r="X64">
        <f>augustus2025!W64</f>
        <v>292</v>
      </c>
      <c r="Y64">
        <f>Tabel242567891011121314151716181921202223261415181920[[#This Row],[Stand Cappucino Plantaardig einde maand]]-Tabel242567891011121314151716181921202223261415181920[[#This Row],[Stand Cappucino Plantaardig vorige maand]]</f>
        <v>7</v>
      </c>
      <c r="Z64" s="53">
        <v>344</v>
      </c>
      <c r="AA64">
        <f>augustus2025!Z64</f>
        <v>341</v>
      </c>
      <c r="AB64">
        <f>Tabel242567891011121314151716181921202223261415181920[[#This Row],[Stand Latte Macchiato Plantaardig einde maand]]-Tabel242567891011121314151716181921202223261415181920[[#This Row],[Stand Latte Macchiato Plantaardig vorige maand]]</f>
        <v>3</v>
      </c>
      <c r="AC64" s="71">
        <f>Tabel242567891011121314151716181921202223261415181920[[#This Row],[Verbruik Stand Latte Macchiato Plantaardig deze maand]]+Tabel242567891011121314151716181921202223261415181920[[#This Row],[Verbruik  Cappucino Plantaardig deze maand]]+Tabel242567891011121314151716181921202223261415181920[[#This Row],[Verbruik Cappucino deze maand]]+Tabel242567891011121314151716181921202223261415181920[[#This Row],[Verbruik Hot Water deze maand]]+Tabel242567891011121314151716181921202223261415181920[[#This Row],[Verbruik Coffee Latte deze maand]]+Tabel242567891011121314151716181921202223261415181920[[#This Row],[Verbruik Latte Macchiato deze maand]]+Tabel242567891011121314151716181921202223261415181920[[#This Row],[Verbruik Espresso deze maand]]+Tabel242567891011121314151716181921202223261415181920[[#This Row],[Verbruik Coffee deze maand]]</f>
        <v>1058</v>
      </c>
      <c r="AD64" s="69"/>
      <c r="AE64" s="41"/>
      <c r="AF64" s="5"/>
      <c r="AG64" s="5"/>
      <c r="AH64" s="69"/>
      <c r="AI64" s="41"/>
      <c r="AJ64" s="5"/>
      <c r="AK64" s="5"/>
      <c r="AL64" s="69"/>
      <c r="AM64" s="41"/>
      <c r="AN64" s="5"/>
      <c r="AO64" s="5"/>
      <c r="AP64" s="69"/>
      <c r="AQ64" s="41"/>
      <c r="AR64" s="5"/>
      <c r="AS64" s="5"/>
      <c r="AT64" s="69"/>
      <c r="AU64" s="41"/>
      <c r="AV64" s="5"/>
      <c r="AW64" s="7"/>
      <c r="AX64" s="78"/>
      <c r="AY64" s="95">
        <f>Tabel242567891011121314151716181921202223261415181920[[#This Row],[Subtotaal waterbar in consumpties]]+Tabel242567891011121314151716181921202223261415181920[[#This Row],[Subtotaal koffieautomaten]]</f>
        <v>1058</v>
      </c>
    </row>
    <row r="65" spans="1:53" x14ac:dyDescent="0.25">
      <c r="A65" s="66" t="s">
        <v>112</v>
      </c>
      <c r="E65" s="3">
        <f>SUM(E5:E64)</f>
        <v>813038</v>
      </c>
      <c r="F65" s="3">
        <f>SUM(F5:F64)</f>
        <v>785932</v>
      </c>
      <c r="G65" s="3">
        <f>SUM(G4:G64)</f>
        <v>27106</v>
      </c>
      <c r="H65" s="55">
        <f>SUM(H5:H64)</f>
        <v>213397</v>
      </c>
      <c r="I65" s="3">
        <f>SUM(I5:I64)</f>
        <v>205275</v>
      </c>
      <c r="J65" s="3">
        <f>SUM(J4:J64)</f>
        <v>8122</v>
      </c>
      <c r="K65" s="55">
        <f>SUM(K5:K64)</f>
        <v>93816</v>
      </c>
      <c r="L65" s="3">
        <f>SUM(L5:L64)</f>
        <v>91081</v>
      </c>
      <c r="M65" s="3">
        <f>SUM(M4:M64)</f>
        <v>2735</v>
      </c>
      <c r="N65" s="55">
        <f>SUM(N5:N64)</f>
        <v>55980</v>
      </c>
      <c r="O65" s="3">
        <f>SUM(O5:O64)</f>
        <v>54002</v>
      </c>
      <c r="P65" s="3">
        <f>SUM(P4:P64)</f>
        <v>1978</v>
      </c>
      <c r="Q65" s="55">
        <f>SUM(Q5:Q64)</f>
        <v>975105</v>
      </c>
      <c r="R65" s="3">
        <f>SUM(R5:R64)</f>
        <v>942748</v>
      </c>
      <c r="S65" s="3">
        <f>SUM(S4:S64)</f>
        <v>32357</v>
      </c>
      <c r="T65" s="55">
        <f>SUM(T5:T64)</f>
        <v>435955</v>
      </c>
      <c r="U65" s="3">
        <f>SUM(U5:U64)</f>
        <v>422977</v>
      </c>
      <c r="V65" s="3">
        <f>SUM(V4:V64)</f>
        <v>12978</v>
      </c>
      <c r="W65" s="55">
        <f>SUM(W5:W64)</f>
        <v>78290</v>
      </c>
      <c r="X65" s="3">
        <f>SUM(X5:X64)</f>
        <v>76243</v>
      </c>
      <c r="Y65" s="3">
        <f>SUM(Y4:Y64)</f>
        <v>2047</v>
      </c>
      <c r="Z65" s="55">
        <f>SUM(Z5:Z64)</f>
        <v>29227</v>
      </c>
      <c r="AA65" s="3">
        <f>SUM(AA5:AA64)</f>
        <v>28283</v>
      </c>
      <c r="AB65" s="3">
        <f t="shared" ref="AB65:AQ65" si="0">SUM(AB4:AB64)</f>
        <v>944</v>
      </c>
      <c r="AC65" s="71">
        <f t="shared" si="0"/>
        <v>88267</v>
      </c>
      <c r="AD65" s="55">
        <f t="shared" si="0"/>
        <v>6079.8000000000011</v>
      </c>
      <c r="AE65" s="3">
        <f t="shared" si="0"/>
        <v>5232.5999999999995</v>
      </c>
      <c r="AF65" s="4">
        <f t="shared" si="0"/>
        <v>847.2</v>
      </c>
      <c r="AG65" s="4">
        <f t="shared" si="0"/>
        <v>5648</v>
      </c>
      <c r="AH65" s="76"/>
      <c r="AI65" s="4">
        <f t="shared" si="0"/>
        <v>30859.199999999997</v>
      </c>
      <c r="AJ65" s="4">
        <f t="shared" si="0"/>
        <v>5240.6000000000004</v>
      </c>
      <c r="AK65" s="4">
        <f t="shared" si="0"/>
        <v>34937.333333333328</v>
      </c>
      <c r="AL65" s="76">
        <f t="shared" si="0"/>
        <v>24736.100000000002</v>
      </c>
      <c r="AM65" s="4">
        <f t="shared" si="0"/>
        <v>21707.699999999993</v>
      </c>
      <c r="AN65" s="4">
        <f t="shared" si="0"/>
        <v>3028.3999999999996</v>
      </c>
      <c r="AO65" s="4">
        <f t="shared" si="0"/>
        <v>20189.333333333336</v>
      </c>
      <c r="AP65" s="76">
        <f t="shared" si="0"/>
        <v>9889.1</v>
      </c>
      <c r="AQ65" s="4">
        <f t="shared" si="0"/>
        <v>7770.6</v>
      </c>
      <c r="AR65" s="3">
        <f>SUM(AR5:AR64)</f>
        <v>2118.5</v>
      </c>
      <c r="AS65" s="4">
        <f>SUM(AS4:AS64)</f>
        <v>14123.333333333336</v>
      </c>
      <c r="AT65" s="76">
        <f>SUM(AT4:AT64)</f>
        <v>71349.10000000002</v>
      </c>
      <c r="AU65" s="4">
        <f>SUM(AU4:AU64)</f>
        <v>60620.9</v>
      </c>
      <c r="AV65" s="3">
        <f>SUM(AV5:AV64)</f>
        <v>10728.2</v>
      </c>
      <c r="AW65" s="4">
        <f>SUM(AW4:AW64)</f>
        <v>71521.333333333343</v>
      </c>
      <c r="AX65" s="77">
        <f>SUM(AX4:AX64)</f>
        <v>146419.33333333337</v>
      </c>
      <c r="AY65" s="95">
        <f>Tabel242567891011121314151716181921202223261415181920[[#This Row],[Subtotaal waterbar in consumpties]]+Tabel242567891011121314151716181921202223261415181920[[#This Row],[Subtotaal koffieautomaten]]</f>
        <v>234686.33333333337</v>
      </c>
    </row>
    <row r="66" spans="1:53" x14ac:dyDescent="0.25">
      <c r="A66" s="91"/>
      <c r="B66" s="57"/>
      <c r="C66" s="57"/>
      <c r="D66" s="58"/>
      <c r="E66" s="57"/>
      <c r="F66" s="57"/>
      <c r="G66" s="57"/>
      <c r="H66" s="56"/>
      <c r="I66" s="57"/>
      <c r="J66" s="57"/>
      <c r="K66" s="56"/>
      <c r="L66" s="57"/>
      <c r="M66" s="57"/>
      <c r="N66" s="56"/>
      <c r="O66" s="57"/>
      <c r="P66" s="57"/>
      <c r="Q66" s="56"/>
      <c r="R66" s="57"/>
      <c r="S66" s="57"/>
      <c r="T66" s="56"/>
      <c r="U66" s="57"/>
      <c r="V66" s="57"/>
      <c r="W66" s="56"/>
      <c r="X66" s="57"/>
      <c r="Y66" s="57"/>
      <c r="Z66" s="56"/>
      <c r="AA66" s="57"/>
      <c r="AB66" s="57"/>
      <c r="AC66" s="90"/>
      <c r="AD66" s="56"/>
      <c r="AE66" s="57"/>
      <c r="AF66" s="57"/>
      <c r="AG66" s="57"/>
      <c r="AH66" s="56"/>
      <c r="AI66" s="57"/>
      <c r="AJ66" s="57"/>
      <c r="AK66" s="57"/>
      <c r="AL66" s="56"/>
      <c r="AM66" s="57"/>
      <c r="AN66" s="57"/>
      <c r="AO66" s="57"/>
      <c r="AP66" s="56"/>
      <c r="AQ66" s="57"/>
      <c r="AR66" s="57"/>
      <c r="AS66" s="57"/>
      <c r="AT66" s="56"/>
      <c r="AU66" s="57"/>
      <c r="AV66" s="57"/>
      <c r="AW66" s="57"/>
      <c r="AX66" s="92"/>
      <c r="AY66" s="96"/>
    </row>
    <row r="67" spans="1:53" x14ac:dyDescent="0.25">
      <c r="A67"/>
      <c r="D67"/>
      <c r="K67"/>
      <c r="N67"/>
      <c r="Q67"/>
      <c r="T67"/>
      <c r="W67"/>
      <c r="Z67"/>
      <c r="AC67"/>
      <c r="AD67"/>
      <c r="AH67"/>
      <c r="AL67"/>
      <c r="AP67"/>
      <c r="AT67"/>
      <c r="AX67"/>
      <c r="AY67"/>
    </row>
    <row r="68" spans="1:53" x14ac:dyDescent="0.25">
      <c r="A68"/>
      <c r="D68"/>
      <c r="K68"/>
      <c r="N68"/>
      <c r="Q68"/>
      <c r="T68"/>
      <c r="W68"/>
      <c r="Z68"/>
      <c r="AC68"/>
      <c r="AD68"/>
      <c r="AH68"/>
      <c r="AL68"/>
      <c r="AP68"/>
      <c r="AT68"/>
      <c r="AX68"/>
      <c r="AY68" s="2"/>
      <c r="AZ68" s="2"/>
    </row>
    <row r="69" spans="1:53" x14ac:dyDescent="0.25">
      <c r="A69" s="49"/>
      <c r="B69" t="s">
        <v>166</v>
      </c>
      <c r="D69"/>
      <c r="K69"/>
      <c r="N69"/>
      <c r="Q69"/>
      <c r="T69"/>
      <c r="W69"/>
      <c r="Z69"/>
      <c r="AC69"/>
      <c r="AD69"/>
      <c r="AH69"/>
      <c r="AL69"/>
      <c r="AP69"/>
      <c r="AT69"/>
      <c r="AX69"/>
      <c r="AY69" s="4"/>
      <c r="AZ69" s="4"/>
      <c r="BA69" s="48"/>
    </row>
    <row r="70" spans="1:53" x14ac:dyDescent="0.25">
      <c r="A70" s="50"/>
      <c r="B70" t="s">
        <v>167</v>
      </c>
      <c r="D70"/>
      <c r="K70"/>
      <c r="N70"/>
      <c r="Q70"/>
      <c r="T70"/>
      <c r="W70"/>
      <c r="Z70"/>
      <c r="AC70"/>
      <c r="AD70"/>
      <c r="AH70"/>
      <c r="AL70"/>
      <c r="AP70"/>
      <c r="AT70"/>
      <c r="AX70"/>
      <c r="AY70" s="3"/>
      <c r="AZ70" s="4"/>
      <c r="BA70" s="48"/>
    </row>
    <row r="71" spans="1:53" x14ac:dyDescent="0.25">
      <c r="A71"/>
      <c r="D71"/>
      <c r="K71"/>
      <c r="N71"/>
      <c r="Q71"/>
      <c r="T71"/>
      <c r="W71"/>
      <c r="Z71"/>
      <c r="AC71"/>
      <c r="AD71"/>
      <c r="AH71"/>
      <c r="AL71"/>
      <c r="AP71"/>
      <c r="AT71"/>
      <c r="AX71"/>
      <c r="AY71"/>
      <c r="AZ71" s="2"/>
    </row>
    <row r="72" spans="1:53" x14ac:dyDescent="0.25">
      <c r="A72"/>
      <c r="D72"/>
      <c r="K72"/>
      <c r="N72"/>
      <c r="Q72"/>
      <c r="T72"/>
      <c r="W72"/>
      <c r="Z72"/>
      <c r="AC72"/>
      <c r="AD72"/>
      <c r="AH72"/>
      <c r="AL72"/>
      <c r="AP72"/>
      <c r="AT72"/>
      <c r="AX72"/>
      <c r="AY72"/>
    </row>
    <row r="73" spans="1:53" x14ac:dyDescent="0.25">
      <c r="A73"/>
      <c r="D73"/>
      <c r="K73"/>
      <c r="N73"/>
      <c r="Q73"/>
      <c r="T73"/>
      <c r="W73"/>
      <c r="Z73"/>
      <c r="AC73"/>
      <c r="AD73"/>
      <c r="AH73"/>
      <c r="AL73"/>
      <c r="AP73"/>
      <c r="AT73"/>
      <c r="AX73"/>
      <c r="AY73"/>
    </row>
    <row r="74" spans="1:53" x14ac:dyDescent="0.25">
      <c r="A74"/>
      <c r="D74"/>
      <c r="K74"/>
      <c r="N74"/>
      <c r="Q74"/>
      <c r="T74"/>
      <c r="W74"/>
      <c r="Z74"/>
      <c r="AC74"/>
      <c r="AD74"/>
      <c r="AH74"/>
      <c r="AL74"/>
      <c r="AP74"/>
      <c r="AT74"/>
      <c r="AX74"/>
      <c r="AY74"/>
    </row>
    <row r="75" spans="1:53" x14ac:dyDescent="0.25">
      <c r="A75"/>
      <c r="D75"/>
      <c r="K75"/>
      <c r="N75"/>
      <c r="Q75"/>
      <c r="T75"/>
      <c r="W75"/>
      <c r="Z75"/>
      <c r="AC75"/>
      <c r="AD75"/>
      <c r="AH75"/>
      <c r="AL75"/>
      <c r="AP75"/>
      <c r="AT75"/>
      <c r="AX75"/>
      <c r="AY75"/>
    </row>
    <row r="76" spans="1:53" x14ac:dyDescent="0.25">
      <c r="A76"/>
      <c r="D76"/>
      <c r="K76"/>
      <c r="N76"/>
      <c r="Q76"/>
      <c r="T76"/>
      <c r="W76"/>
      <c r="Z76"/>
      <c r="AC76"/>
      <c r="AD76"/>
      <c r="AH76"/>
      <c r="AL76"/>
      <c r="AP76"/>
      <c r="AT76"/>
      <c r="AX76"/>
      <c r="AY76"/>
    </row>
    <row r="77" spans="1:53" x14ac:dyDescent="0.25">
      <c r="A77"/>
      <c r="D77"/>
      <c r="K77"/>
      <c r="N77"/>
      <c r="Q77"/>
      <c r="T77"/>
      <c r="W77"/>
      <c r="Z77"/>
      <c r="AC77"/>
      <c r="AD77"/>
      <c r="AH77"/>
      <c r="AL77"/>
      <c r="AP77"/>
      <c r="AT77"/>
      <c r="AX77"/>
      <c r="AY77"/>
    </row>
    <row r="78" spans="1:53" x14ac:dyDescent="0.25">
      <c r="A78"/>
      <c r="D78"/>
      <c r="K78"/>
      <c r="N78"/>
      <c r="Q78"/>
      <c r="T78"/>
      <c r="W78"/>
      <c r="Z78"/>
      <c r="AC78"/>
      <c r="AD78"/>
      <c r="AH78"/>
      <c r="AL78"/>
      <c r="AP78"/>
      <c r="AT78"/>
      <c r="AX78"/>
      <c r="AY78"/>
    </row>
    <row r="79" spans="1:53" x14ac:dyDescent="0.25">
      <c r="A79"/>
      <c r="D79"/>
      <c r="K79"/>
      <c r="N79"/>
      <c r="Q79"/>
      <c r="T79"/>
      <c r="W79"/>
      <c r="Z79"/>
      <c r="AC79"/>
      <c r="AD79"/>
      <c r="AH79"/>
      <c r="AL79"/>
      <c r="AP79"/>
      <c r="AT79"/>
      <c r="AX79"/>
      <c r="AY79"/>
    </row>
    <row r="80" spans="1:53" x14ac:dyDescent="0.25">
      <c r="A80"/>
      <c r="D80"/>
      <c r="K80"/>
      <c r="N80"/>
      <c r="Q80"/>
      <c r="T80"/>
      <c r="W80"/>
      <c r="Z80"/>
      <c r="AC80"/>
      <c r="AD80"/>
      <c r="AH80"/>
      <c r="AL80"/>
      <c r="AP80"/>
      <c r="AT80"/>
      <c r="AX80"/>
      <c r="AY80"/>
    </row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</sheetData>
  <mergeCells count="2">
    <mergeCell ref="E1:AC1"/>
    <mergeCell ref="AD1:AY1"/>
  </mergeCells>
  <pageMargins left="0.7" right="0.7" top="0.75" bottom="0.75" header="0.3" footer="0.3"/>
  <legacyDrawing r:id="rId1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F4F8D-9A01-4586-8EAA-549F91952192}">
  <dimension ref="A1:DZ147"/>
  <sheetViews>
    <sheetView topLeftCell="AQ1" zoomScale="120" zoomScaleNormal="120" workbookViewId="0">
      <pane ySplit="2" topLeftCell="A49" activePane="bottomLeft" state="frozen"/>
      <selection pane="bottomLeft" activeCell="A3" sqref="A3:XFD3"/>
    </sheetView>
  </sheetViews>
  <sheetFormatPr defaultRowHeight="15" x14ac:dyDescent="0.25"/>
  <cols>
    <col min="1" max="1" width="32.140625" style="65" bestFit="1" customWidth="1"/>
    <col min="2" max="2" width="21.42578125" bestFit="1" customWidth="1"/>
    <col min="3" max="3" width="25.42578125" bestFit="1" customWidth="1"/>
    <col min="4" max="4" width="18.5703125" style="52" customWidth="1"/>
    <col min="5" max="5" width="10.140625" customWidth="1"/>
    <col min="6" max="6" width="10.42578125" customWidth="1"/>
    <col min="7" max="7" width="10.5703125" customWidth="1"/>
    <col min="8" max="8" width="11.85546875" customWidth="1"/>
    <col min="9" max="9" width="11.7109375" customWidth="1"/>
    <col min="10" max="10" width="12.42578125" customWidth="1"/>
    <col min="11" max="11" width="17.140625" style="53" customWidth="1"/>
    <col min="12" max="12" width="13.5703125" customWidth="1"/>
    <col min="13" max="13" width="13.42578125" bestFit="1" customWidth="1"/>
    <col min="14" max="14" width="14" style="53" customWidth="1"/>
    <col min="15" max="16" width="14" customWidth="1"/>
    <col min="17" max="17" width="14.140625" style="53" customWidth="1"/>
    <col min="18" max="19" width="12.28515625" customWidth="1"/>
    <col min="20" max="20" width="12.42578125" style="53" customWidth="1"/>
    <col min="21" max="22" width="12.42578125" customWidth="1"/>
    <col min="23" max="23" width="17" style="53" customWidth="1"/>
    <col min="24" max="25" width="17" customWidth="1"/>
    <col min="26" max="26" width="20.7109375" style="53" customWidth="1"/>
    <col min="27" max="28" width="20.7109375" customWidth="1"/>
    <col min="29" max="29" width="14.7109375" style="74" customWidth="1"/>
    <col min="30" max="30" width="17.5703125" style="53" customWidth="1"/>
    <col min="31" max="32" width="17.5703125" customWidth="1"/>
    <col min="33" max="33" width="20.28515625" customWidth="1"/>
    <col min="34" max="34" width="14.42578125" style="53" customWidth="1"/>
    <col min="35" max="36" width="14.42578125" customWidth="1"/>
    <col min="37" max="37" width="21.28515625" customWidth="1"/>
    <col min="38" max="38" width="15.140625" style="53" customWidth="1"/>
    <col min="39" max="40" width="15.140625" customWidth="1"/>
    <col min="41" max="41" width="21.28515625" customWidth="1"/>
    <col min="42" max="42" width="19.42578125" style="53" customWidth="1"/>
    <col min="43" max="44" width="19.42578125" customWidth="1"/>
    <col min="45" max="45" width="21.28515625" customWidth="1"/>
    <col min="46" max="46" width="17" style="53" customWidth="1"/>
    <col min="47" max="48" width="17" customWidth="1"/>
    <col min="49" max="49" width="21.28515625" customWidth="1"/>
    <col min="50" max="50" width="20" style="74" customWidth="1"/>
    <col min="51" max="51" width="23.5703125" style="68" bestFit="1" customWidth="1"/>
    <col min="52" max="52" width="10" bestFit="1" customWidth="1"/>
    <col min="53" max="53" width="14.28515625" bestFit="1" customWidth="1"/>
  </cols>
  <sheetData>
    <row r="1" spans="1:130" ht="14.45" customHeight="1" x14ac:dyDescent="0.25">
      <c r="A1" s="61" t="s">
        <v>0</v>
      </c>
      <c r="B1" s="62"/>
      <c r="C1" s="62"/>
      <c r="D1" s="63"/>
      <c r="E1" s="174" t="s">
        <v>1</v>
      </c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3" t="s">
        <v>2</v>
      </c>
      <c r="AE1" s="174"/>
      <c r="AF1" s="174"/>
      <c r="AG1" s="174"/>
      <c r="AH1" s="174"/>
      <c r="AI1" s="174"/>
      <c r="AJ1" s="174"/>
      <c r="AK1" s="174"/>
      <c r="AL1" s="174"/>
      <c r="AM1" s="174"/>
      <c r="AN1" s="174"/>
      <c r="AO1" s="174"/>
      <c r="AP1" s="174"/>
      <c r="AQ1" s="174"/>
      <c r="AR1" s="174"/>
      <c r="AS1" s="174"/>
      <c r="AT1" s="174"/>
      <c r="AU1" s="174"/>
      <c r="AV1" s="174"/>
      <c r="AW1" s="174"/>
      <c r="AX1" s="174"/>
      <c r="AY1" s="174"/>
    </row>
    <row r="2" spans="1:130" ht="120" customHeight="1" x14ac:dyDescent="0.25">
      <c r="A2" s="65" t="s">
        <v>3</v>
      </c>
      <c r="B2" t="s">
        <v>4</v>
      </c>
      <c r="C2" t="s">
        <v>5</v>
      </c>
      <c r="D2" s="52" t="s">
        <v>6</v>
      </c>
      <c r="E2" s="1" t="s">
        <v>113</v>
      </c>
      <c r="F2" s="1" t="s">
        <v>114</v>
      </c>
      <c r="G2" s="60" t="s">
        <v>115</v>
      </c>
      <c r="H2" s="1" t="s">
        <v>116</v>
      </c>
      <c r="I2" s="1" t="s">
        <v>117</v>
      </c>
      <c r="J2" s="1" t="s">
        <v>118</v>
      </c>
      <c r="K2" s="59" t="s">
        <v>119</v>
      </c>
      <c r="L2" s="1" t="s">
        <v>120</v>
      </c>
      <c r="M2" s="1" t="s">
        <v>121</v>
      </c>
      <c r="N2" s="59" t="s">
        <v>122</v>
      </c>
      <c r="O2" s="1" t="s">
        <v>123</v>
      </c>
      <c r="P2" s="1" t="s">
        <v>124</v>
      </c>
      <c r="Q2" s="59" t="s">
        <v>125</v>
      </c>
      <c r="R2" s="1" t="s">
        <v>126</v>
      </c>
      <c r="S2" s="1" t="s">
        <v>127</v>
      </c>
      <c r="T2" s="59" t="s">
        <v>128</v>
      </c>
      <c r="U2" s="1" t="s">
        <v>129</v>
      </c>
      <c r="V2" s="1" t="s">
        <v>130</v>
      </c>
      <c r="W2" s="59" t="s">
        <v>131</v>
      </c>
      <c r="X2" s="1" t="s">
        <v>132</v>
      </c>
      <c r="Y2" s="1" t="s">
        <v>133</v>
      </c>
      <c r="Z2" s="59" t="s">
        <v>134</v>
      </c>
      <c r="AA2" s="1" t="s">
        <v>135</v>
      </c>
      <c r="AB2" s="1" t="s">
        <v>136</v>
      </c>
      <c r="AC2" s="70" t="s">
        <v>15</v>
      </c>
      <c r="AD2" s="59" t="s">
        <v>137</v>
      </c>
      <c r="AE2" s="1" t="s">
        <v>138</v>
      </c>
      <c r="AF2" s="1" t="s">
        <v>139</v>
      </c>
      <c r="AG2" s="1" t="s">
        <v>140</v>
      </c>
      <c r="AH2" s="59" t="s">
        <v>141</v>
      </c>
      <c r="AI2" s="1" t="s">
        <v>142</v>
      </c>
      <c r="AJ2" s="1" t="s">
        <v>143</v>
      </c>
      <c r="AK2" s="1" t="s">
        <v>144</v>
      </c>
      <c r="AL2" s="59" t="s">
        <v>145</v>
      </c>
      <c r="AM2" s="1" t="s">
        <v>146</v>
      </c>
      <c r="AN2" s="1" t="s">
        <v>147</v>
      </c>
      <c r="AO2" s="1" t="s">
        <v>148</v>
      </c>
      <c r="AP2" s="59" t="s">
        <v>149</v>
      </c>
      <c r="AQ2" s="1" t="s">
        <v>150</v>
      </c>
      <c r="AR2" s="1" t="s">
        <v>151</v>
      </c>
      <c r="AS2" s="1" t="s">
        <v>152</v>
      </c>
      <c r="AT2" s="59" t="s">
        <v>153</v>
      </c>
      <c r="AU2" s="1" t="s">
        <v>154</v>
      </c>
      <c r="AV2" s="1" t="s">
        <v>155</v>
      </c>
      <c r="AW2" s="1" t="s">
        <v>156</v>
      </c>
      <c r="AX2" s="70" t="s">
        <v>157</v>
      </c>
      <c r="AY2" s="93" t="s">
        <v>27</v>
      </c>
    </row>
    <row r="3" spans="1:130" s="146" customFormat="1" x14ac:dyDescent="0.25">
      <c r="A3" s="158" t="s">
        <v>168</v>
      </c>
      <c r="B3" s="147"/>
      <c r="C3" s="147"/>
      <c r="D3" s="159"/>
      <c r="E3" s="149"/>
      <c r="F3" s="147"/>
      <c r="G3" s="147"/>
      <c r="H3" s="149"/>
      <c r="I3" s="147"/>
      <c r="J3" s="147"/>
      <c r="K3" s="160"/>
      <c r="L3" s="147"/>
      <c r="M3" s="147"/>
      <c r="N3" s="160"/>
      <c r="O3" s="147"/>
      <c r="P3" s="147"/>
      <c r="Q3" s="160"/>
      <c r="R3" s="147"/>
      <c r="S3" s="147"/>
      <c r="T3" s="160"/>
      <c r="U3" s="147"/>
      <c r="V3" s="147"/>
      <c r="W3" s="160"/>
      <c r="X3" s="147"/>
      <c r="Y3" s="147"/>
      <c r="Z3" s="160"/>
      <c r="AA3" s="147"/>
      <c r="AB3" s="147"/>
      <c r="AC3" s="161"/>
      <c r="AD3" s="162"/>
      <c r="AE3" s="147"/>
      <c r="AF3" s="147"/>
      <c r="AG3" s="148"/>
      <c r="AH3" s="160"/>
      <c r="AI3" s="147"/>
      <c r="AJ3" s="147"/>
      <c r="AK3" s="148"/>
      <c r="AL3" s="160"/>
      <c r="AM3" s="147"/>
      <c r="AN3" s="147"/>
      <c r="AO3" s="148"/>
      <c r="AP3" s="160"/>
      <c r="AQ3" s="147"/>
      <c r="AR3" s="147"/>
      <c r="AS3" s="148"/>
      <c r="AT3" s="160"/>
      <c r="AU3" s="147"/>
      <c r="AV3" s="147"/>
      <c r="AW3" s="148"/>
      <c r="AX3" s="163"/>
      <c r="AY3" s="164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</row>
    <row r="4" spans="1:130" s="81" customFormat="1" ht="14.45" customHeight="1" x14ac:dyDescent="0.25">
      <c r="A4" s="80" t="s">
        <v>28</v>
      </c>
      <c r="D4" s="82"/>
      <c r="E4" s="83"/>
      <c r="H4" s="84"/>
      <c r="K4" s="84"/>
      <c r="N4" s="84"/>
      <c r="Q4" s="84"/>
      <c r="T4" s="84"/>
      <c r="W4" s="84"/>
      <c r="Z4" s="84"/>
      <c r="AC4" s="85"/>
      <c r="AD4" s="86"/>
      <c r="AG4" s="87"/>
      <c r="AH4" s="84"/>
      <c r="AK4" s="87"/>
      <c r="AL4" s="84"/>
      <c r="AO4" s="87"/>
      <c r="AP4" s="84"/>
      <c r="AS4" s="87"/>
      <c r="AT4" s="84"/>
      <c r="AW4" s="87"/>
      <c r="AX4" s="88"/>
      <c r="AY4" s="9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</row>
    <row r="5" spans="1:130" ht="14.45" customHeight="1" x14ac:dyDescent="0.25">
      <c r="A5" s="65" t="s">
        <v>29</v>
      </c>
      <c r="B5" t="s">
        <v>30</v>
      </c>
      <c r="C5" t="s">
        <v>31</v>
      </c>
      <c r="E5">
        <v>10016</v>
      </c>
      <c r="F5">
        <f>september2025!E5</f>
        <v>9639</v>
      </c>
      <c r="G5">
        <f>Tabel24256789101112131415171618192120222326141518192021[[#This Row],[Stand Coffee einde maand]]-Tabel24256789101112131415171618192120222326141518192021[[#This Row],[Coffee vorige maand]]</f>
        <v>377</v>
      </c>
      <c r="H5" s="53">
        <v>4630</v>
      </c>
      <c r="I5">
        <f>september2025!H5</f>
        <v>4390</v>
      </c>
      <c r="J5">
        <f>Tabel24256789101112131415171618192120222326141518192021[[#This Row],[Stand Espresso Einde maand]]-Tabel24256789101112131415171618192120222326141518192021[[#This Row],[Espresso vorige maand]]</f>
        <v>240</v>
      </c>
      <c r="K5" s="53">
        <v>2621</v>
      </c>
      <c r="L5">
        <f>september2025!K5</f>
        <v>2595</v>
      </c>
      <c r="M5">
        <f>Tabel24256789101112131415171618192120222326141518192021[[#This Row],[Stand Latte Macchiato einde maand]]-Tabel24256789101112131415171618192120222326141518192021[[#This Row],[Latte Macchiato vorige maand]]</f>
        <v>26</v>
      </c>
      <c r="N5" s="53">
        <v>1380</v>
      </c>
      <c r="O5">
        <f>september2025!N5</f>
        <v>1318</v>
      </c>
      <c r="P5">
        <f>Tabel24256789101112131415171618192120222326141518192021[[#This Row],[Stand Coffee Latte einde maand]]-Tabel24256789101112131415171618192120222326141518192021[[#This Row],[Coffee Latte vorige maand]]</f>
        <v>62</v>
      </c>
      <c r="Q5" s="53">
        <v>8131</v>
      </c>
      <c r="R5">
        <f>september2025!Q5</f>
        <v>7874</v>
      </c>
      <c r="S5">
        <f>Tabel24256789101112131415171618192120222326141518192021[[#This Row],[Stand Hot Water einde maand]]-Tabel24256789101112131415171618192120222326141518192021[[#This Row],[Hot Water vorige maand]]</f>
        <v>257</v>
      </c>
      <c r="T5" s="53">
        <v>10370</v>
      </c>
      <c r="U5">
        <f>september2025!T5</f>
        <v>10033</v>
      </c>
      <c r="V5">
        <f>Tabel24256789101112131415171618192120222326141518192021[[#This Row],[Stand Cappucino einde maand]]-Tabel24256789101112131415171618192120222326141518192021[[#This Row],[Stand Cappucino vorige maand]]</f>
        <v>337</v>
      </c>
      <c r="W5" s="53">
        <v>228</v>
      </c>
      <c r="X5">
        <f>september2025!W5</f>
        <v>219</v>
      </c>
      <c r="Y5">
        <f>Tabel24256789101112131415171618192120222326141518192021[[#This Row],[Stand Cappucino Plantaardig einde maand]]-Tabel24256789101112131415171618192120222326141518192021[[#This Row],[Stand Cappucino Plantaardig vorige maand]]</f>
        <v>9</v>
      </c>
      <c r="Z5" s="53">
        <v>378</v>
      </c>
      <c r="AA5">
        <f>september2025!Z5</f>
        <v>373</v>
      </c>
      <c r="AB5">
        <f>Tabel24256789101112131415171618192120222326141518192021[[#This Row],[Stand Latte Macchiato Plantaardig einde maand]]-Tabel24256789101112131415171618192120222326141518192021[[#This Row],[Stand Latte Macchiato Plantaardig vorige maand]]</f>
        <v>5</v>
      </c>
      <c r="AC5" s="71">
        <f>Tabel24256789101112131415171618192120222326141518192021[[#This Row],[Verbruik Stand Latte Macchiato Plantaardig deze maand]]+Tabel24256789101112131415171618192120222326141518192021[[#This Row],[Verbruik  Cappucino Plantaardig deze maand]]+Tabel24256789101112131415171618192120222326141518192021[[#This Row],[Verbruik Cappucino deze maand]]+Tabel24256789101112131415171618192120222326141518192021[[#This Row],[Verbruik Hot Water deze maand]]+Tabel24256789101112131415171618192120222326141518192021[[#This Row],[Verbruik Coffee Latte deze maand]]+Tabel24256789101112131415171618192120222326141518192021[[#This Row],[Verbruik Latte Macchiato deze maand]]+Tabel24256789101112131415171618192120222326141518192021[[#This Row],[Verbruik Espresso deze maand]]+Tabel24256789101112131415171618192120222326141518192021[[#This Row],[Verbruik Coffee deze maand]]</f>
        <v>1313</v>
      </c>
      <c r="AD5" s="69"/>
      <c r="AE5" s="41"/>
      <c r="AF5" s="5"/>
      <c r="AG5" s="5"/>
      <c r="AH5" s="69"/>
      <c r="AI5" s="41"/>
      <c r="AJ5" s="5"/>
      <c r="AK5" s="5"/>
      <c r="AL5" s="69"/>
      <c r="AM5" s="41"/>
      <c r="AN5" s="5"/>
      <c r="AO5" s="5"/>
      <c r="AP5" s="69"/>
      <c r="AQ5" s="41"/>
      <c r="AR5" s="5"/>
      <c r="AS5" s="5"/>
      <c r="AT5" s="69"/>
      <c r="AU5" s="41"/>
      <c r="AV5" s="5"/>
      <c r="AW5" s="7"/>
      <c r="AX5" s="78"/>
      <c r="AY5" s="95">
        <f>Tabel24256789101112131415171618192120222326141518192021[[#This Row],[Subtotaal waterbar in consumpties]]+Tabel24256789101112131415171618192120222326141518192021[[#This Row],[Subtotaal koffieautomaten]]</f>
        <v>1313</v>
      </c>
    </row>
    <row r="6" spans="1:130" ht="14.45" customHeight="1" x14ac:dyDescent="0.25">
      <c r="A6" s="65" t="s">
        <v>32</v>
      </c>
      <c r="B6" t="s">
        <v>33</v>
      </c>
      <c r="C6" t="s">
        <v>31</v>
      </c>
      <c r="E6">
        <v>15030</v>
      </c>
      <c r="F6">
        <f>september2025!E6</f>
        <v>14474</v>
      </c>
      <c r="G6">
        <f>Tabel24256789101112131415171618192120222326141518192021[[#This Row],[Stand Coffee einde maand]]-Tabel24256789101112131415171618192120222326141518192021[[#This Row],[Coffee vorige maand]]</f>
        <v>556</v>
      </c>
      <c r="H6" s="53">
        <v>4134</v>
      </c>
      <c r="I6">
        <f>september2025!H6</f>
        <v>4039</v>
      </c>
      <c r="J6">
        <f>Tabel24256789101112131415171618192120222326141518192021[[#This Row],[Stand Espresso Einde maand]]-Tabel24256789101112131415171618192120222326141518192021[[#This Row],[Espresso vorige maand]]</f>
        <v>95</v>
      </c>
      <c r="K6" s="53">
        <v>2805</v>
      </c>
      <c r="L6">
        <f>september2025!K6</f>
        <v>2713</v>
      </c>
      <c r="M6">
        <f>Tabel24256789101112131415171618192120222326141518192021[[#This Row],[Stand Latte Macchiato einde maand]]-Tabel24256789101112131415171618192120222326141518192021[[#This Row],[Latte Macchiato vorige maand]]</f>
        <v>92</v>
      </c>
      <c r="N6" s="53">
        <v>2224</v>
      </c>
      <c r="O6">
        <f>september2025!N6</f>
        <v>2177</v>
      </c>
      <c r="P6">
        <f>Tabel24256789101112131415171618192120222326141518192021[[#This Row],[Stand Coffee Latte einde maand]]-Tabel24256789101112131415171618192120222326141518192021[[#This Row],[Coffee Latte vorige maand]]</f>
        <v>47</v>
      </c>
      <c r="Q6" s="53">
        <v>32948</v>
      </c>
      <c r="R6">
        <f>september2025!Q6</f>
        <v>31563</v>
      </c>
      <c r="S6">
        <f>Tabel24256789101112131415171618192120222326141518192021[[#This Row],[Stand Hot Water einde maand]]-Tabel24256789101112131415171618192120222326141518192021[[#This Row],[Hot Water vorige maand]]</f>
        <v>1385</v>
      </c>
      <c r="T6" s="53">
        <v>13486</v>
      </c>
      <c r="U6">
        <f>september2025!T6</f>
        <v>13188</v>
      </c>
      <c r="V6">
        <f>Tabel24256789101112131415171618192120222326141518192021[[#This Row],[Stand Cappucino einde maand]]-Tabel24256789101112131415171618192120222326141518192021[[#This Row],[Stand Cappucino vorige maand]]</f>
        <v>298</v>
      </c>
      <c r="W6" s="53">
        <v>1979</v>
      </c>
      <c r="X6">
        <f>september2025!W6</f>
        <v>1894</v>
      </c>
      <c r="Y6">
        <f>Tabel24256789101112131415171618192120222326141518192021[[#This Row],[Stand Cappucino Plantaardig einde maand]]-Tabel24256789101112131415171618192120222326141518192021[[#This Row],[Stand Cappucino Plantaardig vorige maand]]</f>
        <v>85</v>
      </c>
      <c r="Z6" s="53">
        <v>854</v>
      </c>
      <c r="AA6">
        <f>september2025!Z6</f>
        <v>825</v>
      </c>
      <c r="AB6">
        <f>Tabel24256789101112131415171618192120222326141518192021[[#This Row],[Stand Latte Macchiato Plantaardig einde maand]]-Tabel24256789101112131415171618192120222326141518192021[[#This Row],[Stand Latte Macchiato Plantaardig vorige maand]]</f>
        <v>29</v>
      </c>
      <c r="AC6" s="71">
        <f>Tabel24256789101112131415171618192120222326141518192021[[#This Row],[Verbruik Stand Latte Macchiato Plantaardig deze maand]]+Tabel24256789101112131415171618192120222326141518192021[[#This Row],[Verbruik  Cappucino Plantaardig deze maand]]+Tabel24256789101112131415171618192120222326141518192021[[#This Row],[Verbruik Cappucino deze maand]]+Tabel24256789101112131415171618192120222326141518192021[[#This Row],[Verbruik Hot Water deze maand]]+Tabel24256789101112131415171618192120222326141518192021[[#This Row],[Verbruik Coffee Latte deze maand]]+Tabel24256789101112131415171618192120222326141518192021[[#This Row],[Verbruik Latte Macchiato deze maand]]+Tabel24256789101112131415171618192120222326141518192021[[#This Row],[Verbruik Espresso deze maand]]+Tabel24256789101112131415171618192120222326141518192021[[#This Row],[Verbruik Coffee deze maand]]</f>
        <v>2587</v>
      </c>
      <c r="AD6" s="69"/>
      <c r="AE6" s="41"/>
      <c r="AF6" s="5"/>
      <c r="AG6" s="5"/>
      <c r="AH6" s="69"/>
      <c r="AI6" s="41"/>
      <c r="AJ6" s="5"/>
      <c r="AK6" s="5"/>
      <c r="AL6" s="69"/>
      <c r="AM6" s="41"/>
      <c r="AN6" s="5"/>
      <c r="AO6" s="5"/>
      <c r="AP6" s="69"/>
      <c r="AQ6" s="41"/>
      <c r="AR6" s="5"/>
      <c r="AS6" s="5"/>
      <c r="AT6" s="69"/>
      <c r="AU6" s="41"/>
      <c r="AV6" s="5"/>
      <c r="AW6" s="7"/>
      <c r="AX6" s="78"/>
      <c r="AY6" s="95">
        <f>Tabel24256789101112131415171618192120222326141518192021[[#This Row],[Subtotaal waterbar in consumpties]]+Tabel24256789101112131415171618192120222326141518192021[[#This Row],[Subtotaal koffieautomaten]]</f>
        <v>2587</v>
      </c>
    </row>
    <row r="7" spans="1:130" ht="14.45" customHeight="1" x14ac:dyDescent="0.25">
      <c r="A7" s="65" t="s">
        <v>34</v>
      </c>
      <c r="B7" t="s">
        <v>35</v>
      </c>
      <c r="C7" t="s">
        <v>47</v>
      </c>
      <c r="E7">
        <v>14793</v>
      </c>
      <c r="F7">
        <f>september2025!E7</f>
        <v>14274</v>
      </c>
      <c r="G7">
        <f>Tabel24256789101112131415171618192120222326141518192021[[#This Row],[Stand Coffee einde maand]]-Tabel24256789101112131415171618192120222326141518192021[[#This Row],[Coffee vorige maand]]</f>
        <v>519</v>
      </c>
      <c r="H7" s="53">
        <v>4124</v>
      </c>
      <c r="I7">
        <f>september2025!H7</f>
        <v>3961</v>
      </c>
      <c r="J7">
        <f>Tabel24256789101112131415171618192120222326141518192021[[#This Row],[Stand Espresso Einde maand]]-Tabel24256789101112131415171618192120222326141518192021[[#This Row],[Espresso vorige maand]]</f>
        <v>163</v>
      </c>
      <c r="K7" s="53">
        <v>3770</v>
      </c>
      <c r="L7">
        <f>september2025!K7</f>
        <v>3574</v>
      </c>
      <c r="M7">
        <f>Tabel24256789101112131415171618192120222326141518192021[[#This Row],[Stand Latte Macchiato einde maand]]-Tabel24256789101112131415171618192120222326141518192021[[#This Row],[Latte Macchiato vorige maand]]</f>
        <v>196</v>
      </c>
      <c r="N7" s="53">
        <v>1721</v>
      </c>
      <c r="O7">
        <f>september2025!N7</f>
        <v>1656</v>
      </c>
      <c r="P7">
        <f>Tabel24256789101112131415171618192120222326141518192021[[#This Row],[Stand Coffee Latte einde maand]]-Tabel24256789101112131415171618192120222326141518192021[[#This Row],[Coffee Latte vorige maand]]</f>
        <v>65</v>
      </c>
      <c r="Q7" s="53">
        <v>13190</v>
      </c>
      <c r="R7">
        <f>september2025!Q7</f>
        <v>12778</v>
      </c>
      <c r="S7">
        <f>Tabel24256789101112131415171618192120222326141518192021[[#This Row],[Stand Hot Water einde maand]]-Tabel24256789101112131415171618192120222326141518192021[[#This Row],[Hot Water vorige maand]]</f>
        <v>412</v>
      </c>
      <c r="T7" s="53">
        <v>13729</v>
      </c>
      <c r="U7">
        <f>september2025!T7</f>
        <v>13344</v>
      </c>
      <c r="V7">
        <f>Tabel24256789101112131415171618192120222326141518192021[[#This Row],[Stand Cappucino einde maand]]-Tabel24256789101112131415171618192120222326141518192021[[#This Row],[Stand Cappucino vorige maand]]</f>
        <v>385</v>
      </c>
      <c r="W7" s="53">
        <v>1351</v>
      </c>
      <c r="X7">
        <f>september2025!W7</f>
        <v>1290</v>
      </c>
      <c r="Y7">
        <f>Tabel24256789101112131415171618192120222326141518192021[[#This Row],[Stand Cappucino Plantaardig einde maand]]-Tabel24256789101112131415171618192120222326141518192021[[#This Row],[Stand Cappucino Plantaardig vorige maand]]</f>
        <v>61</v>
      </c>
      <c r="Z7" s="53">
        <v>532</v>
      </c>
      <c r="AA7">
        <f>september2025!Z7</f>
        <v>513</v>
      </c>
      <c r="AB7">
        <f>Tabel24256789101112131415171618192120222326141518192021[[#This Row],[Stand Latte Macchiato Plantaardig einde maand]]-Tabel24256789101112131415171618192120222326141518192021[[#This Row],[Stand Latte Macchiato Plantaardig vorige maand]]</f>
        <v>19</v>
      </c>
      <c r="AC7" s="71">
        <f>Tabel24256789101112131415171618192120222326141518192021[[#This Row],[Verbruik Stand Latte Macchiato Plantaardig deze maand]]+Tabel24256789101112131415171618192120222326141518192021[[#This Row],[Verbruik  Cappucino Plantaardig deze maand]]+Tabel24256789101112131415171618192120222326141518192021[[#This Row],[Verbruik Cappucino deze maand]]+Tabel24256789101112131415171618192120222326141518192021[[#This Row],[Verbruik Hot Water deze maand]]+Tabel24256789101112131415171618192120222326141518192021[[#This Row],[Verbruik Coffee Latte deze maand]]+Tabel24256789101112131415171618192120222326141518192021[[#This Row],[Verbruik Latte Macchiato deze maand]]+Tabel24256789101112131415171618192120222326141518192021[[#This Row],[Verbruik Espresso deze maand]]+Tabel24256789101112131415171618192120222326141518192021[[#This Row],[Verbruik Coffee deze maand]]</f>
        <v>1820</v>
      </c>
      <c r="AD7" s="53">
        <v>539.9</v>
      </c>
      <c r="AE7">
        <f>september2025!AD7</f>
        <v>477.7</v>
      </c>
      <c r="AF7">
        <f>Tabel24256789101112131415171618192120222326141518192021[[#This Row],[Stand Kamertemp liter einde maand]]-Tabel24256789101112131415171618192120222326141518192021[[#This Row],[Stand Kamertemp liter vorige maand]]</f>
        <v>62.199999999999989</v>
      </c>
      <c r="AG7" s="2">
        <f>Tabel24256789101112131415171618192120222326141518192021[[#This Row],[Verbruik Kamertemp liter deze maand]]/0.15</f>
        <v>414.66666666666663</v>
      </c>
      <c r="AH7" s="53">
        <v>1578.9</v>
      </c>
      <c r="AI7">
        <f>september2025!AH7</f>
        <v>1428.6</v>
      </c>
      <c r="AJ7">
        <f>Tabel24256789101112131415171618192120222326141518192021[[#This Row],[Stand Gekoeld liter einde maand]]-Tabel24256789101112131415171618192120222326141518192021[[#This Row],[Stand Gekoeld liter vorige maand]]</f>
        <v>150.30000000000018</v>
      </c>
      <c r="AK7" s="2">
        <f>Tabel24256789101112131415171618192120222326141518192021[[#This Row],[Verbruik Gekoeld liter deze maand]]/0.15</f>
        <v>1002.0000000000013</v>
      </c>
      <c r="AL7" s="53">
        <v>769.7</v>
      </c>
      <c r="AM7">
        <f>september2025!AL7</f>
        <v>704.8</v>
      </c>
      <c r="AN7">
        <f>Tabel24256789101112131415171618192120222326141518192021[[#This Row],[Stand Bruisend liter einde maand]]-Tabel24256789101112131415171618192120222326141518192021[[#This Row],[Stand Bruisend liter vorige maand]]</f>
        <v>64.900000000000091</v>
      </c>
      <c r="AO7" s="2">
        <f>Tabel24256789101112131415171618192120222326141518192021[[#This Row],[Verbruik Bruisend liter deze maand]]/0.15</f>
        <v>432.66666666666731</v>
      </c>
      <c r="AP7" s="53">
        <v>589.9</v>
      </c>
      <c r="AQ7">
        <f>september2025!AP7</f>
        <v>541.4</v>
      </c>
      <c r="AR7">
        <f>Tabel24256789101112131415171618192120222326141518192021[[#This Row],[Stand licht bruisend liter einde maand]]-Tabel24256789101112131415171618192120222326141518192021[[#This Row],[Stand licht bruisend liter vorige maand]]</f>
        <v>48.5</v>
      </c>
      <c r="AS7" s="2">
        <f>Tabel24256789101112131415171618192120222326141518192021[[#This Row],[Verbruik licht bruisend liter deze maand]]/0.15</f>
        <v>323.33333333333337</v>
      </c>
      <c r="AT7" s="53">
        <v>2243.1999999999998</v>
      </c>
      <c r="AU7">
        <f>september2025!AT7</f>
        <v>1996.7</v>
      </c>
      <c r="AV7">
        <f>Tabel24256789101112131415171618192120222326141518192021[[#This Row],[Stand heet water liter einde maand]]-Tabel24256789101112131415171618192120222326141518192021[[#This Row],[Stand heet water liter vorige maand]]</f>
        <v>246.49999999999977</v>
      </c>
      <c r="AW7" s="2">
        <f>Tabel24256789101112131415171618192120222326141518192021[[#This Row],[Verbruik heet Water liter deze maand ]]/0.15</f>
        <v>1643.3333333333319</v>
      </c>
      <c r="AX7" s="77">
        <f>Tabel24256789101112131415171618192120222326141518192021[[#This Row],[Aantal consumpties heet water deze maand]]+Tabel24256789101112131415171618192120222326141518192021[[#This Row],[Aantal consumpties licht bruisend water deze maand]]+Tabel24256789101112131415171618192120222326141518192021[[#This Row],[aantal consumpties Bruisend water deze maand]]+Tabel24256789101112131415171618192120222326141518192021[[#This Row],[Aantal consumpties gekoeld water deze maand]]+Tabel24256789101112131415171618192120222326141518192021[[#This Row],[Aantal consumpties Kamertemp deze maand]]</f>
        <v>3816.0000000000005</v>
      </c>
      <c r="AY7" s="95">
        <f>Tabel24256789101112131415171618192120222326141518192021[[#This Row],[Subtotaal waterbar in consumpties]]+Tabel24256789101112131415171618192120222326141518192021[[#This Row],[Subtotaal koffieautomaten]]</f>
        <v>5636</v>
      </c>
    </row>
    <row r="8" spans="1:130" ht="14.45" customHeight="1" x14ac:dyDescent="0.25">
      <c r="A8" s="65" t="s">
        <v>37</v>
      </c>
      <c r="B8" t="s">
        <v>38</v>
      </c>
      <c r="C8" t="s">
        <v>31</v>
      </c>
      <c r="E8">
        <v>22771</v>
      </c>
      <c r="F8">
        <f>september2025!E8</f>
        <v>22029</v>
      </c>
      <c r="G8">
        <f>Tabel24256789101112131415171618192120222326141518192021[[#This Row],[Stand Coffee einde maand]]-Tabel24256789101112131415171618192120222326141518192021[[#This Row],[Coffee vorige maand]]</f>
        <v>742</v>
      </c>
      <c r="H8" s="53">
        <v>4891</v>
      </c>
      <c r="I8">
        <f>september2025!H8</f>
        <v>4732</v>
      </c>
      <c r="J8">
        <f>Tabel24256789101112131415171618192120222326141518192021[[#This Row],[Stand Espresso Einde maand]]-Tabel24256789101112131415171618192120222326141518192021[[#This Row],[Espresso vorige maand]]</f>
        <v>159</v>
      </c>
      <c r="K8" s="53">
        <v>2447</v>
      </c>
      <c r="L8">
        <f>september2025!K8</f>
        <v>2416</v>
      </c>
      <c r="M8">
        <f>Tabel24256789101112131415171618192120222326141518192021[[#This Row],[Stand Latte Macchiato einde maand]]-Tabel24256789101112131415171618192120222326141518192021[[#This Row],[Latte Macchiato vorige maand]]</f>
        <v>31</v>
      </c>
      <c r="N8" s="53">
        <v>3700</v>
      </c>
      <c r="O8">
        <f>september2025!N8</f>
        <v>3519</v>
      </c>
      <c r="P8">
        <f>Tabel24256789101112131415171618192120222326141518192021[[#This Row],[Stand Coffee Latte einde maand]]-Tabel24256789101112131415171618192120222326141518192021[[#This Row],[Coffee Latte vorige maand]]</f>
        <v>181</v>
      </c>
      <c r="Q8" s="53">
        <v>50773</v>
      </c>
      <c r="R8">
        <f>september2025!Q8</f>
        <v>48930</v>
      </c>
      <c r="S8">
        <f>Tabel24256789101112131415171618192120222326141518192021[[#This Row],[Stand Hot Water einde maand]]-Tabel24256789101112131415171618192120222326141518192021[[#This Row],[Hot Water vorige maand]]</f>
        <v>1843</v>
      </c>
      <c r="T8" s="53">
        <v>13152</v>
      </c>
      <c r="U8">
        <f>september2025!T8</f>
        <v>12778</v>
      </c>
      <c r="V8">
        <f>Tabel24256789101112131415171618192120222326141518192021[[#This Row],[Stand Cappucino einde maand]]-Tabel24256789101112131415171618192120222326141518192021[[#This Row],[Stand Cappucino vorige maand]]</f>
        <v>374</v>
      </c>
      <c r="W8" s="53">
        <v>1277</v>
      </c>
      <c r="X8">
        <f>september2025!W8</f>
        <v>1224</v>
      </c>
      <c r="Y8">
        <f>Tabel24256789101112131415171618192120222326141518192021[[#This Row],[Stand Cappucino Plantaardig einde maand]]-Tabel24256789101112131415171618192120222326141518192021[[#This Row],[Stand Cappucino Plantaardig vorige maand]]</f>
        <v>53</v>
      </c>
      <c r="Z8" s="53">
        <v>656</v>
      </c>
      <c r="AA8">
        <f>september2025!Z8</f>
        <v>638</v>
      </c>
      <c r="AB8">
        <f>Tabel24256789101112131415171618192120222326141518192021[[#This Row],[Stand Latte Macchiato Plantaardig einde maand]]-Tabel24256789101112131415171618192120222326141518192021[[#This Row],[Stand Latte Macchiato Plantaardig vorige maand]]</f>
        <v>18</v>
      </c>
      <c r="AC8" s="71">
        <f>Tabel24256789101112131415171618192120222326141518192021[[#This Row],[Verbruik Stand Latte Macchiato Plantaardig deze maand]]+Tabel24256789101112131415171618192120222326141518192021[[#This Row],[Verbruik  Cappucino Plantaardig deze maand]]+Tabel24256789101112131415171618192120222326141518192021[[#This Row],[Verbruik Cappucino deze maand]]+Tabel24256789101112131415171618192120222326141518192021[[#This Row],[Verbruik Hot Water deze maand]]+Tabel24256789101112131415171618192120222326141518192021[[#This Row],[Verbruik Coffee Latte deze maand]]+Tabel24256789101112131415171618192120222326141518192021[[#This Row],[Verbruik Latte Macchiato deze maand]]+Tabel24256789101112131415171618192120222326141518192021[[#This Row],[Verbruik Espresso deze maand]]+Tabel24256789101112131415171618192120222326141518192021[[#This Row],[Verbruik Coffee deze maand]]</f>
        <v>3401</v>
      </c>
      <c r="AD8" s="69"/>
      <c r="AE8" s="41"/>
      <c r="AF8" s="5"/>
      <c r="AG8" s="41"/>
      <c r="AH8" s="69"/>
      <c r="AI8" s="41"/>
      <c r="AJ8" s="41"/>
      <c r="AK8" s="41"/>
      <c r="AL8" s="75"/>
      <c r="AM8" s="41"/>
      <c r="AN8" s="41"/>
      <c r="AO8" s="5"/>
      <c r="AP8" s="69"/>
      <c r="AQ8" s="41"/>
      <c r="AR8" s="5"/>
      <c r="AS8" s="41"/>
      <c r="AT8" s="69"/>
      <c r="AU8" s="41"/>
      <c r="AV8" s="41"/>
      <c r="AW8" s="41"/>
      <c r="AX8" s="79"/>
      <c r="AY8" s="95">
        <f>Tabel24256789101112131415171618192120222326141518192021[[#This Row],[Subtotaal waterbar in consumpties]]+Tabel24256789101112131415171618192120222326141518192021[[#This Row],[Subtotaal koffieautomaten]]</f>
        <v>3401</v>
      </c>
    </row>
    <row r="9" spans="1:130" ht="14.45" customHeight="1" x14ac:dyDescent="0.25">
      <c r="A9" s="65" t="s">
        <v>39</v>
      </c>
      <c r="B9" t="s">
        <v>40</v>
      </c>
      <c r="C9" t="s">
        <v>31</v>
      </c>
      <c r="E9">
        <v>27044</v>
      </c>
      <c r="F9">
        <f>september2025!E9</f>
        <v>26365</v>
      </c>
      <c r="G9">
        <f>Tabel24256789101112131415171618192120222326141518192021[[#This Row],[Stand Coffee einde maand]]-Tabel24256789101112131415171618192120222326141518192021[[#This Row],[Coffee vorige maand]]</f>
        <v>679</v>
      </c>
      <c r="H9" s="53">
        <v>4637</v>
      </c>
      <c r="I9">
        <f>september2025!H9</f>
        <v>4500</v>
      </c>
      <c r="J9">
        <f>Tabel24256789101112131415171618192120222326141518192021[[#This Row],[Stand Espresso Einde maand]]-Tabel24256789101112131415171618192120222326141518192021[[#This Row],[Espresso vorige maand]]</f>
        <v>137</v>
      </c>
      <c r="K9" s="53">
        <v>3116</v>
      </c>
      <c r="L9">
        <f>september2025!K9</f>
        <v>3080</v>
      </c>
      <c r="M9">
        <f>Tabel24256789101112131415171618192120222326141518192021[[#This Row],[Stand Latte Macchiato einde maand]]-Tabel24256789101112131415171618192120222326141518192021[[#This Row],[Latte Macchiato vorige maand]]</f>
        <v>36</v>
      </c>
      <c r="N9" s="53">
        <v>2335</v>
      </c>
      <c r="O9">
        <f>september2025!N9</f>
        <v>2262</v>
      </c>
      <c r="P9">
        <f>Tabel24256789101112131415171618192120222326141518192021[[#This Row],[Stand Coffee Latte einde maand]]-Tabel24256789101112131415171618192120222326141518192021[[#This Row],[Coffee Latte vorige maand]]</f>
        <v>73</v>
      </c>
      <c r="Q9" s="53">
        <v>38779</v>
      </c>
      <c r="R9">
        <f>september2025!Q9</f>
        <v>37627</v>
      </c>
      <c r="S9">
        <f>Tabel24256789101112131415171618192120222326141518192021[[#This Row],[Stand Hot Water einde maand]]-Tabel24256789101112131415171618192120222326141518192021[[#This Row],[Hot Water vorige maand]]</f>
        <v>1152</v>
      </c>
      <c r="T9" s="53">
        <v>21351</v>
      </c>
      <c r="U9">
        <f>september2025!T9</f>
        <v>20648</v>
      </c>
      <c r="V9">
        <f>Tabel24256789101112131415171618192120222326141518192021[[#This Row],[Stand Cappucino einde maand]]-Tabel24256789101112131415171618192120222326141518192021[[#This Row],[Stand Cappucino vorige maand]]</f>
        <v>703</v>
      </c>
      <c r="W9" s="53">
        <v>819</v>
      </c>
      <c r="X9">
        <f>september2025!W9</f>
        <v>812</v>
      </c>
      <c r="Y9">
        <f>Tabel24256789101112131415171618192120222326141518192021[[#This Row],[Stand Cappucino Plantaardig einde maand]]-Tabel24256789101112131415171618192120222326141518192021[[#This Row],[Stand Cappucino Plantaardig vorige maand]]</f>
        <v>7</v>
      </c>
      <c r="Z9" s="53">
        <v>232</v>
      </c>
      <c r="AA9">
        <f>september2025!Z9</f>
        <v>230</v>
      </c>
      <c r="AB9">
        <f>Tabel24256789101112131415171618192120222326141518192021[[#This Row],[Stand Latte Macchiato Plantaardig einde maand]]-Tabel24256789101112131415171618192120222326141518192021[[#This Row],[Stand Latte Macchiato Plantaardig vorige maand]]</f>
        <v>2</v>
      </c>
      <c r="AC9" s="71">
        <f>Tabel24256789101112131415171618192120222326141518192021[[#This Row],[Verbruik Stand Latte Macchiato Plantaardig deze maand]]+Tabel24256789101112131415171618192120222326141518192021[[#This Row],[Verbruik  Cappucino Plantaardig deze maand]]+Tabel24256789101112131415171618192120222326141518192021[[#This Row],[Verbruik Cappucino deze maand]]+Tabel24256789101112131415171618192120222326141518192021[[#This Row],[Verbruik Hot Water deze maand]]+Tabel24256789101112131415171618192120222326141518192021[[#This Row],[Verbruik Coffee Latte deze maand]]+Tabel24256789101112131415171618192120222326141518192021[[#This Row],[Verbruik Latte Macchiato deze maand]]+Tabel24256789101112131415171618192120222326141518192021[[#This Row],[Verbruik Espresso deze maand]]+Tabel24256789101112131415171618192120222326141518192021[[#This Row],[Verbruik Coffee deze maand]]</f>
        <v>2789</v>
      </c>
      <c r="AD9" s="69"/>
      <c r="AE9" s="41"/>
      <c r="AF9" s="5"/>
      <c r="AG9" s="41"/>
      <c r="AH9" s="69"/>
      <c r="AI9" s="41"/>
      <c r="AJ9" s="41"/>
      <c r="AK9" s="41"/>
      <c r="AL9" s="75"/>
      <c r="AM9" s="41"/>
      <c r="AN9" s="41"/>
      <c r="AO9" s="5"/>
      <c r="AP9" s="69"/>
      <c r="AQ9" s="41"/>
      <c r="AR9" s="5"/>
      <c r="AS9" s="41"/>
      <c r="AT9" s="69"/>
      <c r="AU9" s="41"/>
      <c r="AV9" s="41"/>
      <c r="AW9" s="41"/>
      <c r="AX9" s="79"/>
      <c r="AY9" s="95">
        <f>Tabel24256789101112131415171618192120222326141518192021[[#This Row],[Subtotaal waterbar in consumpties]]+Tabel24256789101112131415171618192120222326141518192021[[#This Row],[Subtotaal koffieautomaten]]</f>
        <v>2789</v>
      </c>
    </row>
    <row r="10" spans="1:130" ht="14.45" customHeight="1" x14ac:dyDescent="0.25">
      <c r="A10" s="65" t="s">
        <v>41</v>
      </c>
      <c r="B10" t="s">
        <v>42</v>
      </c>
      <c r="C10" t="s">
        <v>31</v>
      </c>
      <c r="E10">
        <v>15757</v>
      </c>
      <c r="F10">
        <f>september2025!E10</f>
        <v>15258</v>
      </c>
      <c r="G10">
        <f>Tabel24256789101112131415171618192120222326141518192021[[#This Row],[Stand Coffee einde maand]]-Tabel24256789101112131415171618192120222326141518192021[[#This Row],[Coffee vorige maand]]</f>
        <v>499</v>
      </c>
      <c r="H10" s="53">
        <v>3553</v>
      </c>
      <c r="I10">
        <f>september2025!H10</f>
        <v>3454</v>
      </c>
      <c r="J10">
        <f>Tabel24256789101112131415171618192120222326141518192021[[#This Row],[Stand Espresso Einde maand]]-Tabel24256789101112131415171618192120222326141518192021[[#This Row],[Espresso vorige maand]]</f>
        <v>99</v>
      </c>
      <c r="K10" s="53">
        <v>2528</v>
      </c>
      <c r="L10">
        <f>september2025!K10</f>
        <v>2469</v>
      </c>
      <c r="M10">
        <f>Tabel24256789101112131415171618192120222326141518192021[[#This Row],[Stand Latte Macchiato einde maand]]-Tabel24256789101112131415171618192120222326141518192021[[#This Row],[Latte Macchiato vorige maand]]</f>
        <v>59</v>
      </c>
      <c r="N10" s="53">
        <v>1467</v>
      </c>
      <c r="O10">
        <f>september2025!N10</f>
        <v>1409</v>
      </c>
      <c r="P10">
        <f>Tabel24256789101112131415171618192120222326141518192021[[#This Row],[Stand Coffee Latte einde maand]]-Tabel24256789101112131415171618192120222326141518192021[[#This Row],[Coffee Latte vorige maand]]</f>
        <v>58</v>
      </c>
      <c r="Q10" s="53">
        <v>43817</v>
      </c>
      <c r="R10">
        <f>september2025!Q10</f>
        <v>42419</v>
      </c>
      <c r="S10">
        <f>Tabel24256789101112131415171618192120222326141518192021[[#This Row],[Stand Hot Water einde maand]]-Tabel24256789101112131415171618192120222326141518192021[[#This Row],[Hot Water vorige maand]]</f>
        <v>1398</v>
      </c>
      <c r="T10" s="53">
        <v>10468</v>
      </c>
      <c r="U10">
        <f>september2025!T10</f>
        <v>10032</v>
      </c>
      <c r="V10">
        <f>Tabel24256789101112131415171618192120222326141518192021[[#This Row],[Stand Cappucino einde maand]]-Tabel24256789101112131415171618192120222326141518192021[[#This Row],[Stand Cappucino vorige maand]]</f>
        <v>436</v>
      </c>
      <c r="W10" s="53">
        <v>2277</v>
      </c>
      <c r="X10">
        <f>september2025!W10</f>
        <v>2229</v>
      </c>
      <c r="Y10">
        <f>Tabel24256789101112131415171618192120222326141518192021[[#This Row],[Stand Cappucino Plantaardig einde maand]]-Tabel24256789101112131415171618192120222326141518192021[[#This Row],[Stand Cappucino Plantaardig vorige maand]]</f>
        <v>48</v>
      </c>
      <c r="Z10" s="53">
        <v>767</v>
      </c>
      <c r="AA10">
        <f>september2025!Z10</f>
        <v>756</v>
      </c>
      <c r="AB10">
        <f>Tabel24256789101112131415171618192120222326141518192021[[#This Row],[Stand Latte Macchiato Plantaardig einde maand]]-Tabel24256789101112131415171618192120222326141518192021[[#This Row],[Stand Latte Macchiato Plantaardig vorige maand]]</f>
        <v>11</v>
      </c>
      <c r="AC10" s="71">
        <f>Tabel24256789101112131415171618192120222326141518192021[[#This Row],[Verbruik Stand Latte Macchiato Plantaardig deze maand]]+Tabel24256789101112131415171618192120222326141518192021[[#This Row],[Verbruik  Cappucino Plantaardig deze maand]]+Tabel24256789101112131415171618192120222326141518192021[[#This Row],[Verbruik Cappucino deze maand]]+Tabel24256789101112131415171618192120222326141518192021[[#This Row],[Verbruik Hot Water deze maand]]+Tabel24256789101112131415171618192120222326141518192021[[#This Row],[Verbruik Coffee Latte deze maand]]+Tabel24256789101112131415171618192120222326141518192021[[#This Row],[Verbruik Latte Macchiato deze maand]]+Tabel24256789101112131415171618192120222326141518192021[[#This Row],[Verbruik Espresso deze maand]]+Tabel24256789101112131415171618192120222326141518192021[[#This Row],[Verbruik Coffee deze maand]]</f>
        <v>2608</v>
      </c>
      <c r="AD10" s="69"/>
      <c r="AE10" s="41"/>
      <c r="AF10" s="5"/>
      <c r="AG10" s="41"/>
      <c r="AH10" s="69"/>
      <c r="AI10" s="41"/>
      <c r="AJ10" s="41"/>
      <c r="AK10" s="41"/>
      <c r="AL10" s="75"/>
      <c r="AM10" s="41"/>
      <c r="AN10" s="41"/>
      <c r="AO10" s="5"/>
      <c r="AP10" s="69"/>
      <c r="AQ10" s="41"/>
      <c r="AR10" s="5"/>
      <c r="AS10" s="41"/>
      <c r="AT10" s="69"/>
      <c r="AU10" s="41"/>
      <c r="AV10" s="41"/>
      <c r="AW10" s="41"/>
      <c r="AX10" s="79"/>
      <c r="AY10" s="95">
        <f>Tabel24256789101112131415171618192120222326141518192021[[#This Row],[Subtotaal waterbar in consumpties]]+Tabel24256789101112131415171618192120222326141518192021[[#This Row],[Subtotaal koffieautomaten]]</f>
        <v>2608</v>
      </c>
    </row>
    <row r="11" spans="1:130" ht="14.45" customHeight="1" x14ac:dyDescent="0.25">
      <c r="A11" s="65" t="s">
        <v>43</v>
      </c>
      <c r="B11" t="s">
        <v>44</v>
      </c>
      <c r="C11" t="s">
        <v>31</v>
      </c>
      <c r="E11">
        <v>19136</v>
      </c>
      <c r="F11">
        <f>september2025!E11</f>
        <v>18514</v>
      </c>
      <c r="G11">
        <f>Tabel24256789101112131415171618192120222326141518192021[[#This Row],[Stand Coffee einde maand]]-Tabel24256789101112131415171618192120222326141518192021[[#This Row],[Coffee vorige maand]]</f>
        <v>622</v>
      </c>
      <c r="H11" s="53">
        <v>4258</v>
      </c>
      <c r="I11">
        <f>september2025!H11</f>
        <v>4128</v>
      </c>
      <c r="J11">
        <f>Tabel24256789101112131415171618192120222326141518192021[[#This Row],[Stand Espresso Einde maand]]-Tabel24256789101112131415171618192120222326141518192021[[#This Row],[Espresso vorige maand]]</f>
        <v>130</v>
      </c>
      <c r="K11" s="53">
        <v>1022</v>
      </c>
      <c r="L11">
        <f>september2025!K11</f>
        <v>1020</v>
      </c>
      <c r="M11">
        <f>Tabel24256789101112131415171618192120222326141518192021[[#This Row],[Stand Latte Macchiato einde maand]]-Tabel24256789101112131415171618192120222326141518192021[[#This Row],[Latte Macchiato vorige maand]]</f>
        <v>2</v>
      </c>
      <c r="N11" s="53">
        <v>1390</v>
      </c>
      <c r="O11">
        <f>september2025!N11</f>
        <v>1380</v>
      </c>
      <c r="P11">
        <f>Tabel24256789101112131415171618192120222326141518192021[[#This Row],[Stand Coffee Latte einde maand]]-Tabel24256789101112131415171618192120222326141518192021[[#This Row],[Coffee Latte vorige maand]]</f>
        <v>10</v>
      </c>
      <c r="Q11" s="53">
        <v>31622</v>
      </c>
      <c r="R11">
        <f>september2025!Q11</f>
        <v>30755</v>
      </c>
      <c r="S11">
        <f>Tabel24256789101112131415171618192120222326141518192021[[#This Row],[Stand Hot Water einde maand]]-Tabel24256789101112131415171618192120222326141518192021[[#This Row],[Hot Water vorige maand]]</f>
        <v>867</v>
      </c>
      <c r="T11" s="53">
        <v>9862</v>
      </c>
      <c r="U11">
        <f>september2025!T11</f>
        <v>9650</v>
      </c>
      <c r="V11">
        <f>Tabel24256789101112131415171618192120222326141518192021[[#This Row],[Stand Cappucino einde maand]]-Tabel24256789101112131415171618192120222326141518192021[[#This Row],[Stand Cappucino vorige maand]]</f>
        <v>212</v>
      </c>
      <c r="W11" s="53">
        <v>1717</v>
      </c>
      <c r="X11">
        <f>september2025!W11</f>
        <v>1684</v>
      </c>
      <c r="Y11">
        <f>Tabel24256789101112131415171618192120222326141518192021[[#This Row],[Stand Cappucino Plantaardig einde maand]]-Tabel24256789101112131415171618192120222326141518192021[[#This Row],[Stand Cappucino Plantaardig vorige maand]]</f>
        <v>33</v>
      </c>
      <c r="Z11" s="53">
        <v>1432</v>
      </c>
      <c r="AA11">
        <f>september2025!Z11</f>
        <v>1422</v>
      </c>
      <c r="AB11">
        <f>Tabel24256789101112131415171618192120222326141518192021[[#This Row],[Stand Latte Macchiato Plantaardig einde maand]]-Tabel24256789101112131415171618192120222326141518192021[[#This Row],[Stand Latte Macchiato Plantaardig vorige maand]]</f>
        <v>10</v>
      </c>
      <c r="AC11" s="71">
        <f>Tabel24256789101112131415171618192120222326141518192021[[#This Row],[Verbruik Stand Latte Macchiato Plantaardig deze maand]]+Tabel24256789101112131415171618192120222326141518192021[[#This Row],[Verbruik  Cappucino Plantaardig deze maand]]+Tabel24256789101112131415171618192120222326141518192021[[#This Row],[Verbruik Cappucino deze maand]]+Tabel24256789101112131415171618192120222326141518192021[[#This Row],[Verbruik Hot Water deze maand]]+Tabel24256789101112131415171618192120222326141518192021[[#This Row],[Verbruik Coffee Latte deze maand]]+Tabel24256789101112131415171618192120222326141518192021[[#This Row],[Verbruik Latte Macchiato deze maand]]+Tabel24256789101112131415171618192120222326141518192021[[#This Row],[Verbruik Espresso deze maand]]+Tabel24256789101112131415171618192120222326141518192021[[#This Row],[Verbruik Coffee deze maand]]</f>
        <v>1886</v>
      </c>
      <c r="AD11" s="69"/>
      <c r="AE11" s="41"/>
      <c r="AF11" s="5"/>
      <c r="AG11" s="41"/>
      <c r="AH11" s="69"/>
      <c r="AI11" s="41"/>
      <c r="AJ11" s="41"/>
      <c r="AK11" s="41"/>
      <c r="AL11" s="75"/>
      <c r="AM11" s="41"/>
      <c r="AN11" s="41"/>
      <c r="AO11" s="5"/>
      <c r="AP11" s="69"/>
      <c r="AQ11" s="41"/>
      <c r="AR11" s="5"/>
      <c r="AS11" s="41"/>
      <c r="AT11" s="69"/>
      <c r="AU11" s="41"/>
      <c r="AV11" s="41"/>
      <c r="AW11" s="41"/>
      <c r="AX11" s="79"/>
      <c r="AY11" s="95">
        <f>Tabel24256789101112131415171618192120222326141518192021[[#This Row],[Subtotaal waterbar in consumpties]]+Tabel24256789101112131415171618192120222326141518192021[[#This Row],[Subtotaal koffieautomaten]]</f>
        <v>1886</v>
      </c>
    </row>
    <row r="12" spans="1:130" ht="14.45" customHeight="1" x14ac:dyDescent="0.25">
      <c r="A12" s="65" t="s">
        <v>45</v>
      </c>
      <c r="B12" t="s">
        <v>46</v>
      </c>
      <c r="C12" t="s">
        <v>47</v>
      </c>
      <c r="E12">
        <v>32698</v>
      </c>
      <c r="F12">
        <f>september2025!E12</f>
        <v>31700</v>
      </c>
      <c r="G12">
        <f>Tabel24256789101112131415171618192120222326141518192021[[#This Row],[Stand Coffee einde maand]]-Tabel24256789101112131415171618192120222326141518192021[[#This Row],[Coffee vorige maand]]</f>
        <v>998</v>
      </c>
      <c r="H12" s="53">
        <v>3632</v>
      </c>
      <c r="I12">
        <f>september2025!H12</f>
        <v>3445</v>
      </c>
      <c r="J12">
        <f>Tabel24256789101112131415171618192120222326141518192021[[#This Row],[Stand Espresso Einde maand]]-Tabel24256789101112131415171618192120222326141518192021[[#This Row],[Espresso vorige maand]]</f>
        <v>187</v>
      </c>
      <c r="K12" s="53">
        <v>1948</v>
      </c>
      <c r="L12">
        <f>september2025!K12</f>
        <v>1910</v>
      </c>
      <c r="M12">
        <f>Tabel24256789101112131415171618192120222326141518192021[[#This Row],[Stand Latte Macchiato einde maand]]-Tabel24256789101112131415171618192120222326141518192021[[#This Row],[Latte Macchiato vorige maand]]</f>
        <v>38</v>
      </c>
      <c r="N12" s="53">
        <v>1114</v>
      </c>
      <c r="O12">
        <f>september2025!N12</f>
        <v>1090</v>
      </c>
      <c r="P12">
        <f>Tabel24256789101112131415171618192120222326141518192021[[#This Row],[Stand Coffee Latte einde maand]]-Tabel24256789101112131415171618192120222326141518192021[[#This Row],[Coffee Latte vorige maand]]</f>
        <v>24</v>
      </c>
      <c r="Q12" s="53">
        <v>1</v>
      </c>
      <c r="R12">
        <f>september2025!Q12</f>
        <v>1</v>
      </c>
      <c r="S12">
        <f>Tabel24256789101112131415171618192120222326141518192021[[#This Row],[Stand Hot Water einde maand]]-Tabel24256789101112131415171618192120222326141518192021[[#This Row],[Hot Water vorige maand]]</f>
        <v>0</v>
      </c>
      <c r="T12" s="53">
        <v>10000</v>
      </c>
      <c r="U12">
        <f>september2025!T12</f>
        <v>9733</v>
      </c>
      <c r="V12">
        <f>Tabel24256789101112131415171618192120222326141518192021[[#This Row],[Stand Cappucino einde maand]]-Tabel24256789101112131415171618192120222326141518192021[[#This Row],[Stand Cappucino vorige maand]]</f>
        <v>267</v>
      </c>
      <c r="W12" s="53">
        <v>4157</v>
      </c>
      <c r="X12">
        <f>september2025!W12</f>
        <v>4034</v>
      </c>
      <c r="Y12">
        <f>Tabel24256789101112131415171618192120222326141518192021[[#This Row],[Stand Cappucino Plantaardig einde maand]]-Tabel24256789101112131415171618192120222326141518192021[[#This Row],[Stand Cappucino Plantaardig vorige maand]]</f>
        <v>123</v>
      </c>
      <c r="Z12" s="53">
        <v>869</v>
      </c>
      <c r="AA12">
        <f>september2025!Z12</f>
        <v>855</v>
      </c>
      <c r="AB12">
        <f>Tabel24256789101112131415171618192120222326141518192021[[#This Row],[Stand Latte Macchiato Plantaardig einde maand]]-Tabel24256789101112131415171618192120222326141518192021[[#This Row],[Stand Latte Macchiato Plantaardig vorige maand]]</f>
        <v>14</v>
      </c>
      <c r="AC12" s="71">
        <f>Tabel24256789101112131415171618192120222326141518192021[[#This Row],[Verbruik Stand Latte Macchiato Plantaardig deze maand]]+Tabel24256789101112131415171618192120222326141518192021[[#This Row],[Verbruik  Cappucino Plantaardig deze maand]]+Tabel24256789101112131415171618192120222326141518192021[[#This Row],[Verbruik Cappucino deze maand]]+Tabel24256789101112131415171618192120222326141518192021[[#This Row],[Verbruik Hot Water deze maand]]+Tabel24256789101112131415171618192120222326141518192021[[#This Row],[Verbruik Coffee Latte deze maand]]+Tabel24256789101112131415171618192120222326141518192021[[#This Row],[Verbruik Latte Macchiato deze maand]]+Tabel24256789101112131415171618192120222326141518192021[[#This Row],[Verbruik Espresso deze maand]]+Tabel24256789101112131415171618192120222326141518192021[[#This Row],[Verbruik Coffee deze maand]]</f>
        <v>1651</v>
      </c>
      <c r="AD12" s="53">
        <v>791.1</v>
      </c>
      <c r="AE12">
        <f>september2025!AD12</f>
        <v>766.2</v>
      </c>
      <c r="AF12">
        <f>Tabel24256789101112131415171618192120222326141518192021[[#This Row],[Stand Kamertemp liter einde maand]]-Tabel24256789101112131415171618192120222326141518192021[[#This Row],[Stand Kamertemp liter vorige maand]]</f>
        <v>24.899999999999977</v>
      </c>
      <c r="AG12" s="2">
        <f>Tabel24256789101112131415171618192120222326141518192021[[#This Row],[Verbruik Kamertemp liter deze maand]]/0.15</f>
        <v>165.99999999999986</v>
      </c>
      <c r="AH12" s="53">
        <v>3490.9</v>
      </c>
      <c r="AI12">
        <f>september2025!AH12</f>
        <v>3310.7</v>
      </c>
      <c r="AJ12">
        <f>Tabel24256789101112131415171618192120222326141518192021[[#This Row],[Stand Gekoeld liter einde maand]]-Tabel24256789101112131415171618192120222326141518192021[[#This Row],[Stand Gekoeld liter vorige maand]]</f>
        <v>180.20000000000027</v>
      </c>
      <c r="AK12" s="2">
        <f>Tabel24256789101112131415171618192120222326141518192021[[#This Row],[Verbruik Gekoeld liter deze maand]]/0.15</f>
        <v>1201.3333333333353</v>
      </c>
      <c r="AL12" s="53">
        <v>2609.4</v>
      </c>
      <c r="AM12">
        <f>september2025!AL12</f>
        <v>2475.6</v>
      </c>
      <c r="AN12">
        <f>Tabel24256789101112131415171618192120222326141518192021[[#This Row],[Stand Bruisend liter einde maand]]-Tabel24256789101112131415171618192120222326141518192021[[#This Row],[Stand Bruisend liter vorige maand]]</f>
        <v>133.80000000000018</v>
      </c>
      <c r="AO12" s="2">
        <f>Tabel24256789101112131415171618192120222326141518192021[[#This Row],[Verbruik Bruisend liter deze maand]]/0.15</f>
        <v>892.00000000000125</v>
      </c>
      <c r="AP12" s="53">
        <v>918</v>
      </c>
      <c r="AQ12">
        <f>september2025!AP12</f>
        <v>859.5</v>
      </c>
      <c r="AR12">
        <f>Tabel24256789101112131415171618192120222326141518192021[[#This Row],[Stand licht bruisend liter einde maand]]-Tabel24256789101112131415171618192120222326141518192021[[#This Row],[Stand licht bruisend liter vorige maand]]</f>
        <v>58.5</v>
      </c>
      <c r="AS12" s="2">
        <f>Tabel24256789101112131415171618192120222326141518192021[[#This Row],[Verbruik licht bruisend liter deze maand]]/0.15</f>
        <v>390</v>
      </c>
      <c r="AT12" s="53">
        <v>6188</v>
      </c>
      <c r="AU12">
        <f>september2025!AT12</f>
        <v>5836</v>
      </c>
      <c r="AV12">
        <f>Tabel24256789101112131415171618192120222326141518192021[[#This Row],[Stand heet water liter einde maand]]-Tabel24256789101112131415171618192120222326141518192021[[#This Row],[Stand heet water liter vorige maand]]</f>
        <v>352</v>
      </c>
      <c r="AW12" s="2">
        <f>Tabel24256789101112131415171618192120222326141518192021[[#This Row],[Verbruik heet Water liter deze maand ]]/0.15</f>
        <v>2346.666666666667</v>
      </c>
      <c r="AX12" s="77">
        <f>Tabel24256789101112131415171618192120222326141518192021[[#This Row],[Aantal consumpties heet water deze maand]]+Tabel24256789101112131415171618192120222326141518192021[[#This Row],[Aantal consumpties licht bruisend water deze maand]]+Tabel24256789101112131415171618192120222326141518192021[[#This Row],[aantal consumpties Bruisend water deze maand]]+Tabel24256789101112131415171618192120222326141518192021[[#This Row],[Aantal consumpties gekoeld water deze maand]]+Tabel24256789101112131415171618192120222326141518192021[[#This Row],[Aantal consumpties Kamertemp deze maand]]</f>
        <v>4996.0000000000036</v>
      </c>
      <c r="AY12" s="95">
        <f>Tabel24256789101112131415171618192120222326141518192021[[#This Row],[Subtotaal waterbar in consumpties]]+Tabel24256789101112131415171618192120222326141518192021[[#This Row],[Subtotaal koffieautomaten]]</f>
        <v>6647.0000000000036</v>
      </c>
    </row>
    <row r="13" spans="1:130" ht="14.45" customHeight="1" x14ac:dyDescent="0.25">
      <c r="A13" s="65" t="s">
        <v>48</v>
      </c>
      <c r="B13" t="s">
        <v>49</v>
      </c>
      <c r="C13" t="s">
        <v>31</v>
      </c>
      <c r="E13">
        <v>30794</v>
      </c>
      <c r="F13">
        <f>september2025!E13</f>
        <v>29998</v>
      </c>
      <c r="G13">
        <f>Tabel24256789101112131415171618192120222326141518192021[[#This Row],[Stand Coffee einde maand]]-Tabel24256789101112131415171618192120222326141518192021[[#This Row],[Coffee vorige maand]]</f>
        <v>796</v>
      </c>
      <c r="H13" s="53">
        <v>8871</v>
      </c>
      <c r="I13">
        <f>september2025!H13</f>
        <v>8525</v>
      </c>
      <c r="J13">
        <f>Tabel24256789101112131415171618192120222326141518192021[[#This Row],[Stand Espresso Einde maand]]-Tabel24256789101112131415171618192120222326141518192021[[#This Row],[Espresso vorige maand]]</f>
        <v>346</v>
      </c>
      <c r="K13" s="53">
        <v>1612</v>
      </c>
      <c r="L13">
        <f>september2025!K13</f>
        <v>1591</v>
      </c>
      <c r="M13">
        <f>Tabel24256789101112131415171618192120222326141518192021[[#This Row],[Stand Latte Macchiato einde maand]]-Tabel24256789101112131415171618192120222326141518192021[[#This Row],[Latte Macchiato vorige maand]]</f>
        <v>21</v>
      </c>
      <c r="N13" s="53">
        <v>685</v>
      </c>
      <c r="O13">
        <f>september2025!N13</f>
        <v>664</v>
      </c>
      <c r="P13">
        <f>Tabel24256789101112131415171618192120222326141518192021[[#This Row],[Stand Coffee Latte einde maand]]-Tabel24256789101112131415171618192120222326141518192021[[#This Row],[Coffee Latte vorige maand]]</f>
        <v>21</v>
      </c>
      <c r="Q13" s="53">
        <v>81313</v>
      </c>
      <c r="R13">
        <f>september2025!Q13</f>
        <v>78183</v>
      </c>
      <c r="S13">
        <f>Tabel24256789101112131415171618192120222326141518192021[[#This Row],[Stand Hot Water einde maand]]-Tabel24256789101112131415171618192120222326141518192021[[#This Row],[Hot Water vorige maand]]</f>
        <v>3130</v>
      </c>
      <c r="T13" s="53">
        <v>16643</v>
      </c>
      <c r="U13">
        <f>september2025!T13</f>
        <v>16099</v>
      </c>
      <c r="V13">
        <f>Tabel24256789101112131415171618192120222326141518192021[[#This Row],[Stand Cappucino einde maand]]-Tabel24256789101112131415171618192120222326141518192021[[#This Row],[Stand Cappucino vorige maand]]</f>
        <v>544</v>
      </c>
      <c r="W13" s="53">
        <v>2767</v>
      </c>
      <c r="X13">
        <f>september2025!W13</f>
        <v>2715</v>
      </c>
      <c r="Y13">
        <f>Tabel24256789101112131415171618192120222326141518192021[[#This Row],[Stand Cappucino Plantaardig einde maand]]-Tabel24256789101112131415171618192120222326141518192021[[#This Row],[Stand Cappucino Plantaardig vorige maand]]</f>
        <v>52</v>
      </c>
      <c r="Z13" s="53">
        <v>1040</v>
      </c>
      <c r="AA13">
        <f>september2025!Z13</f>
        <v>1008</v>
      </c>
      <c r="AB13">
        <f>Tabel24256789101112131415171618192120222326141518192021[[#This Row],[Stand Latte Macchiato Plantaardig einde maand]]-Tabel24256789101112131415171618192120222326141518192021[[#This Row],[Stand Latte Macchiato Plantaardig vorige maand]]</f>
        <v>32</v>
      </c>
      <c r="AC13" s="71">
        <f>Tabel24256789101112131415171618192120222326141518192021[[#This Row],[Verbruik Stand Latte Macchiato Plantaardig deze maand]]+Tabel24256789101112131415171618192120222326141518192021[[#This Row],[Verbruik  Cappucino Plantaardig deze maand]]+Tabel24256789101112131415171618192120222326141518192021[[#This Row],[Verbruik Cappucino deze maand]]+Tabel24256789101112131415171618192120222326141518192021[[#This Row],[Verbruik Hot Water deze maand]]+Tabel24256789101112131415171618192120222326141518192021[[#This Row],[Verbruik Coffee Latte deze maand]]+Tabel24256789101112131415171618192120222326141518192021[[#This Row],[Verbruik Latte Macchiato deze maand]]+Tabel24256789101112131415171618192120222326141518192021[[#This Row],[Verbruik Espresso deze maand]]+Tabel24256789101112131415171618192120222326141518192021[[#This Row],[Verbruik Coffee deze maand]]</f>
        <v>4942</v>
      </c>
      <c r="AD13" s="69"/>
      <c r="AE13" s="41"/>
      <c r="AF13" s="5"/>
      <c r="AG13" s="5"/>
      <c r="AH13" s="75"/>
      <c r="AI13" s="41"/>
      <c r="AJ13" s="5"/>
      <c r="AK13" s="5"/>
      <c r="AL13" s="75"/>
      <c r="AM13" s="41"/>
      <c r="AN13" s="5"/>
      <c r="AO13" s="5"/>
      <c r="AP13" s="75"/>
      <c r="AQ13" s="41"/>
      <c r="AR13" s="5"/>
      <c r="AS13" s="5"/>
      <c r="AT13" s="75"/>
      <c r="AU13" s="41"/>
      <c r="AV13" s="5"/>
      <c r="AW13" s="5"/>
      <c r="AX13" s="79"/>
      <c r="AY13" s="95">
        <f>Tabel24256789101112131415171618192120222326141518192021[[#This Row],[Subtotaal waterbar in consumpties]]+Tabel24256789101112131415171618192120222326141518192021[[#This Row],[Subtotaal koffieautomaten]]</f>
        <v>4942</v>
      </c>
    </row>
    <row r="14" spans="1:130" ht="14.45" customHeight="1" x14ac:dyDescent="0.25">
      <c r="A14" s="65" t="s">
        <v>50</v>
      </c>
      <c r="B14" t="s">
        <v>51</v>
      </c>
      <c r="C14" t="s">
        <v>47</v>
      </c>
      <c r="E14">
        <v>25577</v>
      </c>
      <c r="F14">
        <f>september2025!E14</f>
        <v>24752</v>
      </c>
      <c r="G14">
        <f>Tabel24256789101112131415171618192120222326141518192021[[#This Row],[Stand Coffee einde maand]]-Tabel24256789101112131415171618192120222326141518192021[[#This Row],[Coffee vorige maand]]</f>
        <v>825</v>
      </c>
      <c r="H14" s="53">
        <v>7127</v>
      </c>
      <c r="I14">
        <f>september2025!H14</f>
        <v>6766</v>
      </c>
      <c r="J14">
        <f>Tabel24256789101112131415171618192120222326141518192021[[#This Row],[Stand Espresso Einde maand]]-Tabel24256789101112131415171618192120222326141518192021[[#This Row],[Espresso vorige maand]]</f>
        <v>361</v>
      </c>
      <c r="K14" s="53">
        <v>2667</v>
      </c>
      <c r="L14">
        <f>september2025!K14</f>
        <v>2594</v>
      </c>
      <c r="M14">
        <f>Tabel24256789101112131415171618192120222326141518192021[[#This Row],[Stand Latte Macchiato einde maand]]-Tabel24256789101112131415171618192120222326141518192021[[#This Row],[Latte Macchiato vorige maand]]</f>
        <v>73</v>
      </c>
      <c r="N14" s="53">
        <v>1275</v>
      </c>
      <c r="O14">
        <f>september2025!N14</f>
        <v>1271</v>
      </c>
      <c r="P14">
        <f>Tabel24256789101112131415171618192120222326141518192021[[#This Row],[Stand Coffee Latte einde maand]]-Tabel24256789101112131415171618192120222326141518192021[[#This Row],[Coffee Latte vorige maand]]</f>
        <v>4</v>
      </c>
      <c r="Q14" s="53">
        <v>1</v>
      </c>
      <c r="R14">
        <f>september2025!Q14</f>
        <v>1</v>
      </c>
      <c r="S14">
        <f>Tabel24256789101112131415171618192120222326141518192021[[#This Row],[Stand Hot Water einde maand]]-Tabel24256789101112131415171618192120222326141518192021[[#This Row],[Hot Water vorige maand]]</f>
        <v>0</v>
      </c>
      <c r="T14" s="53">
        <v>11204</v>
      </c>
      <c r="U14">
        <f>september2025!T14</f>
        <v>10931</v>
      </c>
      <c r="V14">
        <f>Tabel24256789101112131415171618192120222326141518192021[[#This Row],[Stand Cappucino einde maand]]-Tabel24256789101112131415171618192120222326141518192021[[#This Row],[Stand Cappucino vorige maand]]</f>
        <v>273</v>
      </c>
      <c r="W14" s="53">
        <v>1377</v>
      </c>
      <c r="X14">
        <f>september2025!W14</f>
        <v>1335</v>
      </c>
      <c r="Y14">
        <f>Tabel24256789101112131415171618192120222326141518192021[[#This Row],[Stand Cappucino Plantaardig einde maand]]-Tabel24256789101112131415171618192120222326141518192021[[#This Row],[Stand Cappucino Plantaardig vorige maand]]</f>
        <v>42</v>
      </c>
      <c r="Z14" s="53">
        <v>811</v>
      </c>
      <c r="AA14">
        <f>september2025!Z14</f>
        <v>794</v>
      </c>
      <c r="AB14">
        <f>Tabel24256789101112131415171618192120222326141518192021[[#This Row],[Stand Latte Macchiato Plantaardig einde maand]]-Tabel24256789101112131415171618192120222326141518192021[[#This Row],[Stand Latte Macchiato Plantaardig vorige maand]]</f>
        <v>17</v>
      </c>
      <c r="AC14" s="71">
        <f>Tabel24256789101112131415171618192120222326141518192021[[#This Row],[Verbruik Stand Latte Macchiato Plantaardig deze maand]]+Tabel24256789101112131415171618192120222326141518192021[[#This Row],[Verbruik  Cappucino Plantaardig deze maand]]+Tabel24256789101112131415171618192120222326141518192021[[#This Row],[Verbruik Cappucino deze maand]]+Tabel24256789101112131415171618192120222326141518192021[[#This Row],[Verbruik Hot Water deze maand]]+Tabel24256789101112131415171618192120222326141518192021[[#This Row],[Verbruik Coffee Latte deze maand]]+Tabel24256789101112131415171618192120222326141518192021[[#This Row],[Verbruik Latte Macchiato deze maand]]+Tabel24256789101112131415171618192120222326141518192021[[#This Row],[Verbruik Espresso deze maand]]+Tabel24256789101112131415171618192120222326141518192021[[#This Row],[Verbruik Coffee deze maand]]</f>
        <v>1595</v>
      </c>
      <c r="AD14" s="53">
        <v>54.8</v>
      </c>
      <c r="AE14">
        <f>september2025!AD14</f>
        <v>11.9</v>
      </c>
      <c r="AF14">
        <f>Tabel24256789101112131415171618192120222326141518192021[[#This Row],[Stand Kamertemp liter einde maand]]-Tabel24256789101112131415171618192120222326141518192021[[#This Row],[Stand Kamertemp liter vorige maand]]</f>
        <v>42.9</v>
      </c>
      <c r="AG14" s="2">
        <f>Tabel24256789101112131415171618192120222326141518192021[[#This Row],[Verbruik Kamertemp liter deze maand]]/0.15</f>
        <v>286</v>
      </c>
      <c r="AH14" s="53">
        <v>339.9</v>
      </c>
      <c r="AI14">
        <f>september2025!AH14</f>
        <v>103.3</v>
      </c>
      <c r="AJ14">
        <f>Tabel24256789101112131415171618192120222326141518192021[[#This Row],[Stand Gekoeld liter einde maand]]-Tabel24256789101112131415171618192120222326141518192021[[#This Row],[Stand Gekoeld liter vorige maand]]</f>
        <v>236.59999999999997</v>
      </c>
      <c r="AK14" s="2">
        <f>Tabel24256789101112131415171618192120222326141518192021[[#This Row],[Verbruik Gekoeld liter deze maand]]/0.15</f>
        <v>1577.3333333333333</v>
      </c>
      <c r="AL14" s="53">
        <v>190.4</v>
      </c>
      <c r="AM14">
        <f>september2025!AL14</f>
        <v>50.4</v>
      </c>
      <c r="AN14">
        <f>Tabel24256789101112131415171618192120222326141518192021[[#This Row],[Stand Bruisend liter einde maand]]-Tabel24256789101112131415171618192120222326141518192021[[#This Row],[Stand Bruisend liter vorige maand]]</f>
        <v>140</v>
      </c>
      <c r="AO14" s="2">
        <f>Tabel24256789101112131415171618192120222326141518192021[[#This Row],[Verbruik Bruisend liter deze maand]]/0.15</f>
        <v>933.33333333333337</v>
      </c>
      <c r="AP14" s="53">
        <v>97.6</v>
      </c>
      <c r="AQ14">
        <f>september2025!AP14</f>
        <v>26.2</v>
      </c>
      <c r="AR14">
        <f>Tabel24256789101112131415171618192120222326141518192021[[#This Row],[Stand licht bruisend liter einde maand]]-Tabel24256789101112131415171618192120222326141518192021[[#This Row],[Stand licht bruisend liter vorige maand]]</f>
        <v>71.399999999999991</v>
      </c>
      <c r="AS14" s="2">
        <f>Tabel24256789101112131415171618192120222326141518192021[[#This Row],[Verbruik licht bruisend liter deze maand]]/0.15</f>
        <v>475.99999999999994</v>
      </c>
      <c r="AT14" s="53">
        <v>762.2</v>
      </c>
      <c r="AU14">
        <f>september2025!AT14</f>
        <v>207.7</v>
      </c>
      <c r="AV14">
        <f>Tabel24256789101112131415171618192120222326141518192021[[#This Row],[Stand heet water liter einde maand]]-Tabel24256789101112131415171618192120222326141518192021[[#This Row],[Stand heet water liter vorige maand]]</f>
        <v>554.5</v>
      </c>
      <c r="AW14" s="2">
        <f>Tabel24256789101112131415171618192120222326141518192021[[#This Row],[Verbruik heet Water liter deze maand ]]/0.15</f>
        <v>3696.666666666667</v>
      </c>
      <c r="AX14" s="77">
        <f>Tabel24256789101112131415171618192120222326141518192021[[#This Row],[Aantal consumpties heet water deze maand]]+Tabel24256789101112131415171618192120222326141518192021[[#This Row],[Aantal consumpties licht bruisend water deze maand]]+Tabel24256789101112131415171618192120222326141518192021[[#This Row],[aantal consumpties Bruisend water deze maand]]+Tabel24256789101112131415171618192120222326141518192021[[#This Row],[Aantal consumpties gekoeld water deze maand]]+Tabel24256789101112131415171618192120222326141518192021[[#This Row],[Aantal consumpties Kamertemp deze maand]]</f>
        <v>6969.333333333333</v>
      </c>
      <c r="AY14" s="95">
        <f>Tabel24256789101112131415171618192120222326141518192021[[#This Row],[Subtotaal waterbar in consumpties]]+Tabel24256789101112131415171618192120222326141518192021[[#This Row],[Subtotaal koffieautomaten]]</f>
        <v>8564.3333333333321</v>
      </c>
    </row>
    <row r="15" spans="1:130" ht="14.45" customHeight="1" x14ac:dyDescent="0.25">
      <c r="A15" s="65" t="s">
        <v>52</v>
      </c>
      <c r="B15" t="s">
        <v>53</v>
      </c>
      <c r="C15" t="s">
        <v>31</v>
      </c>
      <c r="E15">
        <v>22057</v>
      </c>
      <c r="F15">
        <f>september2025!E15</f>
        <v>21659</v>
      </c>
      <c r="G15">
        <f>Tabel24256789101112131415171618192120222326141518192021[[#This Row],[Stand Coffee einde maand]]-Tabel24256789101112131415171618192120222326141518192021[[#This Row],[Coffee vorige maand]]</f>
        <v>398</v>
      </c>
      <c r="H15" s="53">
        <v>5993</v>
      </c>
      <c r="I15">
        <f>september2025!H15</f>
        <v>5902</v>
      </c>
      <c r="J15">
        <f>Tabel24256789101112131415171618192120222326141518192021[[#This Row],[Stand Espresso Einde maand]]-Tabel24256789101112131415171618192120222326141518192021[[#This Row],[Espresso vorige maand]]</f>
        <v>91</v>
      </c>
      <c r="K15" s="53">
        <v>1323</v>
      </c>
      <c r="L15">
        <f>september2025!K15</f>
        <v>1278</v>
      </c>
      <c r="M15">
        <f>Tabel24256789101112131415171618192120222326141518192021[[#This Row],[Stand Latte Macchiato einde maand]]-Tabel24256789101112131415171618192120222326141518192021[[#This Row],[Latte Macchiato vorige maand]]</f>
        <v>45</v>
      </c>
      <c r="N15" s="53">
        <v>1408</v>
      </c>
      <c r="O15">
        <f>september2025!N15</f>
        <v>1376</v>
      </c>
      <c r="P15">
        <f>Tabel24256789101112131415171618192120222326141518192021[[#This Row],[Stand Coffee Latte einde maand]]-Tabel24256789101112131415171618192120222326141518192021[[#This Row],[Coffee Latte vorige maand]]</f>
        <v>32</v>
      </c>
      <c r="Q15" s="53">
        <v>40634</v>
      </c>
      <c r="R15">
        <f>september2025!Q15</f>
        <v>38923</v>
      </c>
      <c r="S15">
        <f>Tabel24256789101112131415171618192120222326141518192021[[#This Row],[Stand Hot Water einde maand]]-Tabel24256789101112131415171618192120222326141518192021[[#This Row],[Hot Water vorige maand]]</f>
        <v>1711</v>
      </c>
      <c r="T15" s="53">
        <v>9780</v>
      </c>
      <c r="U15">
        <f>september2025!T15</f>
        <v>9476</v>
      </c>
      <c r="V15">
        <f>Tabel24256789101112131415171618192120222326141518192021[[#This Row],[Stand Cappucino einde maand]]-Tabel24256789101112131415171618192120222326141518192021[[#This Row],[Stand Cappucino vorige maand]]</f>
        <v>304</v>
      </c>
      <c r="W15" s="53">
        <v>2013</v>
      </c>
      <c r="X15">
        <f>september2025!W15</f>
        <v>1965</v>
      </c>
      <c r="Y15">
        <f>Tabel24256789101112131415171618192120222326141518192021[[#This Row],[Stand Cappucino Plantaardig einde maand]]-Tabel24256789101112131415171618192120222326141518192021[[#This Row],[Stand Cappucino Plantaardig vorige maand]]</f>
        <v>48</v>
      </c>
      <c r="Z15" s="53">
        <v>499</v>
      </c>
      <c r="AA15">
        <f>september2025!Z15</f>
        <v>484</v>
      </c>
      <c r="AB15">
        <f>Tabel24256789101112131415171618192120222326141518192021[[#This Row],[Stand Latte Macchiato Plantaardig einde maand]]-Tabel24256789101112131415171618192120222326141518192021[[#This Row],[Stand Latte Macchiato Plantaardig vorige maand]]</f>
        <v>15</v>
      </c>
      <c r="AC15" s="71">
        <f>Tabel24256789101112131415171618192120222326141518192021[[#This Row],[Verbruik Stand Latte Macchiato Plantaardig deze maand]]+Tabel24256789101112131415171618192120222326141518192021[[#This Row],[Verbruik  Cappucino Plantaardig deze maand]]+Tabel24256789101112131415171618192120222326141518192021[[#This Row],[Verbruik Cappucino deze maand]]+Tabel24256789101112131415171618192120222326141518192021[[#This Row],[Verbruik Hot Water deze maand]]+Tabel24256789101112131415171618192120222326141518192021[[#This Row],[Verbruik Coffee Latte deze maand]]+Tabel24256789101112131415171618192120222326141518192021[[#This Row],[Verbruik Latte Macchiato deze maand]]+Tabel24256789101112131415171618192120222326141518192021[[#This Row],[Verbruik Espresso deze maand]]+Tabel24256789101112131415171618192120222326141518192021[[#This Row],[Verbruik Coffee deze maand]]</f>
        <v>2644</v>
      </c>
      <c r="AD15" s="69"/>
      <c r="AE15" s="41"/>
      <c r="AF15" s="5"/>
      <c r="AG15" s="5"/>
      <c r="AH15" s="75"/>
      <c r="AI15" s="41"/>
      <c r="AJ15" s="5"/>
      <c r="AK15" s="5"/>
      <c r="AL15" s="75"/>
      <c r="AM15" s="41"/>
      <c r="AN15" s="5"/>
      <c r="AO15" s="5"/>
      <c r="AP15" s="75"/>
      <c r="AQ15" s="41"/>
      <c r="AR15" s="5"/>
      <c r="AS15" s="5"/>
      <c r="AT15" s="75"/>
      <c r="AU15" s="41"/>
      <c r="AV15" s="5"/>
      <c r="AW15" s="5"/>
      <c r="AX15" s="79"/>
      <c r="AY15" s="95">
        <f>Tabel24256789101112131415171618192120222326141518192021[[#This Row],[Subtotaal waterbar in consumpties]]+Tabel24256789101112131415171618192120222326141518192021[[#This Row],[Subtotaal koffieautomaten]]</f>
        <v>2644</v>
      </c>
    </row>
    <row r="16" spans="1:130" ht="14.45" customHeight="1" x14ac:dyDescent="0.25">
      <c r="A16" s="65" t="s">
        <v>54</v>
      </c>
      <c r="B16" t="s">
        <v>55</v>
      </c>
      <c r="C16" t="s">
        <v>47</v>
      </c>
      <c r="E16">
        <v>3661</v>
      </c>
      <c r="F16">
        <f>september2025!E16</f>
        <v>3422</v>
      </c>
      <c r="G16">
        <f>Tabel24256789101112131415171618192120222326141518192021[[#This Row],[Stand Coffee einde maand]]-Tabel24256789101112131415171618192120222326141518192021[[#This Row],[Coffee vorige maand]]</f>
        <v>239</v>
      </c>
      <c r="H16" s="53">
        <v>4431</v>
      </c>
      <c r="I16">
        <f>september2025!H16</f>
        <v>4196</v>
      </c>
      <c r="J16">
        <f>Tabel24256789101112131415171618192120222326141518192021[[#This Row],[Stand Espresso Einde maand]]-Tabel24256789101112131415171618192120222326141518192021[[#This Row],[Espresso vorige maand]]</f>
        <v>235</v>
      </c>
      <c r="K16" s="53">
        <v>429</v>
      </c>
      <c r="L16">
        <f>september2025!K16</f>
        <v>380</v>
      </c>
      <c r="M16">
        <f>Tabel24256789101112131415171618192120222326141518192021[[#This Row],[Stand Latte Macchiato einde maand]]-Tabel24256789101112131415171618192120222326141518192021[[#This Row],[Latte Macchiato vorige maand]]</f>
        <v>49</v>
      </c>
      <c r="N16" s="53">
        <v>197</v>
      </c>
      <c r="O16">
        <f>september2025!N16</f>
        <v>196</v>
      </c>
      <c r="P16">
        <f>Tabel24256789101112131415171618192120222326141518192021[[#This Row],[Stand Coffee Latte einde maand]]-Tabel24256789101112131415171618192120222326141518192021[[#This Row],[Coffee Latte vorige maand]]</f>
        <v>1</v>
      </c>
      <c r="Q16" s="53">
        <v>1236</v>
      </c>
      <c r="R16">
        <f>september2025!Q16</f>
        <v>1123</v>
      </c>
      <c r="S16">
        <f>Tabel24256789101112131415171618192120222326141518192021[[#This Row],[Stand Hot Water einde maand]]-Tabel24256789101112131415171618192120222326141518192021[[#This Row],[Hot Water vorige maand]]</f>
        <v>113</v>
      </c>
      <c r="T16" s="53">
        <v>5445</v>
      </c>
      <c r="U16">
        <f>september2025!T16</f>
        <v>5113</v>
      </c>
      <c r="V16">
        <f>Tabel24256789101112131415171618192120222326141518192021[[#This Row],[Stand Cappucino einde maand]]-Tabel24256789101112131415171618192120222326141518192021[[#This Row],[Stand Cappucino vorige maand]]</f>
        <v>332</v>
      </c>
      <c r="W16" s="53">
        <v>516</v>
      </c>
      <c r="X16">
        <f>september2025!W16</f>
        <v>464</v>
      </c>
      <c r="Y16">
        <f>Tabel24256789101112131415171618192120222326141518192021[[#This Row],[Stand Cappucino Plantaardig einde maand]]-Tabel24256789101112131415171618192120222326141518192021[[#This Row],[Stand Cappucino Plantaardig vorige maand]]</f>
        <v>52</v>
      </c>
      <c r="Z16" s="53">
        <v>59</v>
      </c>
      <c r="AA16">
        <f>september2025!Z16</f>
        <v>58</v>
      </c>
      <c r="AB16">
        <f>Tabel24256789101112131415171618192120222326141518192021[[#This Row],[Stand Latte Macchiato Plantaardig einde maand]]-Tabel24256789101112131415171618192120222326141518192021[[#This Row],[Stand Latte Macchiato Plantaardig vorige maand]]</f>
        <v>1</v>
      </c>
      <c r="AC16" s="71">
        <f>Tabel24256789101112131415171618192120222326141518192021[[#This Row],[Verbruik Stand Latte Macchiato Plantaardig deze maand]]+Tabel24256789101112131415171618192120222326141518192021[[#This Row],[Verbruik  Cappucino Plantaardig deze maand]]+Tabel24256789101112131415171618192120222326141518192021[[#This Row],[Verbruik Cappucino deze maand]]+Tabel24256789101112131415171618192120222326141518192021[[#This Row],[Verbruik Hot Water deze maand]]+Tabel24256789101112131415171618192120222326141518192021[[#This Row],[Verbruik Coffee Latte deze maand]]+Tabel24256789101112131415171618192120222326141518192021[[#This Row],[Verbruik Latte Macchiato deze maand]]+Tabel24256789101112131415171618192120222326141518192021[[#This Row],[Verbruik Espresso deze maand]]+Tabel24256789101112131415171618192120222326141518192021[[#This Row],[Verbruik Coffee deze maand]]</f>
        <v>1022</v>
      </c>
      <c r="AD16" s="53">
        <v>91.3</v>
      </c>
      <c r="AE16">
        <f>september2025!AD16</f>
        <v>77</v>
      </c>
      <c r="AF16">
        <f>Tabel24256789101112131415171618192120222326141518192021[[#This Row],[Stand Kamertemp liter einde maand]]-Tabel24256789101112131415171618192120222326141518192021[[#This Row],[Stand Kamertemp liter vorige maand]]</f>
        <v>14.299999999999997</v>
      </c>
      <c r="AG16" s="2">
        <f>Tabel24256789101112131415171618192120222326141518192021[[#This Row],[Verbruik Kamertemp liter deze maand]]/0.15</f>
        <v>95.333333333333314</v>
      </c>
      <c r="AH16" s="51">
        <v>1100.5999999999999</v>
      </c>
      <c r="AI16">
        <f>september2025!AH16</f>
        <v>978.7</v>
      </c>
      <c r="AJ16">
        <f>Tabel24256789101112131415171618192120222326141518192021[[#This Row],[Stand Gekoeld liter einde maand]]-Tabel24256789101112131415171618192120222326141518192021[[#This Row],[Stand Gekoeld liter vorige maand]]</f>
        <v>121.89999999999986</v>
      </c>
      <c r="AK16" s="2">
        <f>Tabel24256789101112131415171618192120222326141518192021[[#This Row],[Verbruik Gekoeld liter deze maand]]/0.15</f>
        <v>812.66666666666583</v>
      </c>
      <c r="AL16" s="51">
        <v>863.3</v>
      </c>
      <c r="AM16">
        <f>september2025!AL16</f>
        <v>736.1</v>
      </c>
      <c r="AN16">
        <f>Tabel24256789101112131415171618192120222326141518192021[[#This Row],[Stand Bruisend liter einde maand]]-Tabel24256789101112131415171618192120222326141518192021[[#This Row],[Stand Bruisend liter vorige maand]]</f>
        <v>127.19999999999993</v>
      </c>
      <c r="AO16" s="2">
        <f>Tabel24256789101112131415171618192120222326141518192021[[#This Row],[Verbruik Bruisend liter deze maand]]/0.15</f>
        <v>847.99999999999955</v>
      </c>
      <c r="AP16" s="51">
        <v>159.4</v>
      </c>
      <c r="AQ16">
        <f>september2025!AP16</f>
        <v>145.4</v>
      </c>
      <c r="AR16">
        <f>Tabel24256789101112131415171618192120222326141518192021[[#This Row],[Stand licht bruisend liter einde maand]]-Tabel24256789101112131415171618192120222326141518192021[[#This Row],[Stand licht bruisend liter vorige maand]]</f>
        <v>14</v>
      </c>
      <c r="AS16" s="2">
        <f>Tabel24256789101112131415171618192120222326141518192021[[#This Row],[Verbruik licht bruisend liter deze maand]]/0.15</f>
        <v>93.333333333333343</v>
      </c>
      <c r="AT16" s="51">
        <v>2028.8</v>
      </c>
      <c r="AU16">
        <f>september2025!AT16</f>
        <v>1757.5</v>
      </c>
      <c r="AV16">
        <f>Tabel24256789101112131415171618192120222326141518192021[[#This Row],[Stand heet water liter einde maand]]-Tabel24256789101112131415171618192120222326141518192021[[#This Row],[Stand heet water liter vorige maand]]</f>
        <v>271.29999999999995</v>
      </c>
      <c r="AW16" s="2">
        <f>Tabel24256789101112131415171618192120222326141518192021[[#This Row],[Verbruik heet Water liter deze maand ]]/0.15</f>
        <v>1808.6666666666665</v>
      </c>
      <c r="AX16" s="77">
        <f>Tabel24256789101112131415171618192120222326141518192021[[#This Row],[Aantal consumpties heet water deze maand]]+Tabel24256789101112131415171618192120222326141518192021[[#This Row],[Aantal consumpties licht bruisend water deze maand]]+Tabel24256789101112131415171618192120222326141518192021[[#This Row],[aantal consumpties Bruisend water deze maand]]+Tabel24256789101112131415171618192120222326141518192021[[#This Row],[Aantal consumpties gekoeld water deze maand]]+Tabel24256789101112131415171618192120222326141518192021[[#This Row],[Aantal consumpties Kamertemp deze maand]]</f>
        <v>3657.9999999999986</v>
      </c>
      <c r="AY16" s="95">
        <f>Tabel24256789101112131415171618192120222326141518192021[[#This Row],[Subtotaal waterbar in consumpties]]+Tabel24256789101112131415171618192120222326141518192021[[#This Row],[Subtotaal koffieautomaten]]</f>
        <v>4679.9999999999982</v>
      </c>
    </row>
    <row r="17" spans="1:130" ht="14.45" customHeight="1" x14ac:dyDescent="0.25">
      <c r="A17" s="65" t="s">
        <v>56</v>
      </c>
      <c r="B17" t="s">
        <v>57</v>
      </c>
      <c r="C17" t="s">
        <v>31</v>
      </c>
      <c r="E17">
        <v>33459</v>
      </c>
      <c r="F17">
        <f>september2025!E17</f>
        <v>32348</v>
      </c>
      <c r="G17">
        <f>Tabel24256789101112131415171618192120222326141518192021[[#This Row],[Stand Coffee einde maand]]-Tabel24256789101112131415171618192120222326141518192021[[#This Row],[Coffee vorige maand]]</f>
        <v>1111</v>
      </c>
      <c r="H17" s="53">
        <v>6323</v>
      </c>
      <c r="I17">
        <f>september2025!H17</f>
        <v>6202</v>
      </c>
      <c r="J17">
        <f>Tabel24256789101112131415171618192120222326141518192021[[#This Row],[Stand Espresso Einde maand]]-Tabel24256789101112131415171618192120222326141518192021[[#This Row],[Espresso vorige maand]]</f>
        <v>121</v>
      </c>
      <c r="K17" s="53">
        <v>882</v>
      </c>
      <c r="L17">
        <f>september2025!K17</f>
        <v>864</v>
      </c>
      <c r="M17">
        <f>Tabel24256789101112131415171618192120222326141518192021[[#This Row],[Stand Latte Macchiato einde maand]]-Tabel24256789101112131415171618192120222326141518192021[[#This Row],[Latte Macchiato vorige maand]]</f>
        <v>18</v>
      </c>
      <c r="N17" s="53">
        <v>1857</v>
      </c>
      <c r="O17">
        <f>september2025!N17</f>
        <v>1817</v>
      </c>
      <c r="P17">
        <f>Tabel24256789101112131415171618192120222326141518192021[[#This Row],[Stand Coffee Latte einde maand]]-Tabel24256789101112131415171618192120222326141518192021[[#This Row],[Coffee Latte vorige maand]]</f>
        <v>40</v>
      </c>
      <c r="Q17" s="53">
        <v>53582</v>
      </c>
      <c r="R17">
        <f>september2025!Q17</f>
        <v>51306</v>
      </c>
      <c r="S17">
        <f>Tabel24256789101112131415171618192120222326141518192021[[#This Row],[Stand Hot Water einde maand]]-Tabel24256789101112131415171618192120222326141518192021[[#This Row],[Hot Water vorige maand]]</f>
        <v>2276</v>
      </c>
      <c r="T17" s="53">
        <v>12764</v>
      </c>
      <c r="U17">
        <f>september2025!T17</f>
        <v>12538</v>
      </c>
      <c r="V17">
        <f>Tabel24256789101112131415171618192120222326141518192021[[#This Row],[Stand Cappucino einde maand]]-Tabel24256789101112131415171618192120222326141518192021[[#This Row],[Stand Cappucino vorige maand]]</f>
        <v>226</v>
      </c>
      <c r="W17" s="53">
        <v>3920</v>
      </c>
      <c r="X17">
        <f>september2025!W17</f>
        <v>3816</v>
      </c>
      <c r="Y17">
        <f>Tabel24256789101112131415171618192120222326141518192021[[#This Row],[Stand Cappucino Plantaardig einde maand]]-Tabel24256789101112131415171618192120222326141518192021[[#This Row],[Stand Cappucino Plantaardig vorige maand]]</f>
        <v>104</v>
      </c>
      <c r="Z17" s="53">
        <v>1039</v>
      </c>
      <c r="AA17">
        <f>september2025!Z17</f>
        <v>1019</v>
      </c>
      <c r="AB17">
        <f>Tabel24256789101112131415171618192120222326141518192021[[#This Row],[Stand Latte Macchiato Plantaardig einde maand]]-Tabel24256789101112131415171618192120222326141518192021[[#This Row],[Stand Latte Macchiato Plantaardig vorige maand]]</f>
        <v>20</v>
      </c>
      <c r="AC17" s="71">
        <f>Tabel24256789101112131415171618192120222326141518192021[[#This Row],[Verbruik Stand Latte Macchiato Plantaardig deze maand]]+Tabel24256789101112131415171618192120222326141518192021[[#This Row],[Verbruik  Cappucino Plantaardig deze maand]]+Tabel24256789101112131415171618192120222326141518192021[[#This Row],[Verbruik Cappucino deze maand]]+Tabel24256789101112131415171618192120222326141518192021[[#This Row],[Verbruik Hot Water deze maand]]+Tabel24256789101112131415171618192120222326141518192021[[#This Row],[Verbruik Coffee Latte deze maand]]+Tabel24256789101112131415171618192120222326141518192021[[#This Row],[Verbruik Latte Macchiato deze maand]]+Tabel24256789101112131415171618192120222326141518192021[[#This Row],[Verbruik Espresso deze maand]]+Tabel24256789101112131415171618192120222326141518192021[[#This Row],[Verbruik Coffee deze maand]]</f>
        <v>3916</v>
      </c>
      <c r="AD17" s="69"/>
      <c r="AE17" s="41"/>
      <c r="AF17" s="5"/>
      <c r="AG17" s="5"/>
      <c r="AH17" s="75"/>
      <c r="AI17" s="41"/>
      <c r="AJ17" s="5"/>
      <c r="AK17" s="5"/>
      <c r="AL17" s="75"/>
      <c r="AM17" s="41"/>
      <c r="AN17" s="5"/>
      <c r="AO17" s="5"/>
      <c r="AP17" s="75"/>
      <c r="AQ17" s="41"/>
      <c r="AR17" s="5"/>
      <c r="AS17" s="5"/>
      <c r="AT17" s="75"/>
      <c r="AU17" s="41"/>
      <c r="AV17" s="5"/>
      <c r="AW17" s="5"/>
      <c r="AX17" s="79"/>
      <c r="AY17" s="95">
        <f>Tabel24256789101112131415171618192120222326141518192021[[#This Row],[Subtotaal waterbar in consumpties]]+Tabel24256789101112131415171618192120222326141518192021[[#This Row],[Subtotaal koffieautomaten]]</f>
        <v>3916</v>
      </c>
    </row>
    <row r="18" spans="1:130" ht="14.45" customHeight="1" x14ac:dyDescent="0.25">
      <c r="A18" s="65" t="s">
        <v>58</v>
      </c>
      <c r="B18" t="s">
        <v>59</v>
      </c>
      <c r="C18" t="s">
        <v>47</v>
      </c>
      <c r="E18">
        <v>23168</v>
      </c>
      <c r="F18">
        <f>september2025!E18</f>
        <v>22575</v>
      </c>
      <c r="G18">
        <f>Tabel24256789101112131415171618192120222326141518192021[[#This Row],[Stand Coffee einde maand]]-Tabel24256789101112131415171618192120222326141518192021[[#This Row],[Coffee vorige maand]]</f>
        <v>593</v>
      </c>
      <c r="H18" s="53">
        <v>6800</v>
      </c>
      <c r="I18">
        <f>september2025!H18</f>
        <v>6427</v>
      </c>
      <c r="J18">
        <f>Tabel24256789101112131415171618192120222326141518192021[[#This Row],[Stand Espresso Einde maand]]-Tabel24256789101112131415171618192120222326141518192021[[#This Row],[Espresso vorige maand]]</f>
        <v>373</v>
      </c>
      <c r="K18" s="53">
        <v>3215</v>
      </c>
      <c r="L18">
        <f>september2025!K18</f>
        <v>3124</v>
      </c>
      <c r="M18">
        <f>Tabel24256789101112131415171618192120222326141518192021[[#This Row],[Stand Latte Macchiato einde maand]]-Tabel24256789101112131415171618192120222326141518192021[[#This Row],[Latte Macchiato vorige maand]]</f>
        <v>91</v>
      </c>
      <c r="N18" s="53">
        <v>861</v>
      </c>
      <c r="O18">
        <f>september2025!N18</f>
        <v>831</v>
      </c>
      <c r="P18">
        <f>Tabel24256789101112131415171618192120222326141518192021[[#This Row],[Stand Coffee Latte einde maand]]-Tabel24256789101112131415171618192120222326141518192021[[#This Row],[Coffee Latte vorige maand]]</f>
        <v>30</v>
      </c>
      <c r="Q18" s="53">
        <v>1</v>
      </c>
      <c r="R18">
        <f>september2025!Q18</f>
        <v>1</v>
      </c>
      <c r="S18">
        <f>Tabel24256789101112131415171618192120222326141518192021[[#This Row],[Stand Hot Water einde maand]]-Tabel24256789101112131415171618192120222326141518192021[[#This Row],[Hot Water vorige maand]]</f>
        <v>0</v>
      </c>
      <c r="T18" s="53">
        <v>12642</v>
      </c>
      <c r="U18">
        <f>september2025!T18</f>
        <v>12229</v>
      </c>
      <c r="V18">
        <f>Tabel24256789101112131415171618192120222326141518192021[[#This Row],[Stand Cappucino einde maand]]-Tabel24256789101112131415171618192120222326141518192021[[#This Row],[Stand Cappucino vorige maand]]</f>
        <v>413</v>
      </c>
      <c r="W18" s="53">
        <v>4592</v>
      </c>
      <c r="X18">
        <f>september2025!W18</f>
        <v>4464</v>
      </c>
      <c r="Y18">
        <f>Tabel24256789101112131415171618192120222326141518192021[[#This Row],[Stand Cappucino Plantaardig einde maand]]-Tabel24256789101112131415171618192120222326141518192021[[#This Row],[Stand Cappucino Plantaardig vorige maand]]</f>
        <v>128</v>
      </c>
      <c r="Z18" s="53">
        <v>533</v>
      </c>
      <c r="AA18">
        <f>september2025!Z18</f>
        <v>510</v>
      </c>
      <c r="AB18">
        <f>Tabel24256789101112131415171618192120222326141518192021[[#This Row],[Stand Latte Macchiato Plantaardig einde maand]]-Tabel24256789101112131415171618192120222326141518192021[[#This Row],[Stand Latte Macchiato Plantaardig vorige maand]]</f>
        <v>23</v>
      </c>
      <c r="AC18" s="71">
        <f>Tabel24256789101112131415171618192120222326141518192021[[#This Row],[Verbruik Stand Latte Macchiato Plantaardig deze maand]]+Tabel24256789101112131415171618192120222326141518192021[[#This Row],[Verbruik  Cappucino Plantaardig deze maand]]+Tabel24256789101112131415171618192120222326141518192021[[#This Row],[Verbruik Cappucino deze maand]]+Tabel24256789101112131415171618192120222326141518192021[[#This Row],[Verbruik Hot Water deze maand]]+Tabel24256789101112131415171618192120222326141518192021[[#This Row],[Verbruik Coffee Latte deze maand]]+Tabel24256789101112131415171618192120222326141518192021[[#This Row],[Verbruik Latte Macchiato deze maand]]+Tabel24256789101112131415171618192120222326141518192021[[#This Row],[Verbruik Espresso deze maand]]+Tabel24256789101112131415171618192120222326141518192021[[#This Row],[Verbruik Coffee deze maand]]</f>
        <v>1651</v>
      </c>
      <c r="AD18" s="53">
        <v>733.5</v>
      </c>
      <c r="AE18">
        <f>september2025!AD18</f>
        <v>690.6</v>
      </c>
      <c r="AF18">
        <f>Tabel24256789101112131415171618192120222326141518192021[[#This Row],[Stand Kamertemp liter einde maand]]-Tabel24256789101112131415171618192120222326141518192021[[#This Row],[Stand Kamertemp liter vorige maand]]</f>
        <v>42.899999999999977</v>
      </c>
      <c r="AG18" s="2">
        <f>Tabel24256789101112131415171618192120222326141518192021[[#This Row],[Verbruik Kamertemp liter deze maand]]/0.15</f>
        <v>285.99999999999989</v>
      </c>
      <c r="AH18" s="53">
        <v>3287.2</v>
      </c>
      <c r="AI18">
        <f>september2025!AH18</f>
        <v>3062.4</v>
      </c>
      <c r="AJ18">
        <f>Tabel24256789101112131415171618192120222326141518192021[[#This Row],[Stand Gekoeld liter einde maand]]-Tabel24256789101112131415171618192120222326141518192021[[#This Row],[Stand Gekoeld liter vorige maand]]</f>
        <v>224.79999999999973</v>
      </c>
      <c r="AK18" s="2">
        <f>Tabel24256789101112131415171618192120222326141518192021[[#This Row],[Verbruik Gekoeld liter deze maand]]/0.15</f>
        <v>1498.6666666666649</v>
      </c>
      <c r="AL18" s="53">
        <v>2536.4</v>
      </c>
      <c r="AM18">
        <f>september2025!AL18</f>
        <v>2411</v>
      </c>
      <c r="AN18">
        <f>Tabel24256789101112131415171618192120222326141518192021[[#This Row],[Stand Bruisend liter einde maand]]-Tabel24256789101112131415171618192120222326141518192021[[#This Row],[Stand Bruisend liter vorige maand]]</f>
        <v>125.40000000000009</v>
      </c>
      <c r="AO18" s="2">
        <f>Tabel24256789101112131415171618192120222326141518192021[[#This Row],[Verbruik Bruisend liter deze maand]]/0.15</f>
        <v>836.00000000000068</v>
      </c>
      <c r="AP18" s="53">
        <v>962.1</v>
      </c>
      <c r="AQ18">
        <f>september2025!AP18</f>
        <v>904.2</v>
      </c>
      <c r="AR18">
        <f>Tabel24256789101112131415171618192120222326141518192021[[#This Row],[Stand licht bruisend liter einde maand]]-Tabel24256789101112131415171618192120222326141518192021[[#This Row],[Stand licht bruisend liter vorige maand]]</f>
        <v>57.899999999999977</v>
      </c>
      <c r="AS18" s="2">
        <f>Tabel24256789101112131415171618192120222326141518192021[[#This Row],[Verbruik licht bruisend liter deze maand]]/0.15</f>
        <v>385.99999999999989</v>
      </c>
      <c r="AT18" s="53">
        <v>6395.4</v>
      </c>
      <c r="AU18">
        <f>september2025!AT18</f>
        <v>5959.3</v>
      </c>
      <c r="AV18">
        <f>Tabel24256789101112131415171618192120222326141518192021[[#This Row],[Stand heet water liter einde maand]]-Tabel24256789101112131415171618192120222326141518192021[[#This Row],[Stand heet water liter vorige maand]]</f>
        <v>436.09999999999945</v>
      </c>
      <c r="AW18" s="2">
        <f>Tabel24256789101112131415171618192120222326141518192021[[#This Row],[Verbruik heet Water liter deze maand ]]/0.15</f>
        <v>2907.3333333333298</v>
      </c>
      <c r="AX18" s="77">
        <f>Tabel24256789101112131415171618192120222326141518192021[[#This Row],[Aantal consumpties heet water deze maand]]+Tabel24256789101112131415171618192120222326141518192021[[#This Row],[Aantal consumpties licht bruisend water deze maand]]+Tabel24256789101112131415171618192120222326141518192021[[#This Row],[aantal consumpties Bruisend water deze maand]]+Tabel24256789101112131415171618192120222326141518192021[[#This Row],[Aantal consumpties gekoeld water deze maand]]+Tabel24256789101112131415171618192120222326141518192021[[#This Row],[Aantal consumpties Kamertemp deze maand]]</f>
        <v>5913.9999999999955</v>
      </c>
      <c r="AY18" s="95">
        <f>Tabel24256789101112131415171618192120222326141518192021[[#This Row],[Subtotaal waterbar in consumpties]]+Tabel24256789101112131415171618192120222326141518192021[[#This Row],[Subtotaal koffieautomaten]]</f>
        <v>7564.9999999999955</v>
      </c>
    </row>
    <row r="19" spans="1:130" ht="14.45" customHeight="1" x14ac:dyDescent="0.25">
      <c r="A19" s="65" t="s">
        <v>60</v>
      </c>
      <c r="B19" t="s">
        <v>61</v>
      </c>
      <c r="C19" t="s">
        <v>31</v>
      </c>
      <c r="E19">
        <v>25533</v>
      </c>
      <c r="F19">
        <f>september2025!E19</f>
        <v>24573</v>
      </c>
      <c r="G19">
        <f>Tabel24256789101112131415171618192120222326141518192021[[#This Row],[Stand Coffee einde maand]]-Tabel24256789101112131415171618192120222326141518192021[[#This Row],[Coffee vorige maand]]</f>
        <v>960</v>
      </c>
      <c r="H19" s="53">
        <v>5492</v>
      </c>
      <c r="I19">
        <f>september2025!H19</f>
        <v>5347</v>
      </c>
      <c r="J19">
        <f>Tabel24256789101112131415171618192120222326141518192021[[#This Row],[Stand Espresso Einde maand]]-Tabel24256789101112131415171618192120222326141518192021[[#This Row],[Espresso vorige maand]]</f>
        <v>145</v>
      </c>
      <c r="K19" s="53">
        <v>1910</v>
      </c>
      <c r="L19">
        <f>september2025!K19</f>
        <v>1825</v>
      </c>
      <c r="M19">
        <f>Tabel24256789101112131415171618192120222326141518192021[[#This Row],[Stand Latte Macchiato einde maand]]-Tabel24256789101112131415171618192120222326141518192021[[#This Row],[Latte Macchiato vorige maand]]</f>
        <v>85</v>
      </c>
      <c r="N19" s="53">
        <v>1138</v>
      </c>
      <c r="O19">
        <f>september2025!N19</f>
        <v>1125</v>
      </c>
      <c r="P19">
        <f>Tabel24256789101112131415171618192120222326141518192021[[#This Row],[Stand Coffee Latte einde maand]]-Tabel24256789101112131415171618192120222326141518192021[[#This Row],[Coffee Latte vorige maand]]</f>
        <v>13</v>
      </c>
      <c r="Q19" s="53">
        <v>58111</v>
      </c>
      <c r="R19">
        <f>september2025!Q19</f>
        <v>55733</v>
      </c>
      <c r="S19">
        <f>Tabel24256789101112131415171618192120222326141518192021[[#This Row],[Stand Hot Water einde maand]]-Tabel24256789101112131415171618192120222326141518192021[[#This Row],[Hot Water vorige maand]]</f>
        <v>2378</v>
      </c>
      <c r="T19" s="53">
        <v>13285</v>
      </c>
      <c r="U19">
        <f>september2025!T19</f>
        <v>12878</v>
      </c>
      <c r="V19">
        <f>Tabel24256789101112131415171618192120222326141518192021[[#This Row],[Stand Cappucino einde maand]]-Tabel24256789101112131415171618192120222326141518192021[[#This Row],[Stand Cappucino vorige maand]]</f>
        <v>407</v>
      </c>
      <c r="W19" s="53">
        <v>2222</v>
      </c>
      <c r="X19">
        <f>september2025!W19</f>
        <v>2157</v>
      </c>
      <c r="Y19">
        <f>Tabel24256789101112131415171618192120222326141518192021[[#This Row],[Stand Cappucino Plantaardig einde maand]]-Tabel24256789101112131415171618192120222326141518192021[[#This Row],[Stand Cappucino Plantaardig vorige maand]]</f>
        <v>65</v>
      </c>
      <c r="Z19" s="53">
        <v>605</v>
      </c>
      <c r="AA19">
        <f>september2025!Z19</f>
        <v>600</v>
      </c>
      <c r="AB19">
        <f>Tabel24256789101112131415171618192120222326141518192021[[#This Row],[Stand Latte Macchiato Plantaardig einde maand]]-Tabel24256789101112131415171618192120222326141518192021[[#This Row],[Stand Latte Macchiato Plantaardig vorige maand]]</f>
        <v>5</v>
      </c>
      <c r="AC19" s="71">
        <f>Tabel24256789101112131415171618192120222326141518192021[[#This Row],[Verbruik Stand Latte Macchiato Plantaardig deze maand]]+Tabel24256789101112131415171618192120222326141518192021[[#This Row],[Verbruik  Cappucino Plantaardig deze maand]]+Tabel24256789101112131415171618192120222326141518192021[[#This Row],[Verbruik Cappucino deze maand]]+Tabel24256789101112131415171618192120222326141518192021[[#This Row],[Verbruik Hot Water deze maand]]+Tabel24256789101112131415171618192120222326141518192021[[#This Row],[Verbruik Coffee Latte deze maand]]+Tabel24256789101112131415171618192120222326141518192021[[#This Row],[Verbruik Latte Macchiato deze maand]]+Tabel24256789101112131415171618192120222326141518192021[[#This Row],[Verbruik Espresso deze maand]]+Tabel24256789101112131415171618192120222326141518192021[[#This Row],[Verbruik Coffee deze maand]]</f>
        <v>4058</v>
      </c>
      <c r="AD19" s="69"/>
      <c r="AE19" s="41"/>
      <c r="AF19" s="5"/>
      <c r="AG19" s="5"/>
      <c r="AH19" s="75"/>
      <c r="AI19" s="41"/>
      <c r="AJ19" s="5"/>
      <c r="AK19" s="5"/>
      <c r="AL19" s="75"/>
      <c r="AM19" s="41"/>
      <c r="AN19" s="5"/>
      <c r="AO19" s="5"/>
      <c r="AP19" s="75"/>
      <c r="AQ19" s="41"/>
      <c r="AR19" s="5"/>
      <c r="AS19" s="5"/>
      <c r="AT19" s="75"/>
      <c r="AU19" s="41"/>
      <c r="AV19" s="5"/>
      <c r="AW19" s="5"/>
      <c r="AX19" s="79"/>
      <c r="AY19" s="95">
        <f>Tabel24256789101112131415171618192120222326141518192021[[#This Row],[Subtotaal waterbar in consumpties]]+Tabel24256789101112131415171618192120222326141518192021[[#This Row],[Subtotaal koffieautomaten]]</f>
        <v>4058</v>
      </c>
    </row>
    <row r="20" spans="1:130" ht="14.45" customHeight="1" x14ac:dyDescent="0.25">
      <c r="A20" s="65" t="s">
        <v>62</v>
      </c>
      <c r="B20" t="s">
        <v>63</v>
      </c>
      <c r="C20" t="s">
        <v>47</v>
      </c>
      <c r="E20">
        <v>11062</v>
      </c>
      <c r="F20">
        <f>september2025!E20</f>
        <v>10449</v>
      </c>
      <c r="G20">
        <f>Tabel24256789101112131415171618192120222326141518192021[[#This Row],[Stand Coffee einde maand]]-Tabel24256789101112131415171618192120222326141518192021[[#This Row],[Coffee vorige maand]]</f>
        <v>613</v>
      </c>
      <c r="H20" s="53">
        <v>2060</v>
      </c>
      <c r="I20">
        <f>september2025!H20</f>
        <v>1956</v>
      </c>
      <c r="J20">
        <f>Tabel24256789101112131415171618192120222326141518192021[[#This Row],[Stand Espresso Einde maand]]-Tabel24256789101112131415171618192120222326141518192021[[#This Row],[Espresso vorige maand]]</f>
        <v>104</v>
      </c>
      <c r="K20" s="53">
        <v>422</v>
      </c>
      <c r="L20">
        <f>september2025!K20</f>
        <v>407</v>
      </c>
      <c r="M20">
        <f>Tabel24256789101112131415171618192120222326141518192021[[#This Row],[Stand Latte Macchiato einde maand]]-Tabel24256789101112131415171618192120222326141518192021[[#This Row],[Latte Macchiato vorige maand]]</f>
        <v>15</v>
      </c>
      <c r="N20" s="53">
        <v>868</v>
      </c>
      <c r="O20">
        <f>september2025!N20</f>
        <v>821</v>
      </c>
      <c r="P20">
        <f>Tabel24256789101112131415171618192120222326141518192021[[#This Row],[Stand Coffee Latte einde maand]]-Tabel24256789101112131415171618192120222326141518192021[[#This Row],[Coffee Latte vorige maand]]</f>
        <v>47</v>
      </c>
      <c r="Q20" s="53">
        <v>3777</v>
      </c>
      <c r="R20">
        <f>september2025!Q20</f>
        <v>3525</v>
      </c>
      <c r="S20">
        <f>Tabel24256789101112131415171618192120222326141518192021[[#This Row],[Stand Hot Water einde maand]]-Tabel24256789101112131415171618192120222326141518192021[[#This Row],[Hot Water vorige maand]]</f>
        <v>252</v>
      </c>
      <c r="T20" s="53">
        <v>3507</v>
      </c>
      <c r="U20">
        <f>september2025!T20</f>
        <v>3334</v>
      </c>
      <c r="V20">
        <f>Tabel24256789101112131415171618192120222326141518192021[[#This Row],[Stand Cappucino einde maand]]-Tabel24256789101112131415171618192120222326141518192021[[#This Row],[Stand Cappucino vorige maand]]</f>
        <v>173</v>
      </c>
      <c r="W20" s="53">
        <v>1088</v>
      </c>
      <c r="X20">
        <f>september2025!W20</f>
        <v>1052</v>
      </c>
      <c r="Y20">
        <f>Tabel24256789101112131415171618192120222326141518192021[[#This Row],[Stand Cappucino Plantaardig einde maand]]-Tabel24256789101112131415171618192120222326141518192021[[#This Row],[Stand Cappucino Plantaardig vorige maand]]</f>
        <v>36</v>
      </c>
      <c r="Z20" s="53">
        <v>394</v>
      </c>
      <c r="AA20">
        <f>september2025!Z20</f>
        <v>381</v>
      </c>
      <c r="AB20">
        <f>Tabel24256789101112131415171618192120222326141518192021[[#This Row],[Stand Latte Macchiato Plantaardig einde maand]]-Tabel24256789101112131415171618192120222326141518192021[[#This Row],[Stand Latte Macchiato Plantaardig vorige maand]]</f>
        <v>13</v>
      </c>
      <c r="AC20" s="71">
        <f>Tabel24256789101112131415171618192120222326141518192021[[#This Row],[Verbruik Stand Latte Macchiato Plantaardig deze maand]]+Tabel24256789101112131415171618192120222326141518192021[[#This Row],[Verbruik  Cappucino Plantaardig deze maand]]+Tabel24256789101112131415171618192120222326141518192021[[#This Row],[Verbruik Cappucino deze maand]]+Tabel24256789101112131415171618192120222326141518192021[[#This Row],[Verbruik Hot Water deze maand]]+Tabel24256789101112131415171618192120222326141518192021[[#This Row],[Verbruik Coffee Latte deze maand]]+Tabel24256789101112131415171618192120222326141518192021[[#This Row],[Verbruik Latte Macchiato deze maand]]+Tabel24256789101112131415171618192120222326141518192021[[#This Row],[Verbruik Espresso deze maand]]+Tabel24256789101112131415171618192120222326141518192021[[#This Row],[Verbruik Coffee deze maand]]</f>
        <v>1253</v>
      </c>
      <c r="AD20" s="53">
        <v>268.7</v>
      </c>
      <c r="AE20">
        <f>september2025!AD20</f>
        <v>247.8</v>
      </c>
      <c r="AF20">
        <f>Tabel24256789101112131415171618192120222326141518192021[[#This Row],[Stand Kamertemp liter einde maand]]-Tabel24256789101112131415171618192120222326141518192021[[#This Row],[Stand Kamertemp liter vorige maand]]</f>
        <v>20.899999999999977</v>
      </c>
      <c r="AG20" s="2">
        <f>Tabel24256789101112131415171618192120222326141518192021[[#This Row],[Verbruik Kamertemp liter deze maand]]/0.15</f>
        <v>139.3333333333332</v>
      </c>
      <c r="AH20" s="51">
        <v>2310.1</v>
      </c>
      <c r="AI20">
        <f>september2025!AH20</f>
        <v>2176.3000000000002</v>
      </c>
      <c r="AJ20">
        <f>Tabel24256789101112131415171618192120222326141518192021[[#This Row],[Stand Gekoeld liter einde maand]]-Tabel24256789101112131415171618192120222326141518192021[[#This Row],[Stand Gekoeld liter vorige maand]]</f>
        <v>133.79999999999973</v>
      </c>
      <c r="AK20" s="2">
        <f>Tabel24256789101112131415171618192120222326141518192021[[#This Row],[Verbruik Gekoeld liter deze maand]]/0.15</f>
        <v>891.99999999999818</v>
      </c>
      <c r="AL20" s="51">
        <v>2644.8</v>
      </c>
      <c r="AM20">
        <f>september2025!AL20</f>
        <v>2486.6999999999998</v>
      </c>
      <c r="AN20">
        <f>Tabel24256789101112131415171618192120222326141518192021[[#This Row],[Stand Bruisend liter einde maand]]-Tabel24256789101112131415171618192120222326141518192021[[#This Row],[Stand Bruisend liter vorige maand]]</f>
        <v>158.10000000000036</v>
      </c>
      <c r="AO20" s="2">
        <f>Tabel24256789101112131415171618192120222326141518192021[[#This Row],[Verbruik Bruisend liter deze maand]]/0.15</f>
        <v>1054.0000000000025</v>
      </c>
      <c r="AP20" s="51">
        <v>684.5</v>
      </c>
      <c r="AQ20">
        <f>september2025!AP20</f>
        <v>657.5</v>
      </c>
      <c r="AR20">
        <f>Tabel24256789101112131415171618192120222326141518192021[[#This Row],[Stand licht bruisend liter einde maand]]-Tabel24256789101112131415171618192120222326141518192021[[#This Row],[Stand licht bruisend liter vorige maand]]</f>
        <v>27</v>
      </c>
      <c r="AS20" s="2">
        <f>Tabel24256789101112131415171618192120222326141518192021[[#This Row],[Verbruik licht bruisend liter deze maand]]/0.15</f>
        <v>180</v>
      </c>
      <c r="AT20" s="51">
        <v>6175.4</v>
      </c>
      <c r="AU20">
        <f>september2025!AT20</f>
        <v>5821</v>
      </c>
      <c r="AV20">
        <f>Tabel24256789101112131415171618192120222326141518192021[[#This Row],[Stand heet water liter einde maand]]-Tabel24256789101112131415171618192120222326141518192021[[#This Row],[Stand heet water liter vorige maand]]</f>
        <v>354.39999999999964</v>
      </c>
      <c r="AW20" s="2">
        <f>Tabel24256789101112131415171618192120222326141518192021[[#This Row],[Verbruik heet Water liter deze maand ]]/0.15</f>
        <v>2362.6666666666642</v>
      </c>
      <c r="AX20" s="77">
        <f>Tabel24256789101112131415171618192120222326141518192021[[#This Row],[Aantal consumpties heet water deze maand]]+Tabel24256789101112131415171618192120222326141518192021[[#This Row],[Aantal consumpties licht bruisend water deze maand]]+Tabel24256789101112131415171618192120222326141518192021[[#This Row],[aantal consumpties Bruisend water deze maand]]+Tabel24256789101112131415171618192120222326141518192021[[#This Row],[Aantal consumpties gekoeld water deze maand]]+Tabel24256789101112131415171618192120222326141518192021[[#This Row],[Aantal consumpties Kamertemp deze maand]]</f>
        <v>4627.9999999999982</v>
      </c>
      <c r="AY20" s="95">
        <f>Tabel24256789101112131415171618192120222326141518192021[[#This Row],[Subtotaal waterbar in consumpties]]+Tabel24256789101112131415171618192120222326141518192021[[#This Row],[Subtotaal koffieautomaten]]</f>
        <v>5880.9999999999982</v>
      </c>
    </row>
    <row r="21" spans="1:130" ht="14.45" customHeight="1" x14ac:dyDescent="0.25">
      <c r="A21" s="65" t="s">
        <v>64</v>
      </c>
      <c r="B21" t="s">
        <v>65</v>
      </c>
      <c r="C21" t="s">
        <v>31</v>
      </c>
      <c r="E21">
        <v>29297</v>
      </c>
      <c r="F21">
        <f>september2025!E21</f>
        <v>28392</v>
      </c>
      <c r="G21">
        <f>Tabel24256789101112131415171618192120222326141518192021[[#This Row],[Stand Coffee einde maand]]-Tabel24256789101112131415171618192120222326141518192021[[#This Row],[Coffee vorige maand]]</f>
        <v>905</v>
      </c>
      <c r="H21" s="53">
        <v>8664</v>
      </c>
      <c r="I21">
        <f>september2025!H21</f>
        <v>8191</v>
      </c>
      <c r="J21">
        <f>Tabel24256789101112131415171618192120222326141518192021[[#This Row],[Stand Espresso Einde maand]]-Tabel24256789101112131415171618192120222326141518192021[[#This Row],[Espresso vorige maand]]</f>
        <v>473</v>
      </c>
      <c r="K21" s="53">
        <v>3271</v>
      </c>
      <c r="L21">
        <f>september2025!K21</f>
        <v>3226</v>
      </c>
      <c r="M21">
        <f>Tabel24256789101112131415171618192120222326141518192021[[#This Row],[Stand Latte Macchiato einde maand]]-Tabel24256789101112131415171618192120222326141518192021[[#This Row],[Latte Macchiato vorige maand]]</f>
        <v>45</v>
      </c>
      <c r="N21" s="53">
        <v>1361</v>
      </c>
      <c r="O21">
        <f>september2025!N21</f>
        <v>1330</v>
      </c>
      <c r="P21">
        <f>Tabel24256789101112131415171618192120222326141518192021[[#This Row],[Stand Coffee Latte einde maand]]-Tabel24256789101112131415171618192120222326141518192021[[#This Row],[Coffee Latte vorige maand]]</f>
        <v>31</v>
      </c>
      <c r="Q21" s="53">
        <v>64066</v>
      </c>
      <c r="R21">
        <f>september2025!Q21</f>
        <v>61489</v>
      </c>
      <c r="S21">
        <f>Tabel24256789101112131415171618192120222326141518192021[[#This Row],[Stand Hot Water einde maand]]-Tabel24256789101112131415171618192120222326141518192021[[#This Row],[Hot Water vorige maand]]</f>
        <v>2577</v>
      </c>
      <c r="T21" s="53">
        <v>17647</v>
      </c>
      <c r="U21">
        <f>september2025!T21</f>
        <v>17250</v>
      </c>
      <c r="V21">
        <f>Tabel24256789101112131415171618192120222326141518192021[[#This Row],[Stand Cappucino einde maand]]-Tabel24256789101112131415171618192120222326141518192021[[#This Row],[Stand Cappucino vorige maand]]</f>
        <v>397</v>
      </c>
      <c r="W21" s="53">
        <v>3075</v>
      </c>
      <c r="X21">
        <f>september2025!W21</f>
        <v>2966</v>
      </c>
      <c r="Y21">
        <f>Tabel24256789101112131415171618192120222326141518192021[[#This Row],[Stand Cappucino Plantaardig einde maand]]-Tabel24256789101112131415171618192120222326141518192021[[#This Row],[Stand Cappucino Plantaardig vorige maand]]</f>
        <v>109</v>
      </c>
      <c r="Z21" s="53">
        <v>1003</v>
      </c>
      <c r="AA21">
        <f>september2025!Z21</f>
        <v>973</v>
      </c>
      <c r="AB21">
        <f>Tabel24256789101112131415171618192120222326141518192021[[#This Row],[Stand Latte Macchiato Plantaardig einde maand]]-Tabel24256789101112131415171618192120222326141518192021[[#This Row],[Stand Latte Macchiato Plantaardig vorige maand]]</f>
        <v>30</v>
      </c>
      <c r="AC21" s="71">
        <f>Tabel24256789101112131415171618192120222326141518192021[[#This Row],[Verbruik Stand Latte Macchiato Plantaardig deze maand]]+Tabel24256789101112131415171618192120222326141518192021[[#This Row],[Verbruik  Cappucino Plantaardig deze maand]]+Tabel24256789101112131415171618192120222326141518192021[[#This Row],[Verbruik Cappucino deze maand]]+Tabel24256789101112131415171618192120222326141518192021[[#This Row],[Verbruik Hot Water deze maand]]+Tabel24256789101112131415171618192120222326141518192021[[#This Row],[Verbruik Coffee Latte deze maand]]+Tabel24256789101112131415171618192120222326141518192021[[#This Row],[Verbruik Latte Macchiato deze maand]]+Tabel24256789101112131415171618192120222326141518192021[[#This Row],[Verbruik Espresso deze maand]]+Tabel24256789101112131415171618192120222326141518192021[[#This Row],[Verbruik Coffee deze maand]]</f>
        <v>4567</v>
      </c>
      <c r="AD21" s="69"/>
      <c r="AE21" s="41"/>
      <c r="AF21" s="5"/>
      <c r="AG21" s="5"/>
      <c r="AH21" s="75"/>
      <c r="AI21" s="41"/>
      <c r="AJ21" s="5"/>
      <c r="AK21" s="5"/>
      <c r="AL21" s="75"/>
      <c r="AM21" s="41"/>
      <c r="AN21" s="5"/>
      <c r="AO21" s="5"/>
      <c r="AP21" s="75"/>
      <c r="AQ21" s="41"/>
      <c r="AR21" s="5"/>
      <c r="AS21" s="5"/>
      <c r="AT21" s="75"/>
      <c r="AU21" s="41"/>
      <c r="AV21" s="5"/>
      <c r="AW21" s="5"/>
      <c r="AX21" s="79"/>
      <c r="AY21" s="95">
        <f>Tabel24256789101112131415171618192120222326141518192021[[#This Row],[Subtotaal waterbar in consumpties]]+Tabel24256789101112131415171618192120222326141518192021[[#This Row],[Subtotaal koffieautomaten]]</f>
        <v>4567</v>
      </c>
    </row>
    <row r="22" spans="1:130" ht="14.45" customHeight="1" x14ac:dyDescent="0.25">
      <c r="A22" s="65" t="s">
        <v>66</v>
      </c>
      <c r="B22" t="s">
        <v>67</v>
      </c>
      <c r="C22" t="s">
        <v>31</v>
      </c>
      <c r="E22">
        <v>34838</v>
      </c>
      <c r="F22">
        <f>september2025!E22</f>
        <v>33531</v>
      </c>
      <c r="G22">
        <f>Tabel24256789101112131415171618192120222326141518192021[[#This Row],[Stand Coffee einde maand]]-Tabel24256789101112131415171618192120222326141518192021[[#This Row],[Coffee vorige maand]]</f>
        <v>1307</v>
      </c>
      <c r="H22" s="53">
        <v>6285</v>
      </c>
      <c r="I22">
        <f>september2025!H22</f>
        <v>5985</v>
      </c>
      <c r="J22">
        <f>Tabel24256789101112131415171618192120222326141518192021[[#This Row],[Stand Espresso Einde maand]]-Tabel24256789101112131415171618192120222326141518192021[[#This Row],[Espresso vorige maand]]</f>
        <v>300</v>
      </c>
      <c r="K22" s="53">
        <v>3957</v>
      </c>
      <c r="L22">
        <f>september2025!K22</f>
        <v>3840</v>
      </c>
      <c r="M22">
        <f>Tabel24256789101112131415171618192120222326141518192021[[#This Row],[Stand Latte Macchiato einde maand]]-Tabel24256789101112131415171618192120222326141518192021[[#This Row],[Latte Macchiato vorige maand]]</f>
        <v>117</v>
      </c>
      <c r="N22" s="53">
        <v>980</v>
      </c>
      <c r="O22">
        <f>september2025!N22</f>
        <v>945</v>
      </c>
      <c r="P22">
        <f>Tabel24256789101112131415171618192120222326141518192021[[#This Row],[Stand Coffee Latte einde maand]]-Tabel24256789101112131415171618192120222326141518192021[[#This Row],[Coffee Latte vorige maand]]</f>
        <v>35</v>
      </c>
      <c r="Q22" s="53">
        <v>55092</v>
      </c>
      <c r="R22">
        <f>september2025!Q22</f>
        <v>53218</v>
      </c>
      <c r="S22">
        <f>Tabel24256789101112131415171618192120222326141518192021[[#This Row],[Stand Hot Water einde maand]]-Tabel24256789101112131415171618192120222326141518192021[[#This Row],[Hot Water vorige maand]]</f>
        <v>1874</v>
      </c>
      <c r="T22" s="53">
        <v>18638</v>
      </c>
      <c r="U22">
        <f>september2025!T22</f>
        <v>18048</v>
      </c>
      <c r="V22">
        <f>Tabel24256789101112131415171618192120222326141518192021[[#This Row],[Stand Cappucino einde maand]]-Tabel24256789101112131415171618192120222326141518192021[[#This Row],[Stand Cappucino vorige maand]]</f>
        <v>590</v>
      </c>
      <c r="W22" s="53">
        <v>4090</v>
      </c>
      <c r="X22">
        <f>september2025!W22</f>
        <v>3971</v>
      </c>
      <c r="Y22">
        <f>Tabel24256789101112131415171618192120222326141518192021[[#This Row],[Stand Cappucino Plantaardig einde maand]]-Tabel24256789101112131415171618192120222326141518192021[[#This Row],[Stand Cappucino Plantaardig vorige maand]]</f>
        <v>119</v>
      </c>
      <c r="Z22" s="53">
        <v>781</v>
      </c>
      <c r="AA22">
        <f>september2025!Z22</f>
        <v>765</v>
      </c>
      <c r="AB22">
        <f>Tabel24256789101112131415171618192120222326141518192021[[#This Row],[Stand Latte Macchiato Plantaardig einde maand]]-Tabel24256789101112131415171618192120222326141518192021[[#This Row],[Stand Latte Macchiato Plantaardig vorige maand]]</f>
        <v>16</v>
      </c>
      <c r="AC22" s="71">
        <f>Tabel24256789101112131415171618192120222326141518192021[[#This Row],[Verbruik Stand Latte Macchiato Plantaardig deze maand]]+Tabel24256789101112131415171618192120222326141518192021[[#This Row],[Verbruik  Cappucino Plantaardig deze maand]]+Tabel24256789101112131415171618192120222326141518192021[[#This Row],[Verbruik Cappucino deze maand]]+Tabel24256789101112131415171618192120222326141518192021[[#This Row],[Verbruik Hot Water deze maand]]+Tabel24256789101112131415171618192120222326141518192021[[#This Row],[Verbruik Coffee Latte deze maand]]+Tabel24256789101112131415171618192120222326141518192021[[#This Row],[Verbruik Latte Macchiato deze maand]]+Tabel24256789101112131415171618192120222326141518192021[[#This Row],[Verbruik Espresso deze maand]]+Tabel24256789101112131415171618192120222326141518192021[[#This Row],[Verbruik Coffee deze maand]]</f>
        <v>4358</v>
      </c>
      <c r="AD22" s="69"/>
      <c r="AE22" s="41"/>
      <c r="AF22" s="5"/>
      <c r="AG22" s="5"/>
      <c r="AH22" s="75"/>
      <c r="AI22" s="41"/>
      <c r="AJ22" s="5"/>
      <c r="AK22" s="5"/>
      <c r="AL22" s="75"/>
      <c r="AM22" s="41"/>
      <c r="AN22" s="5"/>
      <c r="AO22" s="5"/>
      <c r="AP22" s="75"/>
      <c r="AQ22" s="41"/>
      <c r="AR22" s="5"/>
      <c r="AS22" s="5"/>
      <c r="AT22" s="75"/>
      <c r="AU22" s="41"/>
      <c r="AV22" s="5"/>
      <c r="AW22" s="5"/>
      <c r="AX22" s="79"/>
      <c r="AY22" s="95">
        <f>Tabel24256789101112131415171618192120222326141518192021[[#This Row],[Subtotaal waterbar in consumpties]]+Tabel24256789101112131415171618192120222326141518192021[[#This Row],[Subtotaal koffieautomaten]]</f>
        <v>4358</v>
      </c>
    </row>
    <row r="23" spans="1:130" ht="14.45" customHeight="1" x14ac:dyDescent="0.25">
      <c r="A23" s="65" t="s">
        <v>68</v>
      </c>
      <c r="B23" t="s">
        <v>69</v>
      </c>
      <c r="C23" t="s">
        <v>47</v>
      </c>
      <c r="E23">
        <v>20430</v>
      </c>
      <c r="F23">
        <f>september2025!E23</f>
        <v>19866</v>
      </c>
      <c r="G23">
        <f>Tabel24256789101112131415171618192120222326141518192021[[#This Row],[Stand Coffee einde maand]]-Tabel24256789101112131415171618192120222326141518192021[[#This Row],[Coffee vorige maand]]</f>
        <v>564</v>
      </c>
      <c r="H23" s="53">
        <v>8201</v>
      </c>
      <c r="I23">
        <f>september2025!H23</f>
        <v>8003</v>
      </c>
      <c r="J23">
        <f>Tabel24256789101112131415171618192120222326141518192021[[#This Row],[Stand Espresso Einde maand]]-Tabel24256789101112131415171618192120222326141518192021[[#This Row],[Espresso vorige maand]]</f>
        <v>198</v>
      </c>
      <c r="K23" s="53">
        <v>5902</v>
      </c>
      <c r="L23">
        <f>september2025!K23</f>
        <v>5801</v>
      </c>
      <c r="M23">
        <f>Tabel24256789101112131415171618192120222326141518192021[[#This Row],[Stand Latte Macchiato einde maand]]-Tabel24256789101112131415171618192120222326141518192021[[#This Row],[Latte Macchiato vorige maand]]</f>
        <v>101</v>
      </c>
      <c r="N23" s="53">
        <v>1238</v>
      </c>
      <c r="O23">
        <f>september2025!N23</f>
        <v>1169</v>
      </c>
      <c r="P23">
        <f>Tabel24256789101112131415171618192120222326141518192021[[#This Row],[Stand Coffee Latte einde maand]]-Tabel24256789101112131415171618192120222326141518192021[[#This Row],[Coffee Latte vorige maand]]</f>
        <v>69</v>
      </c>
      <c r="Q23" s="53">
        <v>1</v>
      </c>
      <c r="R23">
        <f>september2025!Q23</f>
        <v>1</v>
      </c>
      <c r="S23">
        <f>Tabel24256789101112131415171618192120222326141518192021[[#This Row],[Stand Hot Water einde maand]]-Tabel24256789101112131415171618192120222326141518192021[[#This Row],[Hot Water vorige maand]]</f>
        <v>0</v>
      </c>
      <c r="T23" s="53">
        <v>16550</v>
      </c>
      <c r="U23">
        <f>september2025!T23</f>
        <v>16175</v>
      </c>
      <c r="V23">
        <f>Tabel24256789101112131415171618192120222326141518192021[[#This Row],[Stand Cappucino einde maand]]-Tabel24256789101112131415171618192120222326141518192021[[#This Row],[Stand Cappucino vorige maand]]</f>
        <v>375</v>
      </c>
      <c r="W23" s="53">
        <v>3188</v>
      </c>
      <c r="X23">
        <f>september2025!W23</f>
        <v>3133</v>
      </c>
      <c r="Y23">
        <f>Tabel24256789101112131415171618192120222326141518192021[[#This Row],[Stand Cappucino Plantaardig einde maand]]-Tabel24256789101112131415171618192120222326141518192021[[#This Row],[Stand Cappucino Plantaardig vorige maand]]</f>
        <v>55</v>
      </c>
      <c r="Z23" s="53">
        <v>946</v>
      </c>
      <c r="AA23">
        <f>september2025!Z23</f>
        <v>919</v>
      </c>
      <c r="AB23">
        <f>Tabel24256789101112131415171618192120222326141518192021[[#This Row],[Stand Latte Macchiato Plantaardig einde maand]]-Tabel24256789101112131415171618192120222326141518192021[[#This Row],[Stand Latte Macchiato Plantaardig vorige maand]]</f>
        <v>27</v>
      </c>
      <c r="AC23" s="71">
        <f>Tabel24256789101112131415171618192120222326141518192021[[#This Row],[Verbruik Stand Latte Macchiato Plantaardig deze maand]]+Tabel24256789101112131415171618192120222326141518192021[[#This Row],[Verbruik  Cappucino Plantaardig deze maand]]+Tabel24256789101112131415171618192120222326141518192021[[#This Row],[Verbruik Cappucino deze maand]]+Tabel24256789101112131415171618192120222326141518192021[[#This Row],[Verbruik Hot Water deze maand]]+Tabel24256789101112131415171618192120222326141518192021[[#This Row],[Verbruik Coffee Latte deze maand]]+Tabel24256789101112131415171618192120222326141518192021[[#This Row],[Verbruik Latte Macchiato deze maand]]+Tabel24256789101112131415171618192120222326141518192021[[#This Row],[Verbruik Espresso deze maand]]+Tabel24256789101112131415171618192120222326141518192021[[#This Row],[Verbruik Coffee deze maand]]</f>
        <v>1389</v>
      </c>
      <c r="AD23" s="53">
        <v>179.2</v>
      </c>
      <c r="AE23">
        <f>september2025!AD23</f>
        <v>163.69999999999999</v>
      </c>
      <c r="AF23">
        <f>Tabel24256789101112131415171618192120222326141518192021[[#This Row],[Stand Kamertemp liter einde maand]]-Tabel24256789101112131415171618192120222326141518192021[[#This Row],[Stand Kamertemp liter vorige maand]]</f>
        <v>15.5</v>
      </c>
      <c r="AG23" s="2">
        <f>Tabel24256789101112131415171618192120222326141518192021[[#This Row],[Verbruik Kamertemp liter deze maand]]/0.15</f>
        <v>103.33333333333334</v>
      </c>
      <c r="AH23" s="53">
        <v>2037.6</v>
      </c>
      <c r="AI23">
        <f>september2025!AH23</f>
        <v>1836.1</v>
      </c>
      <c r="AJ23">
        <f>Tabel24256789101112131415171618192120222326141518192021[[#This Row],[Stand Gekoeld liter einde maand]]-Tabel24256789101112131415171618192120222326141518192021[[#This Row],[Stand Gekoeld liter vorige maand]]</f>
        <v>201.5</v>
      </c>
      <c r="AK23" s="2">
        <f>Tabel24256789101112131415171618192120222326141518192021[[#This Row],[Verbruik Gekoeld liter deze maand]]/0.15</f>
        <v>1343.3333333333335</v>
      </c>
      <c r="AL23" s="53">
        <v>1127.2</v>
      </c>
      <c r="AM23">
        <f>september2025!AL23</f>
        <v>985.3</v>
      </c>
      <c r="AN23">
        <f>Tabel24256789101112131415171618192120222326141518192021[[#This Row],[Stand Bruisend liter einde maand]]-Tabel24256789101112131415171618192120222326141518192021[[#This Row],[Stand Bruisend liter vorige maand]]</f>
        <v>141.90000000000009</v>
      </c>
      <c r="AO23" s="2">
        <f>Tabel24256789101112131415171618192120222326141518192021[[#This Row],[Verbruik Bruisend liter deze maand]]/0.15</f>
        <v>946.00000000000068</v>
      </c>
      <c r="AP23" s="53">
        <v>197.3</v>
      </c>
      <c r="AQ23">
        <f>september2025!AP23</f>
        <v>179.7</v>
      </c>
      <c r="AR23">
        <f>Tabel24256789101112131415171618192120222326141518192021[[#This Row],[Stand licht bruisend liter einde maand]]-Tabel24256789101112131415171618192120222326141518192021[[#This Row],[Stand licht bruisend liter vorige maand]]</f>
        <v>17.600000000000023</v>
      </c>
      <c r="AS23" s="2">
        <f>Tabel24256789101112131415171618192120222326141518192021[[#This Row],[Verbruik licht bruisend liter deze maand]]/0.15</f>
        <v>117.33333333333348</v>
      </c>
      <c r="AT23" s="53">
        <v>4124.7</v>
      </c>
      <c r="AU23">
        <f>september2025!AT23</f>
        <v>3654.3</v>
      </c>
      <c r="AV23">
        <f>Tabel24256789101112131415171618192120222326141518192021[[#This Row],[Stand heet water liter einde maand]]-Tabel24256789101112131415171618192120222326141518192021[[#This Row],[Stand heet water liter vorige maand]]</f>
        <v>470.39999999999964</v>
      </c>
      <c r="AW23" s="2">
        <f>Tabel24256789101112131415171618192120222326141518192021[[#This Row],[Verbruik heet Water liter deze maand ]]/0.15</f>
        <v>3135.9999999999977</v>
      </c>
      <c r="AX23" s="77">
        <f>Tabel24256789101112131415171618192120222326141518192021[[#This Row],[Aantal consumpties heet water deze maand]]+Tabel24256789101112131415171618192120222326141518192021[[#This Row],[Aantal consumpties licht bruisend water deze maand]]+Tabel24256789101112131415171618192120222326141518192021[[#This Row],[aantal consumpties Bruisend water deze maand]]+Tabel24256789101112131415171618192120222326141518192021[[#This Row],[Aantal consumpties gekoeld water deze maand]]+Tabel24256789101112131415171618192120222326141518192021[[#This Row],[Aantal consumpties Kamertemp deze maand]]</f>
        <v>5645.9999999999991</v>
      </c>
      <c r="AY23" s="95">
        <f>Tabel24256789101112131415171618192120222326141518192021[[#This Row],[Subtotaal waterbar in consumpties]]+Tabel24256789101112131415171618192120222326141518192021[[#This Row],[Subtotaal koffieautomaten]]</f>
        <v>7034.9999999999991</v>
      </c>
    </row>
    <row r="24" spans="1:130" ht="14.45" customHeight="1" x14ac:dyDescent="0.25">
      <c r="A24" s="65" t="s">
        <v>70</v>
      </c>
      <c r="B24" t="s">
        <v>71</v>
      </c>
      <c r="C24" t="s">
        <v>31</v>
      </c>
      <c r="E24">
        <v>22672</v>
      </c>
      <c r="F24">
        <f>september2025!E24</f>
        <v>21935</v>
      </c>
      <c r="G24">
        <f>Tabel24256789101112131415171618192120222326141518192021[[#This Row],[Stand Coffee einde maand]]-Tabel24256789101112131415171618192120222326141518192021[[#This Row],[Coffee vorige maand]]</f>
        <v>737</v>
      </c>
      <c r="H24" s="53">
        <v>3575</v>
      </c>
      <c r="I24">
        <f>september2025!H24</f>
        <v>3445</v>
      </c>
      <c r="J24">
        <f>Tabel24256789101112131415171618192120222326141518192021[[#This Row],[Stand Espresso Einde maand]]-Tabel24256789101112131415171618192120222326141518192021[[#This Row],[Espresso vorige maand]]</f>
        <v>130</v>
      </c>
      <c r="K24" s="53">
        <v>1497</v>
      </c>
      <c r="L24">
        <f>september2025!K24</f>
        <v>1479</v>
      </c>
      <c r="M24">
        <f>Tabel24256789101112131415171618192120222326141518192021[[#This Row],[Stand Latte Macchiato einde maand]]-Tabel24256789101112131415171618192120222326141518192021[[#This Row],[Latte Macchiato vorige maand]]</f>
        <v>18</v>
      </c>
      <c r="N24" s="53">
        <v>2662</v>
      </c>
      <c r="O24">
        <f>september2025!N24</f>
        <v>2602</v>
      </c>
      <c r="P24">
        <f>Tabel24256789101112131415171618192120222326141518192021[[#This Row],[Stand Coffee Latte einde maand]]-Tabel24256789101112131415171618192120222326141518192021[[#This Row],[Coffee Latte vorige maand]]</f>
        <v>60</v>
      </c>
      <c r="Q24" s="53">
        <v>43615</v>
      </c>
      <c r="R24">
        <f>september2025!Q24</f>
        <v>42152</v>
      </c>
      <c r="S24">
        <f>Tabel24256789101112131415171618192120222326141518192021[[#This Row],[Stand Hot Water einde maand]]-Tabel24256789101112131415171618192120222326141518192021[[#This Row],[Hot Water vorige maand]]</f>
        <v>1463</v>
      </c>
      <c r="T24" s="53">
        <v>8062</v>
      </c>
      <c r="U24">
        <f>september2025!T24</f>
        <v>7880</v>
      </c>
      <c r="V24">
        <f>Tabel24256789101112131415171618192120222326141518192021[[#This Row],[Stand Cappucino einde maand]]-Tabel24256789101112131415171618192120222326141518192021[[#This Row],[Stand Cappucino vorige maand]]</f>
        <v>182</v>
      </c>
      <c r="W24" s="53">
        <v>1371</v>
      </c>
      <c r="X24">
        <f>september2025!W24</f>
        <v>1351</v>
      </c>
      <c r="Y24">
        <f>Tabel24256789101112131415171618192120222326141518192021[[#This Row],[Stand Cappucino Plantaardig einde maand]]-Tabel24256789101112131415171618192120222326141518192021[[#This Row],[Stand Cappucino Plantaardig vorige maand]]</f>
        <v>20</v>
      </c>
      <c r="Z24" s="53">
        <v>2733</v>
      </c>
      <c r="AA24">
        <f>september2025!Z24</f>
        <v>2648</v>
      </c>
      <c r="AB24">
        <f>Tabel24256789101112131415171618192120222326141518192021[[#This Row],[Stand Latte Macchiato Plantaardig einde maand]]-Tabel24256789101112131415171618192120222326141518192021[[#This Row],[Stand Latte Macchiato Plantaardig vorige maand]]</f>
        <v>85</v>
      </c>
      <c r="AC24" s="71">
        <f>Tabel24256789101112131415171618192120222326141518192021[[#This Row],[Verbruik Stand Latte Macchiato Plantaardig deze maand]]+Tabel24256789101112131415171618192120222326141518192021[[#This Row],[Verbruik  Cappucino Plantaardig deze maand]]+Tabel24256789101112131415171618192120222326141518192021[[#This Row],[Verbruik Cappucino deze maand]]+Tabel24256789101112131415171618192120222326141518192021[[#This Row],[Verbruik Hot Water deze maand]]+Tabel24256789101112131415171618192120222326141518192021[[#This Row],[Verbruik Coffee Latte deze maand]]+Tabel24256789101112131415171618192120222326141518192021[[#This Row],[Verbruik Latte Macchiato deze maand]]+Tabel24256789101112131415171618192120222326141518192021[[#This Row],[Verbruik Espresso deze maand]]+Tabel24256789101112131415171618192120222326141518192021[[#This Row],[Verbruik Coffee deze maand]]</f>
        <v>2695</v>
      </c>
      <c r="AD24" s="69"/>
      <c r="AE24" s="41"/>
      <c r="AF24" s="5"/>
      <c r="AG24" s="5"/>
      <c r="AH24" s="75"/>
      <c r="AI24" s="41"/>
      <c r="AJ24" s="5"/>
      <c r="AK24" s="5"/>
      <c r="AL24" s="75"/>
      <c r="AM24" s="41"/>
      <c r="AN24" s="5"/>
      <c r="AO24" s="5"/>
      <c r="AP24" s="75"/>
      <c r="AQ24" s="41"/>
      <c r="AR24" s="5"/>
      <c r="AS24" s="5"/>
      <c r="AT24" s="75"/>
      <c r="AU24" s="41"/>
      <c r="AV24" s="5"/>
      <c r="AW24" s="5"/>
      <c r="AX24" s="79"/>
      <c r="AY24" s="95">
        <f>Tabel24256789101112131415171618192120222326141518192021[[#This Row],[Subtotaal waterbar in consumpties]]+Tabel24256789101112131415171618192120222326141518192021[[#This Row],[Subtotaal koffieautomaten]]</f>
        <v>2695</v>
      </c>
    </row>
    <row r="25" spans="1:130" ht="14.45" customHeight="1" x14ac:dyDescent="0.25">
      <c r="A25" s="65" t="s">
        <v>72</v>
      </c>
      <c r="B25" t="s">
        <v>73</v>
      </c>
      <c r="C25" t="s">
        <v>47</v>
      </c>
      <c r="E25">
        <v>15677</v>
      </c>
      <c r="F25">
        <f>september2025!E25</f>
        <v>15269</v>
      </c>
      <c r="G25">
        <f>Tabel24256789101112131415171618192120222326141518192021[[#This Row],[Stand Coffee einde maand]]-Tabel24256789101112131415171618192120222326141518192021[[#This Row],[Coffee vorige maand]]</f>
        <v>408</v>
      </c>
      <c r="H25" s="53">
        <v>5081</v>
      </c>
      <c r="I25">
        <f>september2025!H25</f>
        <v>4941</v>
      </c>
      <c r="J25">
        <f>Tabel24256789101112131415171618192120222326141518192021[[#This Row],[Stand Espresso Einde maand]]-Tabel24256789101112131415171618192120222326141518192021[[#This Row],[Espresso vorige maand]]</f>
        <v>140</v>
      </c>
      <c r="K25" s="53">
        <v>2013</v>
      </c>
      <c r="L25">
        <f>september2025!K25</f>
        <v>1954</v>
      </c>
      <c r="M25">
        <f>Tabel24256789101112131415171618192120222326141518192021[[#This Row],[Stand Latte Macchiato einde maand]]-Tabel24256789101112131415171618192120222326141518192021[[#This Row],[Latte Macchiato vorige maand]]</f>
        <v>59</v>
      </c>
      <c r="N25" s="53">
        <v>1440</v>
      </c>
      <c r="O25">
        <f>september2025!N25</f>
        <v>1360</v>
      </c>
      <c r="P25">
        <f>Tabel24256789101112131415171618192120222326141518192021[[#This Row],[Stand Coffee Latte einde maand]]-Tabel24256789101112131415171618192120222326141518192021[[#This Row],[Coffee Latte vorige maand]]</f>
        <v>80</v>
      </c>
      <c r="Q25" s="53">
        <v>1</v>
      </c>
      <c r="R25">
        <f>september2025!Q25</f>
        <v>1</v>
      </c>
      <c r="S25">
        <f>Tabel24256789101112131415171618192120222326141518192021[[#This Row],[Stand Hot Water einde maand]]-Tabel24256789101112131415171618192120222326141518192021[[#This Row],[Hot Water vorige maand]]</f>
        <v>0</v>
      </c>
      <c r="T25" s="53">
        <v>10105</v>
      </c>
      <c r="U25">
        <f>september2025!T25</f>
        <v>9898</v>
      </c>
      <c r="V25">
        <f>Tabel24256789101112131415171618192120222326141518192021[[#This Row],[Stand Cappucino einde maand]]-Tabel24256789101112131415171618192120222326141518192021[[#This Row],[Stand Cappucino vorige maand]]</f>
        <v>207</v>
      </c>
      <c r="W25" s="53">
        <v>1824</v>
      </c>
      <c r="X25">
        <f>september2025!W25</f>
        <v>1789</v>
      </c>
      <c r="Y25">
        <f>Tabel24256789101112131415171618192120222326141518192021[[#This Row],[Stand Cappucino Plantaardig einde maand]]-Tabel24256789101112131415171618192120222326141518192021[[#This Row],[Stand Cappucino Plantaardig vorige maand]]</f>
        <v>35</v>
      </c>
      <c r="Z25" s="53">
        <v>586</v>
      </c>
      <c r="AA25">
        <f>september2025!Z25</f>
        <v>576</v>
      </c>
      <c r="AB25">
        <f>Tabel24256789101112131415171618192120222326141518192021[[#This Row],[Stand Latte Macchiato Plantaardig einde maand]]-Tabel24256789101112131415171618192120222326141518192021[[#This Row],[Stand Latte Macchiato Plantaardig vorige maand]]</f>
        <v>10</v>
      </c>
      <c r="AC25" s="71">
        <f>Tabel24256789101112131415171618192120222326141518192021[[#This Row],[Verbruik Stand Latte Macchiato Plantaardig deze maand]]+Tabel24256789101112131415171618192120222326141518192021[[#This Row],[Verbruik  Cappucino Plantaardig deze maand]]+Tabel24256789101112131415171618192120222326141518192021[[#This Row],[Verbruik Cappucino deze maand]]+Tabel24256789101112131415171618192120222326141518192021[[#This Row],[Verbruik Hot Water deze maand]]+Tabel24256789101112131415171618192120222326141518192021[[#This Row],[Verbruik Coffee Latte deze maand]]+Tabel24256789101112131415171618192120222326141518192021[[#This Row],[Verbruik Latte Macchiato deze maand]]+Tabel24256789101112131415171618192120222326141518192021[[#This Row],[Verbruik Espresso deze maand]]+Tabel24256789101112131415171618192120222326141518192021[[#This Row],[Verbruik Coffee deze maand]]</f>
        <v>939</v>
      </c>
      <c r="AD25" s="53">
        <v>541.70000000000005</v>
      </c>
      <c r="AE25">
        <f>september2025!AD25</f>
        <v>511.2</v>
      </c>
      <c r="AF25">
        <f>Tabel24256789101112131415171618192120222326141518192021[[#This Row],[Stand Kamertemp liter einde maand]]-Tabel24256789101112131415171618192120222326141518192021[[#This Row],[Stand Kamertemp liter vorige maand]]</f>
        <v>30.500000000000057</v>
      </c>
      <c r="AG25" s="2">
        <f>Tabel24256789101112131415171618192120222326141518192021[[#This Row],[Verbruik Kamertemp liter deze maand]]/0.15</f>
        <v>203.33333333333371</v>
      </c>
      <c r="AH25" s="53">
        <v>3571.6</v>
      </c>
      <c r="AI25">
        <f>september2025!AH25</f>
        <v>3428.3</v>
      </c>
      <c r="AJ25">
        <f>Tabel24256789101112131415171618192120222326141518192021[[#This Row],[Stand Gekoeld liter einde maand]]-Tabel24256789101112131415171618192120222326141518192021[[#This Row],[Stand Gekoeld liter vorige maand]]</f>
        <v>143.29999999999973</v>
      </c>
      <c r="AK25" s="2">
        <f>Tabel24256789101112131415171618192120222326141518192021[[#This Row],[Verbruik Gekoeld liter deze maand]]/0.15</f>
        <v>955.33333333333155</v>
      </c>
      <c r="AL25" s="53">
        <v>2625.4</v>
      </c>
      <c r="AM25">
        <f>september2025!AL25</f>
        <v>2542.6</v>
      </c>
      <c r="AN25">
        <f>Tabel24256789101112131415171618192120222326141518192021[[#This Row],[Stand Bruisend liter einde maand]]-Tabel24256789101112131415171618192120222326141518192021[[#This Row],[Stand Bruisend liter vorige maand]]</f>
        <v>82.800000000000182</v>
      </c>
      <c r="AO25" s="2">
        <f>Tabel24256789101112131415171618192120222326141518192021[[#This Row],[Verbruik Bruisend liter deze maand]]/0.15</f>
        <v>552.00000000000125</v>
      </c>
      <c r="AP25" s="53">
        <v>808.1</v>
      </c>
      <c r="AQ25">
        <f>september2025!AP25</f>
        <v>782.8</v>
      </c>
      <c r="AR25">
        <f>Tabel24256789101112131415171618192120222326141518192021[[#This Row],[Stand licht bruisend liter einde maand]]-Tabel24256789101112131415171618192120222326141518192021[[#This Row],[Stand licht bruisend liter vorige maand]]</f>
        <v>25.300000000000068</v>
      </c>
      <c r="AS25" s="2">
        <f>Tabel24256789101112131415171618192120222326141518192021[[#This Row],[Verbruik licht bruisend liter deze maand]]/0.15</f>
        <v>168.66666666666714</v>
      </c>
      <c r="AT25" s="53">
        <v>4092.7</v>
      </c>
      <c r="AU25">
        <f>september2025!AT25</f>
        <v>3950.9</v>
      </c>
      <c r="AV25">
        <f>Tabel24256789101112131415171618192120222326141518192021[[#This Row],[Stand heet water liter einde maand]]-Tabel24256789101112131415171618192120222326141518192021[[#This Row],[Stand heet water liter vorige maand]]</f>
        <v>141.79999999999973</v>
      </c>
      <c r="AW25" s="2">
        <f>Tabel24256789101112131415171618192120222326141518192021[[#This Row],[Verbruik heet Water liter deze maand ]]/0.15</f>
        <v>945.33333333333155</v>
      </c>
      <c r="AX25" s="77">
        <f>Tabel24256789101112131415171618192120222326141518192021[[#This Row],[Aantal consumpties heet water deze maand]]+Tabel24256789101112131415171618192120222326141518192021[[#This Row],[Aantal consumpties licht bruisend water deze maand]]+Tabel24256789101112131415171618192120222326141518192021[[#This Row],[aantal consumpties Bruisend water deze maand]]+Tabel24256789101112131415171618192120222326141518192021[[#This Row],[Aantal consumpties gekoeld water deze maand]]+Tabel24256789101112131415171618192120222326141518192021[[#This Row],[Aantal consumpties Kamertemp deze maand]]</f>
        <v>2824.6666666666652</v>
      </c>
      <c r="AY25" s="95">
        <f>Tabel24256789101112131415171618192120222326141518192021[[#This Row],[Subtotaal waterbar in consumpties]]+Tabel24256789101112131415171618192120222326141518192021[[#This Row],[Subtotaal koffieautomaten]]</f>
        <v>3763.6666666666652</v>
      </c>
    </row>
    <row r="26" spans="1:130" s="81" customFormat="1" ht="14.45" customHeight="1" x14ac:dyDescent="0.25">
      <c r="A26" s="80" t="s">
        <v>74</v>
      </c>
      <c r="D26" s="82"/>
      <c r="H26" s="86"/>
      <c r="K26" s="86"/>
      <c r="N26" s="86"/>
      <c r="Q26" s="86"/>
      <c r="T26" s="86"/>
      <c r="W26" s="86"/>
      <c r="Z26" s="86"/>
      <c r="AC26" s="85"/>
      <c r="AD26" s="86"/>
      <c r="AG26" s="87"/>
      <c r="AH26" s="86"/>
      <c r="AK26" s="87"/>
      <c r="AL26" s="86"/>
      <c r="AO26" s="87"/>
      <c r="AP26" s="86"/>
      <c r="AS26" s="87"/>
      <c r="AT26" s="86"/>
      <c r="AW26" s="87"/>
      <c r="AX26" s="88"/>
      <c r="AY26" s="94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</row>
    <row r="27" spans="1:130" ht="14.45" customHeight="1" x14ac:dyDescent="0.25">
      <c r="A27" s="65" t="s">
        <v>32</v>
      </c>
      <c r="B27" t="s">
        <v>75</v>
      </c>
      <c r="C27" t="s">
        <v>47</v>
      </c>
      <c r="E27">
        <v>11383</v>
      </c>
      <c r="F27">
        <f>september2025!E27</f>
        <v>10933</v>
      </c>
      <c r="G27">
        <f>Tabel24256789101112131415171618192120222326141518192021[[#This Row],[Stand Coffee einde maand]]-Tabel24256789101112131415171618192120222326141518192021[[#This Row],[Coffee vorige maand]]</f>
        <v>450</v>
      </c>
      <c r="H27" s="53">
        <v>3016</v>
      </c>
      <c r="I27">
        <f>september2025!H27</f>
        <v>2901</v>
      </c>
      <c r="J27">
        <f>Tabel24256789101112131415171618192120222326141518192021[[#This Row],[Stand Espresso Einde maand]]-Tabel24256789101112131415171618192120222326141518192021[[#This Row],[Espresso vorige maand]]</f>
        <v>115</v>
      </c>
      <c r="K27" s="53">
        <v>2016</v>
      </c>
      <c r="L27">
        <f>september2025!K27</f>
        <v>1963</v>
      </c>
      <c r="M27">
        <f>Tabel24256789101112131415171618192120222326141518192021[[#This Row],[Stand Latte Macchiato einde maand]]-Tabel24256789101112131415171618192120222326141518192021[[#This Row],[Latte Macchiato vorige maand]]</f>
        <v>53</v>
      </c>
      <c r="N27" s="53">
        <v>958</v>
      </c>
      <c r="O27">
        <f>september2025!N27</f>
        <v>924</v>
      </c>
      <c r="P27">
        <f>Tabel24256789101112131415171618192120222326141518192021[[#This Row],[Stand Coffee Latte einde maand]]-Tabel24256789101112131415171618192120222326141518192021[[#This Row],[Coffee Latte vorige maand]]</f>
        <v>34</v>
      </c>
      <c r="Q27" s="53">
        <v>1</v>
      </c>
      <c r="R27">
        <f>september2025!Q27</f>
        <v>1</v>
      </c>
      <c r="S27">
        <f>Tabel24256789101112131415171618192120222326141518192021[[#This Row],[Stand Hot Water einde maand]]-Tabel24256789101112131415171618192120222326141518192021[[#This Row],[Hot Water vorige maand]]</f>
        <v>0</v>
      </c>
      <c r="T27" s="53">
        <v>6774</v>
      </c>
      <c r="U27">
        <f>september2025!T27</f>
        <v>6571</v>
      </c>
      <c r="V27">
        <f>Tabel24256789101112131415171618192120222326141518192021[[#This Row],[Stand Cappucino einde maand]]-Tabel24256789101112131415171618192120222326141518192021[[#This Row],[Stand Cappucino vorige maand]]</f>
        <v>203</v>
      </c>
      <c r="W27" s="53">
        <v>1033</v>
      </c>
      <c r="X27">
        <f>september2025!W27</f>
        <v>1010</v>
      </c>
      <c r="Y27">
        <f>Tabel24256789101112131415171618192120222326141518192021[[#This Row],[Stand Cappucino Plantaardig einde maand]]-Tabel24256789101112131415171618192120222326141518192021[[#This Row],[Stand Cappucino Plantaardig vorige maand]]</f>
        <v>23</v>
      </c>
      <c r="Z27" s="53">
        <v>539</v>
      </c>
      <c r="AA27">
        <f>september2025!Z27</f>
        <v>519</v>
      </c>
      <c r="AB27">
        <f>Tabel24256789101112131415171618192120222326141518192021[[#This Row],[Stand Latte Macchiato Plantaardig einde maand]]-Tabel24256789101112131415171618192120222326141518192021[[#This Row],[Stand Latte Macchiato Plantaardig vorige maand]]</f>
        <v>20</v>
      </c>
      <c r="AC27" s="71">
        <f>Tabel24256789101112131415171618192120222326141518192021[[#This Row],[Verbruik Stand Latte Macchiato Plantaardig deze maand]]+Tabel24256789101112131415171618192120222326141518192021[[#This Row],[Verbruik  Cappucino Plantaardig deze maand]]+Tabel24256789101112131415171618192120222326141518192021[[#This Row],[Verbruik Cappucino deze maand]]+Tabel24256789101112131415171618192120222326141518192021[[#This Row],[Verbruik Hot Water deze maand]]+Tabel24256789101112131415171618192120222326141518192021[[#This Row],[Verbruik Coffee Latte deze maand]]+Tabel24256789101112131415171618192120222326141518192021[[#This Row],[Verbruik Latte Macchiato deze maand]]+Tabel24256789101112131415171618192120222326141518192021[[#This Row],[Verbruik Espresso deze maand]]+Tabel24256789101112131415171618192120222326141518192021[[#This Row],[Verbruik Coffee deze maand]]</f>
        <v>898</v>
      </c>
      <c r="AD27" s="53">
        <v>69.3</v>
      </c>
      <c r="AE27">
        <f>september2025!AD27</f>
        <v>50.5</v>
      </c>
      <c r="AF27">
        <f>Tabel24256789101112131415171618192120222326141518192021[[#This Row],[Stand Kamertemp liter einde maand]]-Tabel24256789101112131415171618192120222326141518192021[[#This Row],[Stand Kamertemp liter vorige maand]]</f>
        <v>18.799999999999997</v>
      </c>
      <c r="AG27" s="2">
        <f>Tabel24256789101112131415171618192120222326141518192021[[#This Row],[Verbruik Kamertemp liter deze maand]]/0.15</f>
        <v>125.33333333333331</v>
      </c>
      <c r="AH27" s="53">
        <v>326.3</v>
      </c>
      <c r="AI27">
        <f>september2025!AH27</f>
        <v>246</v>
      </c>
      <c r="AJ27">
        <f>Tabel24256789101112131415171618192120222326141518192021[[#This Row],[Stand Gekoeld liter einde maand]]-Tabel24256789101112131415171618192120222326141518192021[[#This Row],[Stand Gekoeld liter vorige maand]]</f>
        <v>80.300000000000011</v>
      </c>
      <c r="AK27" s="2">
        <f>Tabel24256789101112131415171618192120222326141518192021[[#This Row],[Verbruik Gekoeld liter deze maand]]/0.15</f>
        <v>535.33333333333348</v>
      </c>
      <c r="AL27" s="53">
        <v>102</v>
      </c>
      <c r="AM27">
        <f>september2025!AL27</f>
        <v>74.7</v>
      </c>
      <c r="AN27">
        <f>Tabel24256789101112131415171618192120222326141518192021[[#This Row],[Stand Bruisend liter einde maand]]-Tabel24256789101112131415171618192120222326141518192021[[#This Row],[Stand Bruisend liter vorige maand]]</f>
        <v>27.299999999999997</v>
      </c>
      <c r="AO27" s="2">
        <f>Tabel24256789101112131415171618192120222326141518192021[[#This Row],[Verbruik Bruisend liter deze maand]]/0.15</f>
        <v>182</v>
      </c>
      <c r="AP27" s="53">
        <v>83.4</v>
      </c>
      <c r="AQ27">
        <f>september2025!AP27</f>
        <v>67.5</v>
      </c>
      <c r="AR27">
        <f>Tabel24256789101112131415171618192120222326141518192021[[#This Row],[Stand licht bruisend liter einde maand]]-Tabel24256789101112131415171618192120222326141518192021[[#This Row],[Stand licht bruisend liter vorige maand]]</f>
        <v>15.900000000000006</v>
      </c>
      <c r="AS27" s="2">
        <f>Tabel24256789101112131415171618192120222326141518192021[[#This Row],[Verbruik licht bruisend liter deze maand]]/0.15</f>
        <v>106.00000000000004</v>
      </c>
      <c r="AT27" s="53">
        <v>580</v>
      </c>
      <c r="AU27">
        <f>september2025!AT27</f>
        <v>414.2</v>
      </c>
      <c r="AV27">
        <f>Tabel24256789101112131415171618192120222326141518192021[[#This Row],[Stand heet water liter einde maand]]-Tabel24256789101112131415171618192120222326141518192021[[#This Row],[Stand heet water liter vorige maand]]</f>
        <v>165.8</v>
      </c>
      <c r="AW27" s="2">
        <f>Tabel24256789101112131415171618192120222326141518192021[[#This Row],[Verbruik heet Water liter deze maand ]]/0.15</f>
        <v>1105.3333333333335</v>
      </c>
      <c r="AX27" s="77">
        <f>Tabel24256789101112131415171618192120222326141518192021[[#This Row],[Aantal consumpties heet water deze maand]]+Tabel24256789101112131415171618192120222326141518192021[[#This Row],[Aantal consumpties licht bruisend water deze maand]]+Tabel24256789101112131415171618192120222326141518192021[[#This Row],[aantal consumpties Bruisend water deze maand]]+Tabel24256789101112131415171618192120222326141518192021[[#This Row],[Aantal consumpties gekoeld water deze maand]]+Tabel24256789101112131415171618192120222326141518192021[[#This Row],[Aantal consumpties Kamertemp deze maand]]</f>
        <v>2054.0000000000005</v>
      </c>
      <c r="AY27" s="95">
        <f>Tabel24256789101112131415171618192120222326141518192021[[#This Row],[Subtotaal waterbar in consumpties]]+Tabel24256789101112131415171618192120222326141518192021[[#This Row],[Subtotaal koffieautomaten]]</f>
        <v>2952.0000000000005</v>
      </c>
    </row>
    <row r="28" spans="1:130" ht="14.45" customHeight="1" x14ac:dyDescent="0.25">
      <c r="A28" s="65" t="s">
        <v>39</v>
      </c>
      <c r="B28" t="s">
        <v>163</v>
      </c>
      <c r="C28" t="s">
        <v>31</v>
      </c>
      <c r="E28">
        <v>30323</v>
      </c>
      <c r="F28">
        <f>september2025!E28</f>
        <v>29582</v>
      </c>
      <c r="G28">
        <f>Tabel24256789101112131415171618192120222326141518192021[[#This Row],[Stand Coffee einde maand]]-Tabel24256789101112131415171618192120222326141518192021[[#This Row],[Coffee vorige maand]]</f>
        <v>741</v>
      </c>
      <c r="H28" s="53">
        <v>7680</v>
      </c>
      <c r="I28">
        <f>september2025!H28</f>
        <v>7513</v>
      </c>
      <c r="J28">
        <f>Tabel24256789101112131415171618192120222326141518192021[[#This Row],[Stand Espresso Einde maand]]-Tabel24256789101112131415171618192120222326141518192021[[#This Row],[Espresso vorige maand]]</f>
        <v>167</v>
      </c>
      <c r="K28" s="53">
        <v>3676</v>
      </c>
      <c r="L28">
        <f>september2025!K28</f>
        <v>3623</v>
      </c>
      <c r="M28">
        <f>Tabel24256789101112131415171618192120222326141518192021[[#This Row],[Stand Latte Macchiato einde maand]]-Tabel24256789101112131415171618192120222326141518192021[[#This Row],[Latte Macchiato vorige maand]]</f>
        <v>53</v>
      </c>
      <c r="N28" s="53">
        <v>1630</v>
      </c>
      <c r="O28">
        <f>september2025!N28</f>
        <v>1592</v>
      </c>
      <c r="P28">
        <f>Tabel24256789101112131415171618192120222326141518192021[[#This Row],[Stand Coffee Latte einde maand]]-Tabel24256789101112131415171618192120222326141518192021[[#This Row],[Coffee Latte vorige maand]]</f>
        <v>38</v>
      </c>
      <c r="Q28" s="53">
        <v>26016</v>
      </c>
      <c r="R28">
        <f>september2025!Q28</f>
        <v>25456</v>
      </c>
      <c r="S28">
        <f>Tabel24256789101112131415171618192120222326141518192021[[#This Row],[Stand Hot Water einde maand]]-Tabel24256789101112131415171618192120222326141518192021[[#This Row],[Hot Water vorige maand]]</f>
        <v>560</v>
      </c>
      <c r="T28" s="53">
        <v>21217</v>
      </c>
      <c r="U28">
        <f>september2025!T28</f>
        <v>20818</v>
      </c>
      <c r="V28">
        <f>Tabel24256789101112131415171618192120222326141518192021[[#This Row],[Stand Cappucino einde maand]]-Tabel24256789101112131415171618192120222326141518192021[[#This Row],[Stand Cappucino vorige maand]]</f>
        <v>399</v>
      </c>
      <c r="W28" s="53">
        <v>2577</v>
      </c>
      <c r="X28">
        <f>september2025!W28</f>
        <v>2540</v>
      </c>
      <c r="Y28">
        <f>Tabel24256789101112131415171618192120222326141518192021[[#This Row],[Stand Cappucino Plantaardig einde maand]]-Tabel24256789101112131415171618192120222326141518192021[[#This Row],[Stand Cappucino Plantaardig vorige maand]]</f>
        <v>37</v>
      </c>
      <c r="Z28" s="53">
        <v>812</v>
      </c>
      <c r="AA28">
        <f>september2025!Z28</f>
        <v>781</v>
      </c>
      <c r="AB28">
        <f>Tabel24256789101112131415171618192120222326141518192021[[#This Row],[Stand Latte Macchiato Plantaardig einde maand]]-Tabel24256789101112131415171618192120222326141518192021[[#This Row],[Stand Latte Macchiato Plantaardig vorige maand]]</f>
        <v>31</v>
      </c>
      <c r="AC28" s="71">
        <f>Tabel24256789101112131415171618192120222326141518192021[[#This Row],[Verbruik Stand Latte Macchiato Plantaardig deze maand]]+Tabel24256789101112131415171618192120222326141518192021[[#This Row],[Verbruik  Cappucino Plantaardig deze maand]]+Tabel24256789101112131415171618192120222326141518192021[[#This Row],[Verbruik Cappucino deze maand]]+Tabel24256789101112131415171618192120222326141518192021[[#This Row],[Verbruik Hot Water deze maand]]+Tabel24256789101112131415171618192120222326141518192021[[#This Row],[Verbruik Coffee Latte deze maand]]+Tabel24256789101112131415171618192120222326141518192021[[#This Row],[Verbruik Latte Macchiato deze maand]]+Tabel24256789101112131415171618192120222326141518192021[[#This Row],[Verbruik Espresso deze maand]]+Tabel24256789101112131415171618192120222326141518192021[[#This Row],[Verbruik Coffee deze maand]]</f>
        <v>2026</v>
      </c>
      <c r="AD28" s="69"/>
      <c r="AE28" s="41"/>
      <c r="AF28" s="5"/>
      <c r="AG28" s="5"/>
      <c r="AH28" s="75"/>
      <c r="AI28" s="41"/>
      <c r="AJ28" s="5"/>
      <c r="AK28" s="5"/>
      <c r="AL28" s="75"/>
      <c r="AM28" s="41"/>
      <c r="AN28" s="5"/>
      <c r="AO28" s="5"/>
      <c r="AP28" s="75"/>
      <c r="AQ28" s="41"/>
      <c r="AR28" s="5"/>
      <c r="AS28" s="5"/>
      <c r="AT28" s="75"/>
      <c r="AU28" s="41"/>
      <c r="AV28" s="5"/>
      <c r="AW28" s="5"/>
      <c r="AX28" s="79"/>
      <c r="AY28" s="95">
        <f>Tabel24256789101112131415171618192120222326141518192021[[#This Row],[Subtotaal waterbar in consumpties]]+Tabel24256789101112131415171618192120222326141518192021[[#This Row],[Subtotaal koffieautomaten]]</f>
        <v>2026</v>
      </c>
    </row>
    <row r="29" spans="1:130" ht="14.45" customHeight="1" x14ac:dyDescent="0.25">
      <c r="A29" s="65" t="s">
        <v>39</v>
      </c>
      <c r="B29" t="s">
        <v>77</v>
      </c>
      <c r="C29" t="s">
        <v>36</v>
      </c>
      <c r="E29" s="46"/>
      <c r="F29" s="46"/>
      <c r="G29" s="47"/>
      <c r="H29" s="54"/>
      <c r="I29" s="46"/>
      <c r="J29" s="47"/>
      <c r="K29" s="54"/>
      <c r="L29" s="46"/>
      <c r="M29" s="47"/>
      <c r="N29" s="54"/>
      <c r="O29" s="46"/>
      <c r="P29" s="47"/>
      <c r="Q29" s="54"/>
      <c r="R29" s="46"/>
      <c r="S29" s="47"/>
      <c r="T29" s="54"/>
      <c r="U29" s="46"/>
      <c r="V29" s="47"/>
      <c r="W29" s="54"/>
      <c r="X29" s="46"/>
      <c r="Y29" s="47"/>
      <c r="Z29" s="54"/>
      <c r="AA29" s="46"/>
      <c r="AB29" s="47"/>
      <c r="AC29" s="72"/>
      <c r="AD29" s="53">
        <v>142.5</v>
      </c>
      <c r="AE29">
        <f>september2025!AD29</f>
        <v>119.4</v>
      </c>
      <c r="AF29">
        <f>Tabel24256789101112131415171618192120222326141518192021[[#This Row],[Stand Kamertemp liter einde maand]]-Tabel24256789101112131415171618192120222326141518192021[[#This Row],[Stand Kamertemp liter vorige maand]]</f>
        <v>23.099999999999994</v>
      </c>
      <c r="AG29" s="2">
        <f>Tabel24256789101112131415171618192120222326141518192021[[#This Row],[Verbruik Kamertemp liter deze maand]]/0.15</f>
        <v>153.99999999999997</v>
      </c>
      <c r="AH29" s="53">
        <v>1200.5999999999999</v>
      </c>
      <c r="AI29">
        <f>september2025!AH29</f>
        <v>999.3</v>
      </c>
      <c r="AJ29">
        <f>Tabel24256789101112131415171618192120222326141518192021[[#This Row],[Stand Gekoeld liter einde maand]]-Tabel24256789101112131415171618192120222326141518192021[[#This Row],[Stand Gekoeld liter vorige maand]]</f>
        <v>201.29999999999995</v>
      </c>
      <c r="AK29" s="2">
        <f>Tabel24256789101112131415171618192120222326141518192021[[#This Row],[Verbruik Gekoeld liter deze maand]]/0.15</f>
        <v>1341.9999999999998</v>
      </c>
      <c r="AL29" s="53">
        <v>598.20000000000005</v>
      </c>
      <c r="AM29">
        <f>september2025!AL29</f>
        <v>511.4</v>
      </c>
      <c r="AN29">
        <f>Tabel24256789101112131415171618192120222326141518192021[[#This Row],[Stand Bruisend liter einde maand]]-Tabel24256789101112131415171618192120222326141518192021[[#This Row],[Stand Bruisend liter vorige maand]]</f>
        <v>86.800000000000068</v>
      </c>
      <c r="AO29" s="2">
        <f>Tabel24256789101112131415171618192120222326141518192021[[#This Row],[Verbruik Bruisend liter deze maand]]/0.15</f>
        <v>578.6666666666672</v>
      </c>
      <c r="AP29" s="53">
        <v>182.6</v>
      </c>
      <c r="AQ29">
        <f>september2025!AP29</f>
        <v>169.2</v>
      </c>
      <c r="AR29">
        <f>Tabel24256789101112131415171618192120222326141518192021[[#This Row],[Stand licht bruisend liter einde maand]]-Tabel24256789101112131415171618192120222326141518192021[[#This Row],[Stand licht bruisend liter vorige maand]]</f>
        <v>13.400000000000006</v>
      </c>
      <c r="AS29" s="2">
        <f>Tabel24256789101112131415171618192120222326141518192021[[#This Row],[Verbruik licht bruisend liter deze maand]]/0.15</f>
        <v>89.333333333333371</v>
      </c>
      <c r="AT29" s="53">
        <v>475</v>
      </c>
      <c r="AU29">
        <f>september2025!AT29</f>
        <v>383.7</v>
      </c>
      <c r="AV29">
        <f>Tabel24256789101112131415171618192120222326141518192021[[#This Row],[Stand heet water liter einde maand]]-Tabel24256789101112131415171618192120222326141518192021[[#This Row],[Stand heet water liter vorige maand]]</f>
        <v>91.300000000000011</v>
      </c>
      <c r="AW29" s="2">
        <f>Tabel24256789101112131415171618192120222326141518192021[[#This Row],[Verbruik heet Water liter deze maand ]]/0.15</f>
        <v>608.66666666666674</v>
      </c>
      <c r="AX29" s="77">
        <f>Tabel24256789101112131415171618192120222326141518192021[[#This Row],[Aantal consumpties heet water deze maand]]+Tabel24256789101112131415171618192120222326141518192021[[#This Row],[Aantal consumpties licht bruisend water deze maand]]+Tabel24256789101112131415171618192120222326141518192021[[#This Row],[aantal consumpties Bruisend water deze maand]]+Tabel24256789101112131415171618192120222326141518192021[[#This Row],[Aantal consumpties gekoeld water deze maand]]+Tabel24256789101112131415171618192120222326141518192021[[#This Row],[Aantal consumpties Kamertemp deze maand]]</f>
        <v>2772.666666666667</v>
      </c>
      <c r="AY29" s="95">
        <f>Tabel24256789101112131415171618192120222326141518192021[[#This Row],[Subtotaal waterbar in consumpties]]+Tabel24256789101112131415171618192120222326141518192021[[#This Row],[Subtotaal koffieautomaten]]</f>
        <v>2772.666666666667</v>
      </c>
    </row>
    <row r="30" spans="1:130" ht="14.45" customHeight="1" x14ac:dyDescent="0.25">
      <c r="A30" s="65" t="s">
        <v>41</v>
      </c>
      <c r="B30" t="s">
        <v>78</v>
      </c>
      <c r="C30" t="s">
        <v>47</v>
      </c>
      <c r="E30">
        <v>8006</v>
      </c>
      <c r="F30">
        <f>september2025!E30</f>
        <v>7743</v>
      </c>
      <c r="G30">
        <f>Tabel24256789101112131415171618192120222326141518192021[[#This Row],[Stand Coffee einde maand]]-Tabel24256789101112131415171618192120222326141518192021[[#This Row],[Coffee vorige maand]]</f>
        <v>263</v>
      </c>
      <c r="H30" s="53">
        <v>2263</v>
      </c>
      <c r="I30">
        <f>september2025!H30</f>
        <v>2228</v>
      </c>
      <c r="J30">
        <f>Tabel24256789101112131415171618192120222326141518192021[[#This Row],[Stand Espresso Einde maand]]-Tabel24256789101112131415171618192120222326141518192021[[#This Row],[Espresso vorige maand]]</f>
        <v>35</v>
      </c>
      <c r="K30" s="53">
        <v>636</v>
      </c>
      <c r="L30">
        <f>september2025!K30</f>
        <v>604</v>
      </c>
      <c r="M30">
        <f>Tabel24256789101112131415171618192120222326141518192021[[#This Row],[Stand Latte Macchiato einde maand]]-Tabel24256789101112131415171618192120222326141518192021[[#This Row],[Latte Macchiato vorige maand]]</f>
        <v>32</v>
      </c>
      <c r="N30" s="53">
        <v>407</v>
      </c>
      <c r="O30">
        <f>september2025!N30</f>
        <v>394</v>
      </c>
      <c r="P30">
        <f>Tabel24256789101112131415171618192120222326141518192021[[#This Row],[Stand Coffee Latte einde maand]]-Tabel24256789101112131415171618192120222326141518192021[[#This Row],[Coffee Latte vorige maand]]</f>
        <v>13</v>
      </c>
      <c r="Q30" s="53">
        <v>1</v>
      </c>
      <c r="R30">
        <f>september2025!Q30</f>
        <v>1</v>
      </c>
      <c r="S30">
        <f>Tabel24256789101112131415171618192120222326141518192021[[#This Row],[Stand Hot Water einde maand]]-Tabel24256789101112131415171618192120222326141518192021[[#This Row],[Hot Water vorige maand]]</f>
        <v>0</v>
      </c>
      <c r="T30" s="53">
        <v>3522</v>
      </c>
      <c r="U30">
        <f>september2025!T30</f>
        <v>3393</v>
      </c>
      <c r="V30">
        <f>Tabel24256789101112131415171618192120222326141518192021[[#This Row],[Stand Cappucino einde maand]]-Tabel24256789101112131415171618192120222326141518192021[[#This Row],[Stand Cappucino vorige maand]]</f>
        <v>129</v>
      </c>
      <c r="W30" s="53">
        <v>1685</v>
      </c>
      <c r="X30">
        <f>september2025!W30</f>
        <v>1655</v>
      </c>
      <c r="Y30">
        <f>Tabel24256789101112131415171618192120222326141518192021[[#This Row],[Stand Cappucino Plantaardig einde maand]]-Tabel24256789101112131415171618192120222326141518192021[[#This Row],[Stand Cappucino Plantaardig vorige maand]]</f>
        <v>30</v>
      </c>
      <c r="Z30" s="53">
        <v>1255</v>
      </c>
      <c r="AA30">
        <f>september2025!Z30</f>
        <v>1205</v>
      </c>
      <c r="AB30">
        <f>Tabel24256789101112131415171618192120222326141518192021[[#This Row],[Stand Latte Macchiato Plantaardig einde maand]]-Tabel24256789101112131415171618192120222326141518192021[[#This Row],[Stand Latte Macchiato Plantaardig vorige maand]]</f>
        <v>50</v>
      </c>
      <c r="AC30" s="71">
        <f>Tabel24256789101112131415171618192120222326141518192021[[#This Row],[Verbruik Stand Latte Macchiato Plantaardig deze maand]]+Tabel24256789101112131415171618192120222326141518192021[[#This Row],[Verbruik  Cappucino Plantaardig deze maand]]+Tabel24256789101112131415171618192120222326141518192021[[#This Row],[Verbruik Cappucino deze maand]]+Tabel24256789101112131415171618192120222326141518192021[[#This Row],[Verbruik Hot Water deze maand]]+Tabel24256789101112131415171618192120222326141518192021[[#This Row],[Verbruik Coffee Latte deze maand]]+Tabel24256789101112131415171618192120222326141518192021[[#This Row],[Verbruik Latte Macchiato deze maand]]+Tabel24256789101112131415171618192120222326141518192021[[#This Row],[Verbruik Espresso deze maand]]+Tabel24256789101112131415171618192120222326141518192021[[#This Row],[Verbruik Coffee deze maand]]</f>
        <v>552</v>
      </c>
      <c r="AD30" s="53">
        <v>297.60000000000002</v>
      </c>
      <c r="AE30">
        <f>september2025!AD30</f>
        <v>274</v>
      </c>
      <c r="AF30">
        <f>Tabel24256789101112131415171618192120222326141518192021[[#This Row],[Stand Kamertemp liter einde maand]]-Tabel24256789101112131415171618192120222326141518192021[[#This Row],[Stand Kamertemp liter vorige maand]]</f>
        <v>23.600000000000023</v>
      </c>
      <c r="AG30" s="2">
        <f>Tabel24256789101112131415171618192120222326141518192021[[#This Row],[Verbruik Kamertemp liter deze maand]]/0.15</f>
        <v>157.33333333333348</v>
      </c>
      <c r="AH30" s="53">
        <v>2073.9</v>
      </c>
      <c r="AI30">
        <f>september2025!AH30</f>
        <v>1931.9</v>
      </c>
      <c r="AJ30">
        <f>Tabel24256789101112131415171618192120222326141518192021[[#This Row],[Stand Gekoeld liter einde maand]]-Tabel24256789101112131415171618192120222326141518192021[[#This Row],[Stand Gekoeld liter vorige maand]]</f>
        <v>142</v>
      </c>
      <c r="AK30" s="2">
        <f>Tabel24256789101112131415171618192120222326141518192021[[#This Row],[Verbruik Gekoeld liter deze maand]]/0.15</f>
        <v>946.66666666666674</v>
      </c>
      <c r="AL30" s="53">
        <v>1096.8</v>
      </c>
      <c r="AM30">
        <f>september2025!AL30</f>
        <v>1044.2</v>
      </c>
      <c r="AN30">
        <f>Tabel24256789101112131415171618192120222326141518192021[[#This Row],[Stand Bruisend liter einde maand]]-Tabel24256789101112131415171618192120222326141518192021[[#This Row],[Stand Bruisend liter vorige maand]]</f>
        <v>52.599999999999909</v>
      </c>
      <c r="AO30" s="2">
        <f>Tabel24256789101112131415171618192120222326141518192021[[#This Row],[Verbruik Bruisend liter deze maand]]/0.15</f>
        <v>350.66666666666606</v>
      </c>
      <c r="AP30" s="53">
        <v>774</v>
      </c>
      <c r="AQ30">
        <f>september2025!AP30</f>
        <v>745.7</v>
      </c>
      <c r="AR30">
        <f>Tabel24256789101112131415171618192120222326141518192021[[#This Row],[Stand licht bruisend liter einde maand]]-Tabel24256789101112131415171618192120222326141518192021[[#This Row],[Stand licht bruisend liter vorige maand]]</f>
        <v>28.299999999999955</v>
      </c>
      <c r="AS30" s="2">
        <f>Tabel24256789101112131415171618192120222326141518192021[[#This Row],[Verbruik licht bruisend liter deze maand]]/0.15</f>
        <v>188.66666666666637</v>
      </c>
      <c r="AT30" s="53">
        <v>5342.2</v>
      </c>
      <c r="AU30">
        <f>september2025!AT30</f>
        <v>5008.5</v>
      </c>
      <c r="AV30">
        <f>Tabel24256789101112131415171618192120222326141518192021[[#This Row],[Stand heet water liter einde maand]]-Tabel24256789101112131415171618192120222326141518192021[[#This Row],[Stand heet water liter vorige maand]]</f>
        <v>333.69999999999982</v>
      </c>
      <c r="AW30" s="2">
        <f>Tabel24256789101112131415171618192120222326141518192021[[#This Row],[Verbruik heet Water liter deze maand ]]/0.15</f>
        <v>2224.6666666666656</v>
      </c>
      <c r="AX30" s="77">
        <f>Tabel24256789101112131415171618192120222326141518192021[[#This Row],[Aantal consumpties heet water deze maand]]+Tabel24256789101112131415171618192120222326141518192021[[#This Row],[Aantal consumpties licht bruisend water deze maand]]+Tabel24256789101112131415171618192120222326141518192021[[#This Row],[aantal consumpties Bruisend water deze maand]]+Tabel24256789101112131415171618192120222326141518192021[[#This Row],[Aantal consumpties gekoeld water deze maand]]+Tabel24256789101112131415171618192120222326141518192021[[#This Row],[Aantal consumpties Kamertemp deze maand]]</f>
        <v>3867.9999999999986</v>
      </c>
      <c r="AY30" s="95">
        <f>Tabel24256789101112131415171618192120222326141518192021[[#This Row],[Subtotaal waterbar in consumpties]]+Tabel24256789101112131415171618192120222326141518192021[[#This Row],[Subtotaal koffieautomaten]]</f>
        <v>4419.9999999999982</v>
      </c>
    </row>
    <row r="31" spans="1:130" ht="14.45" customHeight="1" x14ac:dyDescent="0.25">
      <c r="A31" s="65" t="s">
        <v>43</v>
      </c>
      <c r="B31" t="s">
        <v>79</v>
      </c>
      <c r="C31" t="s">
        <v>31</v>
      </c>
      <c r="E31">
        <v>14916</v>
      </c>
      <c r="F31">
        <f>september2025!E31</f>
        <v>14351</v>
      </c>
      <c r="G31">
        <f>Tabel24256789101112131415171618192120222326141518192021[[#This Row],[Stand Coffee einde maand]]-Tabel24256789101112131415171618192120222326141518192021[[#This Row],[Coffee vorige maand]]</f>
        <v>565</v>
      </c>
      <c r="H31" s="53">
        <v>6678</v>
      </c>
      <c r="I31">
        <f>september2025!H31</f>
        <v>6321</v>
      </c>
      <c r="J31">
        <f>Tabel24256789101112131415171618192120222326141518192021[[#This Row],[Stand Espresso Einde maand]]-Tabel24256789101112131415171618192120222326141518192021[[#This Row],[Espresso vorige maand]]</f>
        <v>357</v>
      </c>
      <c r="K31" s="53">
        <v>922</v>
      </c>
      <c r="L31">
        <f>september2025!K31</f>
        <v>893</v>
      </c>
      <c r="M31">
        <f>Tabel24256789101112131415171618192120222326141518192021[[#This Row],[Stand Latte Macchiato einde maand]]-Tabel24256789101112131415171618192120222326141518192021[[#This Row],[Latte Macchiato vorige maand]]</f>
        <v>29</v>
      </c>
      <c r="N31" s="53">
        <v>168</v>
      </c>
      <c r="O31">
        <f>september2025!N31</f>
        <v>161</v>
      </c>
      <c r="P31">
        <f>Tabel24256789101112131415171618192120222326141518192021[[#This Row],[Stand Coffee Latte einde maand]]-Tabel24256789101112131415171618192120222326141518192021[[#This Row],[Coffee Latte vorige maand]]</f>
        <v>7</v>
      </c>
      <c r="Q31" s="53">
        <v>12962</v>
      </c>
      <c r="R31">
        <f>september2025!Q31</f>
        <v>12364</v>
      </c>
      <c r="S31">
        <f>Tabel24256789101112131415171618192120222326141518192021[[#This Row],[Stand Hot Water einde maand]]-Tabel24256789101112131415171618192120222326141518192021[[#This Row],[Hot Water vorige maand]]</f>
        <v>598</v>
      </c>
      <c r="T31" s="53">
        <v>8523</v>
      </c>
      <c r="U31">
        <f>september2025!T31</f>
        <v>8205</v>
      </c>
      <c r="V31">
        <f>Tabel24256789101112131415171618192120222326141518192021[[#This Row],[Stand Cappucino einde maand]]-Tabel24256789101112131415171618192120222326141518192021[[#This Row],[Stand Cappucino vorige maand]]</f>
        <v>318</v>
      </c>
      <c r="W31" s="53">
        <v>585</v>
      </c>
      <c r="X31">
        <f>september2025!W31</f>
        <v>579</v>
      </c>
      <c r="Y31">
        <f>Tabel24256789101112131415171618192120222326141518192021[[#This Row],[Stand Cappucino Plantaardig einde maand]]-Tabel24256789101112131415171618192120222326141518192021[[#This Row],[Stand Cappucino Plantaardig vorige maand]]</f>
        <v>6</v>
      </c>
      <c r="Z31" s="53">
        <v>136</v>
      </c>
      <c r="AA31">
        <f>september2025!Z31</f>
        <v>135</v>
      </c>
      <c r="AB31">
        <f>Tabel24256789101112131415171618192120222326141518192021[[#This Row],[Stand Latte Macchiato Plantaardig einde maand]]-Tabel24256789101112131415171618192120222326141518192021[[#This Row],[Stand Latte Macchiato Plantaardig vorige maand]]</f>
        <v>1</v>
      </c>
      <c r="AC31" s="71">
        <f>Tabel24256789101112131415171618192120222326141518192021[[#This Row],[Verbruik Stand Latte Macchiato Plantaardig deze maand]]+Tabel24256789101112131415171618192120222326141518192021[[#This Row],[Verbruik  Cappucino Plantaardig deze maand]]+Tabel24256789101112131415171618192120222326141518192021[[#This Row],[Verbruik Cappucino deze maand]]+Tabel24256789101112131415171618192120222326141518192021[[#This Row],[Verbruik Hot Water deze maand]]+Tabel24256789101112131415171618192120222326141518192021[[#This Row],[Verbruik Coffee Latte deze maand]]+Tabel24256789101112131415171618192120222326141518192021[[#This Row],[Verbruik Latte Macchiato deze maand]]+Tabel24256789101112131415171618192120222326141518192021[[#This Row],[Verbruik Espresso deze maand]]+Tabel24256789101112131415171618192120222326141518192021[[#This Row],[Verbruik Coffee deze maand]]</f>
        <v>1881</v>
      </c>
      <c r="AD31" s="69"/>
      <c r="AE31" s="41"/>
      <c r="AF31" s="5"/>
      <c r="AG31" s="5"/>
      <c r="AH31" s="75"/>
      <c r="AI31" s="41"/>
      <c r="AJ31" s="5"/>
      <c r="AK31" s="5"/>
      <c r="AL31" s="75"/>
      <c r="AM31" s="41"/>
      <c r="AN31" s="5"/>
      <c r="AO31" s="5"/>
      <c r="AP31" s="75"/>
      <c r="AQ31" s="41"/>
      <c r="AR31" s="5"/>
      <c r="AS31" s="5"/>
      <c r="AT31" s="75"/>
      <c r="AU31" s="41"/>
      <c r="AV31" s="5"/>
      <c r="AW31" s="5"/>
      <c r="AX31" s="79"/>
      <c r="AY31" s="95">
        <f>Tabel24256789101112131415171618192120222326141518192021[[#This Row],[Subtotaal waterbar in consumpties]]+Tabel24256789101112131415171618192120222326141518192021[[#This Row],[Subtotaal koffieautomaten]]</f>
        <v>1881</v>
      </c>
    </row>
    <row r="32" spans="1:130" ht="14.45" customHeight="1" x14ac:dyDescent="0.25">
      <c r="A32" s="65" t="s">
        <v>45</v>
      </c>
      <c r="B32" t="s">
        <v>80</v>
      </c>
      <c r="C32" t="s">
        <v>36</v>
      </c>
      <c r="E32" s="46"/>
      <c r="F32" s="46"/>
      <c r="G32" s="47"/>
      <c r="H32" s="54"/>
      <c r="I32" s="46"/>
      <c r="J32" s="47"/>
      <c r="K32" s="54"/>
      <c r="L32" s="46"/>
      <c r="M32" s="47"/>
      <c r="N32" s="54"/>
      <c r="O32" s="46"/>
      <c r="P32" s="47"/>
      <c r="Q32" s="54"/>
      <c r="R32" s="46"/>
      <c r="S32" s="47"/>
      <c r="T32" s="54"/>
      <c r="U32" s="46"/>
      <c r="V32" s="47"/>
      <c r="W32" s="54"/>
      <c r="X32" s="46"/>
      <c r="Y32" s="47"/>
      <c r="Z32" s="54"/>
      <c r="AA32" s="46"/>
      <c r="AB32" s="47"/>
      <c r="AC32" s="72"/>
      <c r="AD32" s="53">
        <v>38.700000000000003</v>
      </c>
      <c r="AE32">
        <f>september2025!AD32</f>
        <v>30.7</v>
      </c>
      <c r="AF32">
        <f>Tabel24256789101112131415171618192120222326141518192021[[#This Row],[Stand Kamertemp liter einde maand]]-Tabel24256789101112131415171618192120222326141518192021[[#This Row],[Stand Kamertemp liter vorige maand]]</f>
        <v>8.0000000000000036</v>
      </c>
      <c r="AG32" s="2">
        <f>Tabel24256789101112131415171618192120222326141518192021[[#This Row],[Verbruik Kamertemp liter deze maand]]/0.15</f>
        <v>53.333333333333357</v>
      </c>
      <c r="AH32" s="53">
        <v>274.89999999999998</v>
      </c>
      <c r="AI32">
        <f>september2025!AH32</f>
        <v>215.6</v>
      </c>
      <c r="AJ32">
        <f>Tabel24256789101112131415171618192120222326141518192021[[#This Row],[Stand Gekoeld liter einde maand]]-Tabel24256789101112131415171618192120222326141518192021[[#This Row],[Stand Gekoeld liter vorige maand]]</f>
        <v>59.299999999999983</v>
      </c>
      <c r="AK32" s="2">
        <f>Tabel24256789101112131415171618192120222326141518192021[[#This Row],[Verbruik Gekoeld liter deze maand]]/0.15</f>
        <v>395.33333333333326</v>
      </c>
      <c r="AL32" s="53">
        <v>145.9</v>
      </c>
      <c r="AM32">
        <f>september2025!AL32</f>
        <v>119</v>
      </c>
      <c r="AN32">
        <f>Tabel24256789101112131415171618192120222326141518192021[[#This Row],[Stand Bruisend liter einde maand]]-Tabel24256789101112131415171618192120222326141518192021[[#This Row],[Stand Bruisend liter vorige maand]]</f>
        <v>26.900000000000006</v>
      </c>
      <c r="AO32" s="2">
        <f>Tabel24256789101112131415171618192120222326141518192021[[#This Row],[Verbruik Bruisend liter deze maand]]/0.15</f>
        <v>179.33333333333337</v>
      </c>
      <c r="AP32" s="53">
        <v>40.200000000000003</v>
      </c>
      <c r="AQ32">
        <f>september2025!AP32</f>
        <v>33.299999999999997</v>
      </c>
      <c r="AR32">
        <f>Tabel24256789101112131415171618192120222326141518192021[[#This Row],[Stand licht bruisend liter einde maand]]-Tabel24256789101112131415171618192120222326141518192021[[#This Row],[Stand licht bruisend liter vorige maand]]</f>
        <v>6.9000000000000057</v>
      </c>
      <c r="AS32" s="2">
        <f>Tabel24256789101112131415171618192120222326141518192021[[#This Row],[Verbruik licht bruisend liter deze maand]]/0.15</f>
        <v>46.000000000000043</v>
      </c>
      <c r="AT32" s="53">
        <v>502.4</v>
      </c>
      <c r="AU32">
        <f>september2025!AT32</f>
        <v>392.6</v>
      </c>
      <c r="AV32">
        <f>Tabel24256789101112131415171618192120222326141518192021[[#This Row],[Stand heet water liter einde maand]]-Tabel24256789101112131415171618192120222326141518192021[[#This Row],[Stand heet water liter vorige maand]]</f>
        <v>109.79999999999995</v>
      </c>
      <c r="AW32" s="2">
        <f>Tabel24256789101112131415171618192120222326141518192021[[#This Row],[Verbruik heet Water liter deze maand ]]/0.15</f>
        <v>731.99999999999977</v>
      </c>
      <c r="AX32" s="77">
        <f>Tabel24256789101112131415171618192120222326141518192021[[#This Row],[Aantal consumpties heet water deze maand]]+Tabel24256789101112131415171618192120222326141518192021[[#This Row],[Aantal consumpties licht bruisend water deze maand]]+Tabel24256789101112131415171618192120222326141518192021[[#This Row],[aantal consumpties Bruisend water deze maand]]+Tabel24256789101112131415171618192120222326141518192021[[#This Row],[Aantal consumpties gekoeld water deze maand]]+Tabel24256789101112131415171618192120222326141518192021[[#This Row],[Aantal consumpties Kamertemp deze maand]]</f>
        <v>1405.9999999999998</v>
      </c>
      <c r="AY32" s="95">
        <f>Tabel24256789101112131415171618192120222326141518192021[[#This Row],[Subtotaal waterbar in consumpties]]+Tabel24256789101112131415171618192120222326141518192021[[#This Row],[Subtotaal koffieautomaten]]</f>
        <v>1405.9999999999998</v>
      </c>
    </row>
    <row r="33" spans="1:130" ht="14.45" customHeight="1" x14ac:dyDescent="0.25">
      <c r="A33" s="65" t="s">
        <v>48</v>
      </c>
      <c r="B33" t="s">
        <v>81</v>
      </c>
      <c r="C33" t="s">
        <v>31</v>
      </c>
      <c r="E33">
        <v>13994</v>
      </c>
      <c r="F33">
        <f>september2025!E33</f>
        <v>13462</v>
      </c>
      <c r="G33">
        <f>Tabel24256789101112131415171618192120222326141518192021[[#This Row],[Stand Coffee einde maand]]-Tabel24256789101112131415171618192120222326141518192021[[#This Row],[Coffee vorige maand]]</f>
        <v>532</v>
      </c>
      <c r="H33" s="53">
        <v>755</v>
      </c>
      <c r="I33">
        <f>september2025!H33</f>
        <v>671</v>
      </c>
      <c r="J33">
        <f>Tabel24256789101112131415171618192120222326141518192021[[#This Row],[Stand Espresso Einde maand]]-Tabel24256789101112131415171618192120222326141518192021[[#This Row],[Espresso vorige maand]]</f>
        <v>84</v>
      </c>
      <c r="K33" s="53">
        <v>751</v>
      </c>
      <c r="L33">
        <f>september2025!K33</f>
        <v>750</v>
      </c>
      <c r="M33">
        <f>Tabel24256789101112131415171618192120222326141518192021[[#This Row],[Stand Latte Macchiato einde maand]]-Tabel24256789101112131415171618192120222326141518192021[[#This Row],[Latte Macchiato vorige maand]]</f>
        <v>1</v>
      </c>
      <c r="N33" s="53">
        <v>455</v>
      </c>
      <c r="O33">
        <f>september2025!N33</f>
        <v>441</v>
      </c>
      <c r="P33">
        <f>Tabel24256789101112131415171618192120222326141518192021[[#This Row],[Stand Coffee Latte einde maand]]-Tabel24256789101112131415171618192120222326141518192021[[#This Row],[Coffee Latte vorige maand]]</f>
        <v>14</v>
      </c>
      <c r="Q33" s="53">
        <v>29574</v>
      </c>
      <c r="R33">
        <f>september2025!Q33</f>
        <v>28689</v>
      </c>
      <c r="S33">
        <f>Tabel24256789101112131415171618192120222326141518192021[[#This Row],[Stand Hot Water einde maand]]-Tabel24256789101112131415171618192120222326141518192021[[#This Row],[Hot Water vorige maand]]</f>
        <v>885</v>
      </c>
      <c r="T33" s="53">
        <v>4752</v>
      </c>
      <c r="U33">
        <f>september2025!T33</f>
        <v>4686</v>
      </c>
      <c r="V33">
        <f>Tabel24256789101112131415171618192120222326141518192021[[#This Row],[Stand Cappucino einde maand]]-Tabel24256789101112131415171618192120222326141518192021[[#This Row],[Stand Cappucino vorige maand]]</f>
        <v>66</v>
      </c>
      <c r="W33" s="53">
        <v>443</v>
      </c>
      <c r="X33">
        <f>september2025!W33</f>
        <v>440</v>
      </c>
      <c r="Y33">
        <f>Tabel24256789101112131415171618192120222326141518192021[[#This Row],[Stand Cappucino Plantaardig einde maand]]-Tabel24256789101112131415171618192120222326141518192021[[#This Row],[Stand Cappucino Plantaardig vorige maand]]</f>
        <v>3</v>
      </c>
      <c r="Z33" s="53">
        <v>77</v>
      </c>
      <c r="AA33">
        <f>september2025!Z33</f>
        <v>76</v>
      </c>
      <c r="AB33">
        <f>Tabel24256789101112131415171618192120222326141518192021[[#This Row],[Stand Latte Macchiato Plantaardig einde maand]]-Tabel24256789101112131415171618192120222326141518192021[[#This Row],[Stand Latte Macchiato Plantaardig vorige maand]]</f>
        <v>1</v>
      </c>
      <c r="AC33" s="71">
        <f>Tabel24256789101112131415171618192120222326141518192021[[#This Row],[Verbruik Stand Latte Macchiato Plantaardig deze maand]]+Tabel24256789101112131415171618192120222326141518192021[[#This Row],[Verbruik  Cappucino Plantaardig deze maand]]+Tabel24256789101112131415171618192120222326141518192021[[#This Row],[Verbruik Cappucino deze maand]]+Tabel24256789101112131415171618192120222326141518192021[[#This Row],[Verbruik Hot Water deze maand]]+Tabel24256789101112131415171618192120222326141518192021[[#This Row],[Verbruik Coffee Latte deze maand]]+Tabel24256789101112131415171618192120222326141518192021[[#This Row],[Verbruik Latte Macchiato deze maand]]+Tabel24256789101112131415171618192120222326141518192021[[#This Row],[Verbruik Espresso deze maand]]+Tabel24256789101112131415171618192120222326141518192021[[#This Row],[Verbruik Coffee deze maand]]</f>
        <v>1586</v>
      </c>
      <c r="AD33" s="69"/>
      <c r="AE33" s="41"/>
      <c r="AF33" s="5"/>
      <c r="AG33" s="5"/>
      <c r="AH33" s="75"/>
      <c r="AI33" s="41"/>
      <c r="AJ33" s="5"/>
      <c r="AK33" s="5"/>
      <c r="AL33" s="75"/>
      <c r="AM33" s="41"/>
      <c r="AN33" s="5"/>
      <c r="AO33" s="5"/>
      <c r="AP33" s="75"/>
      <c r="AQ33" s="41"/>
      <c r="AR33" s="5"/>
      <c r="AS33" s="5"/>
      <c r="AT33" s="75"/>
      <c r="AU33" s="41"/>
      <c r="AV33" s="5"/>
      <c r="AW33" s="5"/>
      <c r="AX33" s="79"/>
      <c r="AY33" s="95">
        <f>Tabel24256789101112131415171618192120222326141518192021[[#This Row],[Subtotaal waterbar in consumpties]]+Tabel24256789101112131415171618192120222326141518192021[[#This Row],[Subtotaal koffieautomaten]]</f>
        <v>1586</v>
      </c>
    </row>
    <row r="34" spans="1:130" ht="14.45" customHeight="1" x14ac:dyDescent="0.25">
      <c r="A34" s="65" t="s">
        <v>50</v>
      </c>
      <c r="B34" t="s">
        <v>82</v>
      </c>
      <c r="C34" t="s">
        <v>47</v>
      </c>
      <c r="E34">
        <v>9470</v>
      </c>
      <c r="F34">
        <f>september2025!E34</f>
        <v>9173</v>
      </c>
      <c r="G34">
        <f>Tabel24256789101112131415171618192120222326141518192021[[#This Row],[Stand Coffee einde maand]]-Tabel24256789101112131415171618192120222326141518192021[[#This Row],[Coffee vorige maand]]</f>
        <v>297</v>
      </c>
      <c r="H34" s="53">
        <v>1761</v>
      </c>
      <c r="I34">
        <f>september2025!H34</f>
        <v>1681</v>
      </c>
      <c r="J34">
        <f>Tabel24256789101112131415171618192120222326141518192021[[#This Row],[Stand Espresso Einde maand]]-Tabel24256789101112131415171618192120222326141518192021[[#This Row],[Espresso vorige maand]]</f>
        <v>80</v>
      </c>
      <c r="K34" s="53">
        <v>2507</v>
      </c>
      <c r="L34">
        <f>september2025!K34</f>
        <v>2390</v>
      </c>
      <c r="M34">
        <f>Tabel24256789101112131415171618192120222326141518192021[[#This Row],[Stand Latte Macchiato einde maand]]-Tabel24256789101112131415171618192120222326141518192021[[#This Row],[Latte Macchiato vorige maand]]</f>
        <v>117</v>
      </c>
      <c r="N34" s="53">
        <v>2663</v>
      </c>
      <c r="O34">
        <f>september2025!N34</f>
        <v>2534</v>
      </c>
      <c r="P34">
        <f>Tabel24256789101112131415171618192120222326141518192021[[#This Row],[Stand Coffee Latte einde maand]]-Tabel24256789101112131415171618192120222326141518192021[[#This Row],[Coffee Latte vorige maand]]</f>
        <v>129</v>
      </c>
      <c r="Q34" s="53">
        <v>1</v>
      </c>
      <c r="R34">
        <f>september2025!Q34</f>
        <v>1</v>
      </c>
      <c r="S34">
        <f>Tabel24256789101112131415171618192120222326141518192021[[#This Row],[Stand Hot Water einde maand]]-Tabel24256789101112131415171618192120222326141518192021[[#This Row],[Hot Water vorige maand]]</f>
        <v>0</v>
      </c>
      <c r="T34" s="53">
        <v>4913</v>
      </c>
      <c r="U34">
        <f>september2025!T34</f>
        <v>4775</v>
      </c>
      <c r="V34">
        <f>Tabel24256789101112131415171618192120222326141518192021[[#This Row],[Stand Cappucino einde maand]]-Tabel24256789101112131415171618192120222326141518192021[[#This Row],[Stand Cappucino vorige maand]]</f>
        <v>138</v>
      </c>
      <c r="W34" s="53">
        <v>1074</v>
      </c>
      <c r="X34">
        <f>september2025!W34</f>
        <v>1025</v>
      </c>
      <c r="Y34">
        <f>Tabel24256789101112131415171618192120222326141518192021[[#This Row],[Stand Cappucino Plantaardig einde maand]]-Tabel24256789101112131415171618192120222326141518192021[[#This Row],[Stand Cappucino Plantaardig vorige maand]]</f>
        <v>49</v>
      </c>
      <c r="Z34" s="53">
        <v>112</v>
      </c>
      <c r="AA34">
        <f>september2025!Z34</f>
        <v>109</v>
      </c>
      <c r="AB34">
        <f>Tabel24256789101112131415171618192120222326141518192021[[#This Row],[Stand Latte Macchiato Plantaardig einde maand]]-Tabel24256789101112131415171618192120222326141518192021[[#This Row],[Stand Latte Macchiato Plantaardig vorige maand]]</f>
        <v>3</v>
      </c>
      <c r="AC34" s="71">
        <f>Tabel24256789101112131415171618192120222326141518192021[[#This Row],[Verbruik Stand Latte Macchiato Plantaardig deze maand]]+Tabel24256789101112131415171618192120222326141518192021[[#This Row],[Verbruik  Cappucino Plantaardig deze maand]]+Tabel24256789101112131415171618192120222326141518192021[[#This Row],[Verbruik Cappucino deze maand]]+Tabel24256789101112131415171618192120222326141518192021[[#This Row],[Verbruik Hot Water deze maand]]+Tabel24256789101112131415171618192120222326141518192021[[#This Row],[Verbruik Coffee Latte deze maand]]+Tabel24256789101112131415171618192120222326141518192021[[#This Row],[Verbruik Latte Macchiato deze maand]]+Tabel24256789101112131415171618192120222326141518192021[[#This Row],[Verbruik Espresso deze maand]]+Tabel24256789101112131415171618192120222326141518192021[[#This Row],[Verbruik Coffee deze maand]]</f>
        <v>813</v>
      </c>
      <c r="AD34" s="53">
        <v>107.8</v>
      </c>
      <c r="AE34">
        <f>september2025!AD34</f>
        <v>99</v>
      </c>
      <c r="AF34">
        <f>Tabel24256789101112131415171618192120222326141518192021[[#This Row],[Stand Kamertemp liter einde maand]]-Tabel24256789101112131415171618192120222326141518192021[[#This Row],[Stand Kamertemp liter vorige maand]]</f>
        <v>8.7999999999999972</v>
      </c>
      <c r="AG34" s="2">
        <f>Tabel24256789101112131415171618192120222326141518192021[[#This Row],[Verbruik Kamertemp liter deze maand]]/0.15</f>
        <v>58.66666666666665</v>
      </c>
      <c r="AH34" s="53">
        <v>557.6</v>
      </c>
      <c r="AI34">
        <f>september2025!AH34</f>
        <v>517.9</v>
      </c>
      <c r="AJ34">
        <f>Tabel24256789101112131415171618192120222326141518192021[[#This Row],[Stand Gekoeld liter einde maand]]-Tabel24256789101112131415171618192120222326141518192021[[#This Row],[Stand Gekoeld liter vorige maand]]</f>
        <v>39.700000000000045</v>
      </c>
      <c r="AK34" s="2">
        <f>Tabel24256789101112131415171618192120222326141518192021[[#This Row],[Verbruik Gekoeld liter deze maand]]/0.15</f>
        <v>264.66666666666697</v>
      </c>
      <c r="AL34" s="53">
        <v>404.6</v>
      </c>
      <c r="AM34">
        <f>september2025!AL34</f>
        <v>371.7</v>
      </c>
      <c r="AN34">
        <f>Tabel24256789101112131415171618192120222326141518192021[[#This Row],[Stand Bruisend liter einde maand]]-Tabel24256789101112131415171618192120222326141518192021[[#This Row],[Stand Bruisend liter vorige maand]]</f>
        <v>32.900000000000034</v>
      </c>
      <c r="AO34" s="2">
        <f>Tabel24256789101112131415171618192120222326141518192021[[#This Row],[Verbruik Bruisend liter deze maand]]/0.15</f>
        <v>219.33333333333357</v>
      </c>
      <c r="AP34" s="53">
        <v>162.6</v>
      </c>
      <c r="AQ34">
        <f>september2025!AP34</f>
        <v>152.19999999999999</v>
      </c>
      <c r="AR34">
        <f>Tabel24256789101112131415171618192120222326141518192021[[#This Row],[Stand licht bruisend liter einde maand]]-Tabel24256789101112131415171618192120222326141518192021[[#This Row],[Stand licht bruisend liter vorige maand]]</f>
        <v>10.400000000000006</v>
      </c>
      <c r="AS34" s="2">
        <f>Tabel24256789101112131415171618192120222326141518192021[[#This Row],[Verbruik licht bruisend liter deze maand]]/0.15</f>
        <v>69.333333333333371</v>
      </c>
      <c r="AT34" s="53">
        <v>2011.9</v>
      </c>
      <c r="AU34">
        <f>september2025!AT34</f>
        <v>1825.1</v>
      </c>
      <c r="AV34">
        <f>Tabel24256789101112131415171618192120222326141518192021[[#This Row],[Stand heet water liter einde maand]]-Tabel24256789101112131415171618192120222326141518192021[[#This Row],[Stand heet water liter vorige maand]]</f>
        <v>186.80000000000018</v>
      </c>
      <c r="AW34" s="2">
        <f>Tabel24256789101112131415171618192120222326141518192021[[#This Row],[Verbruik heet Water liter deze maand ]]/0.15</f>
        <v>1245.3333333333346</v>
      </c>
      <c r="AX34" s="77">
        <f>Tabel24256789101112131415171618192120222326141518192021[[#This Row],[Aantal consumpties heet water deze maand]]+Tabel24256789101112131415171618192120222326141518192021[[#This Row],[Aantal consumpties licht bruisend water deze maand]]+Tabel24256789101112131415171618192120222326141518192021[[#This Row],[aantal consumpties Bruisend water deze maand]]+Tabel24256789101112131415171618192120222326141518192021[[#This Row],[Aantal consumpties gekoeld water deze maand]]+Tabel24256789101112131415171618192120222326141518192021[[#This Row],[Aantal consumpties Kamertemp deze maand]]</f>
        <v>1857.3333333333351</v>
      </c>
      <c r="AY34" s="95">
        <f>Tabel24256789101112131415171618192120222326141518192021[[#This Row],[Subtotaal waterbar in consumpties]]+Tabel24256789101112131415171618192120222326141518192021[[#This Row],[Subtotaal koffieautomaten]]</f>
        <v>2670.3333333333348</v>
      </c>
    </row>
    <row r="35" spans="1:130" ht="14.45" customHeight="1" x14ac:dyDescent="0.25">
      <c r="A35" s="65" t="s">
        <v>52</v>
      </c>
      <c r="B35" t="s">
        <v>83</v>
      </c>
      <c r="C35" t="s">
        <v>47</v>
      </c>
      <c r="E35">
        <v>9829</v>
      </c>
      <c r="F35">
        <f>september2025!E35</f>
        <v>9549</v>
      </c>
      <c r="G35">
        <f>Tabel24256789101112131415171618192120222326141518192021[[#This Row],[Stand Coffee einde maand]]-Tabel24256789101112131415171618192120222326141518192021[[#This Row],[Coffee vorige maand]]</f>
        <v>280</v>
      </c>
      <c r="H35" s="53">
        <v>3667</v>
      </c>
      <c r="I35">
        <f>september2025!H35</f>
        <v>3548</v>
      </c>
      <c r="J35">
        <f>Tabel24256789101112131415171618192120222326141518192021[[#This Row],[Stand Espresso Einde maand]]-Tabel24256789101112131415171618192120222326141518192021[[#This Row],[Espresso vorige maand]]</f>
        <v>119</v>
      </c>
      <c r="K35" s="53">
        <v>1719</v>
      </c>
      <c r="L35">
        <f>september2025!K35</f>
        <v>1682</v>
      </c>
      <c r="M35">
        <f>Tabel24256789101112131415171618192120222326141518192021[[#This Row],[Stand Latte Macchiato einde maand]]-Tabel24256789101112131415171618192120222326141518192021[[#This Row],[Latte Macchiato vorige maand]]</f>
        <v>37</v>
      </c>
      <c r="N35" s="53">
        <v>289</v>
      </c>
      <c r="O35">
        <f>september2025!N35</f>
        <v>289</v>
      </c>
      <c r="P35">
        <f>Tabel24256789101112131415171618192120222326141518192021[[#This Row],[Stand Coffee Latte einde maand]]-Tabel24256789101112131415171618192120222326141518192021[[#This Row],[Coffee Latte vorige maand]]</f>
        <v>0</v>
      </c>
      <c r="Q35" s="53">
        <v>1</v>
      </c>
      <c r="R35">
        <f>september2025!Q35</f>
        <v>1</v>
      </c>
      <c r="S35">
        <f>Tabel24256789101112131415171618192120222326141518192021[[#This Row],[Stand Hot Water einde maand]]-Tabel24256789101112131415171618192120222326141518192021[[#This Row],[Hot Water vorige maand]]</f>
        <v>0</v>
      </c>
      <c r="T35" s="53">
        <v>4190</v>
      </c>
      <c r="U35">
        <f>september2025!T35</f>
        <v>3994</v>
      </c>
      <c r="V35">
        <f>Tabel24256789101112131415171618192120222326141518192021[[#This Row],[Stand Cappucino einde maand]]-Tabel24256789101112131415171618192120222326141518192021[[#This Row],[Stand Cappucino vorige maand]]</f>
        <v>196</v>
      </c>
      <c r="W35" s="53">
        <v>1185</v>
      </c>
      <c r="X35">
        <f>september2025!W35</f>
        <v>1166</v>
      </c>
      <c r="Y35">
        <f>Tabel24256789101112131415171618192120222326141518192021[[#This Row],[Stand Cappucino Plantaardig einde maand]]-Tabel24256789101112131415171618192120222326141518192021[[#This Row],[Stand Cappucino Plantaardig vorige maand]]</f>
        <v>19</v>
      </c>
      <c r="Z35" s="53">
        <v>648</v>
      </c>
      <c r="AA35">
        <f>september2025!Z35</f>
        <v>628</v>
      </c>
      <c r="AB35">
        <f>Tabel24256789101112131415171618192120222326141518192021[[#This Row],[Stand Latte Macchiato Plantaardig einde maand]]-Tabel24256789101112131415171618192120222326141518192021[[#This Row],[Stand Latte Macchiato Plantaardig vorige maand]]</f>
        <v>20</v>
      </c>
      <c r="AC35" s="71">
        <f>Tabel24256789101112131415171618192120222326141518192021[[#This Row],[Verbruik Stand Latte Macchiato Plantaardig deze maand]]+Tabel24256789101112131415171618192120222326141518192021[[#This Row],[Verbruik  Cappucino Plantaardig deze maand]]+Tabel24256789101112131415171618192120222326141518192021[[#This Row],[Verbruik Cappucino deze maand]]+Tabel24256789101112131415171618192120222326141518192021[[#This Row],[Verbruik Hot Water deze maand]]+Tabel24256789101112131415171618192120222326141518192021[[#This Row],[Verbruik Coffee Latte deze maand]]+Tabel24256789101112131415171618192120222326141518192021[[#This Row],[Verbruik Latte Macchiato deze maand]]+Tabel24256789101112131415171618192120222326141518192021[[#This Row],[Verbruik Espresso deze maand]]+Tabel24256789101112131415171618192120222326141518192021[[#This Row],[Verbruik Coffee deze maand]]</f>
        <v>671</v>
      </c>
      <c r="AD35" s="53">
        <v>26.7</v>
      </c>
      <c r="AE35">
        <f>september2025!AD35</f>
        <v>11.3</v>
      </c>
      <c r="AF35">
        <f>Tabel24256789101112131415171618192120222326141518192021[[#This Row],[Stand Kamertemp liter einde maand]]-Tabel24256789101112131415171618192120222326141518192021[[#This Row],[Stand Kamertemp liter vorige maand]]</f>
        <v>15.399999999999999</v>
      </c>
      <c r="AG35" s="2">
        <f>Tabel24256789101112131415171618192120222326141518192021[[#This Row],[Verbruik Kamertemp liter deze maand]]/0.15</f>
        <v>102.66666666666666</v>
      </c>
      <c r="AH35" s="53">
        <v>51.8</v>
      </c>
      <c r="AI35">
        <f>september2025!AH35</f>
        <v>18</v>
      </c>
      <c r="AJ35">
        <f>Tabel24256789101112131415171618192120222326141518192021[[#This Row],[Stand Gekoeld liter einde maand]]-Tabel24256789101112131415171618192120222326141518192021[[#This Row],[Stand Gekoeld liter vorige maand]]</f>
        <v>33.799999999999997</v>
      </c>
      <c r="AK35" s="2">
        <f>Tabel24256789101112131415171618192120222326141518192021[[#This Row],[Verbruik Gekoeld liter deze maand]]/0.15</f>
        <v>225.33333333333331</v>
      </c>
      <c r="AL35" s="53">
        <v>38.200000000000003</v>
      </c>
      <c r="AM35">
        <f>september2025!AL35</f>
        <v>15.1</v>
      </c>
      <c r="AN35">
        <f>Tabel24256789101112131415171618192120222326141518192021[[#This Row],[Stand Bruisend liter einde maand]]-Tabel24256789101112131415171618192120222326141518192021[[#This Row],[Stand Bruisend liter vorige maand]]</f>
        <v>23.1</v>
      </c>
      <c r="AO35" s="2">
        <f>Tabel24256789101112131415171618192120222326141518192021[[#This Row],[Verbruik Bruisend liter deze maand]]/0.15</f>
        <v>154.00000000000003</v>
      </c>
      <c r="AP35" s="53">
        <v>30.3</v>
      </c>
      <c r="AQ35">
        <f>september2025!AP35</f>
        <v>12.8</v>
      </c>
      <c r="AR35">
        <f>Tabel24256789101112131415171618192120222326141518192021[[#This Row],[Stand licht bruisend liter einde maand]]-Tabel24256789101112131415171618192120222326141518192021[[#This Row],[Stand licht bruisend liter vorige maand]]</f>
        <v>17.5</v>
      </c>
      <c r="AS35" s="2">
        <f>Tabel24256789101112131415171618192120222326141518192021[[#This Row],[Verbruik licht bruisend liter deze maand]]/0.15</f>
        <v>116.66666666666667</v>
      </c>
      <c r="AT35" s="53">
        <v>446.6</v>
      </c>
      <c r="AU35">
        <f>september2025!AT35</f>
        <v>159.5</v>
      </c>
      <c r="AV35">
        <f>Tabel24256789101112131415171618192120222326141518192021[[#This Row],[Stand heet water liter einde maand]]-Tabel24256789101112131415171618192120222326141518192021[[#This Row],[Stand heet water liter vorige maand]]</f>
        <v>287.10000000000002</v>
      </c>
      <c r="AW35" s="2">
        <f>Tabel24256789101112131415171618192120222326141518192021[[#This Row],[Verbruik heet Water liter deze maand ]]/0.15</f>
        <v>1914.0000000000002</v>
      </c>
      <c r="AX35" s="77">
        <f>Tabel24256789101112131415171618192120222326141518192021[[#This Row],[Aantal consumpties heet water deze maand]]+Tabel24256789101112131415171618192120222326141518192021[[#This Row],[Aantal consumpties licht bruisend water deze maand]]+Tabel24256789101112131415171618192120222326141518192021[[#This Row],[aantal consumpties Bruisend water deze maand]]+Tabel24256789101112131415171618192120222326141518192021[[#This Row],[Aantal consumpties gekoeld water deze maand]]+Tabel24256789101112131415171618192120222326141518192021[[#This Row],[Aantal consumpties Kamertemp deze maand]]</f>
        <v>2512.666666666667</v>
      </c>
      <c r="AY35" s="95">
        <f>Tabel24256789101112131415171618192120222326141518192021[[#This Row],[Subtotaal waterbar in consumpties]]+Tabel24256789101112131415171618192120222326141518192021[[#This Row],[Subtotaal koffieautomaten]]</f>
        <v>3183.666666666667</v>
      </c>
    </row>
    <row r="36" spans="1:130" ht="14.45" customHeight="1" x14ac:dyDescent="0.25">
      <c r="A36" s="65" t="s">
        <v>54</v>
      </c>
      <c r="B36" t="s">
        <v>84</v>
      </c>
      <c r="C36" t="s">
        <v>31</v>
      </c>
      <c r="E36">
        <v>16257</v>
      </c>
      <c r="F36">
        <f>september2025!E36</f>
        <v>15554</v>
      </c>
      <c r="G36">
        <f>Tabel24256789101112131415171618192120222326141518192021[[#This Row],[Stand Coffee einde maand]]-Tabel24256789101112131415171618192120222326141518192021[[#This Row],[Coffee vorige maand]]</f>
        <v>703</v>
      </c>
      <c r="H36" s="53">
        <v>2850</v>
      </c>
      <c r="I36">
        <f>september2025!H36</f>
        <v>2695</v>
      </c>
      <c r="J36">
        <f>Tabel24256789101112131415171618192120222326141518192021[[#This Row],[Stand Espresso Einde maand]]-Tabel24256789101112131415171618192120222326141518192021[[#This Row],[Espresso vorige maand]]</f>
        <v>155</v>
      </c>
      <c r="K36" s="53">
        <v>1451</v>
      </c>
      <c r="L36">
        <f>september2025!K36</f>
        <v>1414</v>
      </c>
      <c r="M36">
        <f>Tabel24256789101112131415171618192120222326141518192021[[#This Row],[Stand Latte Macchiato einde maand]]-Tabel24256789101112131415171618192120222326141518192021[[#This Row],[Latte Macchiato vorige maand]]</f>
        <v>37</v>
      </c>
      <c r="N36" s="53">
        <v>551</v>
      </c>
      <c r="O36">
        <f>september2025!N36</f>
        <v>513</v>
      </c>
      <c r="P36">
        <f>Tabel24256789101112131415171618192120222326141518192021[[#This Row],[Stand Coffee Latte einde maand]]-Tabel24256789101112131415171618192120222326141518192021[[#This Row],[Coffee Latte vorige maand]]</f>
        <v>38</v>
      </c>
      <c r="Q36" s="53">
        <v>22944</v>
      </c>
      <c r="R36">
        <f>september2025!Q36</f>
        <v>21926</v>
      </c>
      <c r="S36">
        <f>Tabel24256789101112131415171618192120222326141518192021[[#This Row],[Stand Hot Water einde maand]]-Tabel24256789101112131415171618192120222326141518192021[[#This Row],[Hot Water vorige maand]]</f>
        <v>1018</v>
      </c>
      <c r="T36" s="53">
        <v>5549</v>
      </c>
      <c r="U36">
        <f>september2025!T36</f>
        <v>5305</v>
      </c>
      <c r="V36">
        <f>Tabel24256789101112131415171618192120222326141518192021[[#This Row],[Stand Cappucino einde maand]]-Tabel24256789101112131415171618192120222326141518192021[[#This Row],[Stand Cappucino vorige maand]]</f>
        <v>244</v>
      </c>
      <c r="W36" s="53">
        <v>717</v>
      </c>
      <c r="X36">
        <f>september2025!W36</f>
        <v>698</v>
      </c>
      <c r="Y36">
        <f>Tabel24256789101112131415171618192120222326141518192021[[#This Row],[Stand Cappucino Plantaardig einde maand]]-Tabel24256789101112131415171618192120222326141518192021[[#This Row],[Stand Cappucino Plantaardig vorige maand]]</f>
        <v>19</v>
      </c>
      <c r="Z36" s="53">
        <v>1159</v>
      </c>
      <c r="AA36">
        <f>september2025!Z36</f>
        <v>1094</v>
      </c>
      <c r="AB36">
        <f>Tabel24256789101112131415171618192120222326141518192021[[#This Row],[Stand Latte Macchiato Plantaardig einde maand]]-Tabel24256789101112131415171618192120222326141518192021[[#This Row],[Stand Latte Macchiato Plantaardig vorige maand]]</f>
        <v>65</v>
      </c>
      <c r="AC36" s="71">
        <f>Tabel24256789101112131415171618192120222326141518192021[[#This Row],[Verbruik Stand Latte Macchiato Plantaardig deze maand]]+Tabel24256789101112131415171618192120222326141518192021[[#This Row],[Verbruik  Cappucino Plantaardig deze maand]]+Tabel24256789101112131415171618192120222326141518192021[[#This Row],[Verbruik Cappucino deze maand]]+Tabel24256789101112131415171618192120222326141518192021[[#This Row],[Verbruik Hot Water deze maand]]+Tabel24256789101112131415171618192120222326141518192021[[#This Row],[Verbruik Coffee Latte deze maand]]+Tabel24256789101112131415171618192120222326141518192021[[#This Row],[Verbruik Latte Macchiato deze maand]]+Tabel24256789101112131415171618192120222326141518192021[[#This Row],[Verbruik Espresso deze maand]]+Tabel24256789101112131415171618192120222326141518192021[[#This Row],[Verbruik Coffee deze maand]]</f>
        <v>2279</v>
      </c>
      <c r="AD36" s="69"/>
      <c r="AE36" s="41"/>
      <c r="AF36" s="5"/>
      <c r="AG36" s="5"/>
      <c r="AH36" s="75"/>
      <c r="AI36" s="41"/>
      <c r="AJ36" s="5"/>
      <c r="AK36" s="5"/>
      <c r="AL36" s="75"/>
      <c r="AM36" s="41"/>
      <c r="AN36" s="5"/>
      <c r="AO36" s="5"/>
      <c r="AP36" s="75"/>
      <c r="AQ36" s="41"/>
      <c r="AR36" s="5"/>
      <c r="AS36" s="5"/>
      <c r="AT36" s="75"/>
      <c r="AU36" s="41"/>
      <c r="AV36" s="5"/>
      <c r="AW36" s="5"/>
      <c r="AX36" s="79"/>
      <c r="AY36" s="95">
        <f>Tabel24256789101112131415171618192120222326141518192021[[#This Row],[Subtotaal waterbar in consumpties]]+Tabel24256789101112131415171618192120222326141518192021[[#This Row],[Subtotaal koffieautomaten]]</f>
        <v>2279</v>
      </c>
    </row>
    <row r="37" spans="1:130" ht="14.45" customHeight="1" x14ac:dyDescent="0.25">
      <c r="A37" s="65" t="s">
        <v>56</v>
      </c>
      <c r="B37" t="s">
        <v>85</v>
      </c>
      <c r="C37" t="s">
        <v>36</v>
      </c>
      <c r="E37" s="46"/>
      <c r="F37" s="46"/>
      <c r="G37" s="47"/>
      <c r="H37" s="54"/>
      <c r="I37" s="46"/>
      <c r="J37" s="47"/>
      <c r="K37" s="54"/>
      <c r="L37" s="46"/>
      <c r="M37" s="47"/>
      <c r="N37" s="54"/>
      <c r="O37" s="46"/>
      <c r="P37" s="47"/>
      <c r="Q37" s="54"/>
      <c r="R37" s="46"/>
      <c r="S37" s="47"/>
      <c r="T37" s="54"/>
      <c r="U37" s="46"/>
      <c r="V37" s="47"/>
      <c r="W37" s="54"/>
      <c r="X37" s="46"/>
      <c r="Y37" s="47"/>
      <c r="Z37" s="54"/>
      <c r="AA37" s="46"/>
      <c r="AB37" s="47"/>
      <c r="AC37" s="72"/>
      <c r="AD37" s="53">
        <v>209.5</v>
      </c>
      <c r="AE37">
        <f>september2025!AD37</f>
        <v>192.3</v>
      </c>
      <c r="AF37">
        <f>Tabel24256789101112131415171618192120222326141518192021[[#This Row],[Stand Kamertemp liter einde maand]]-Tabel24256789101112131415171618192120222326141518192021[[#This Row],[Stand Kamertemp liter vorige maand]]</f>
        <v>17.199999999999989</v>
      </c>
      <c r="AG37" s="2">
        <f>Tabel24256789101112131415171618192120222326141518192021[[#This Row],[Verbruik Kamertemp liter deze maand]]/0.15</f>
        <v>114.6666666666666</v>
      </c>
      <c r="AH37" s="53">
        <v>1024.5999999999999</v>
      </c>
      <c r="AI37">
        <f>september2025!AH37</f>
        <v>975.8</v>
      </c>
      <c r="AJ37">
        <f>Tabel24256789101112131415171618192120222326141518192021[[#This Row],[Stand Gekoeld liter einde maand]]-Tabel24256789101112131415171618192120222326141518192021[[#This Row],[Stand Gekoeld liter vorige maand]]</f>
        <v>48.799999999999955</v>
      </c>
      <c r="AK37" s="2">
        <f>Tabel24256789101112131415171618192120222326141518192021[[#This Row],[Verbruik Gekoeld liter deze maand]]/0.15</f>
        <v>325.33333333333303</v>
      </c>
      <c r="AL37" s="53">
        <v>831.2</v>
      </c>
      <c r="AM37">
        <f>september2025!AL37</f>
        <v>765.7</v>
      </c>
      <c r="AN37">
        <f>Tabel24256789101112131415171618192120222326141518192021[[#This Row],[Stand Bruisend liter einde maand]]-Tabel24256789101112131415171618192120222326141518192021[[#This Row],[Stand Bruisend liter vorige maand]]</f>
        <v>65.5</v>
      </c>
      <c r="AO37" s="2">
        <f>Tabel24256789101112131415171618192120222326141518192021[[#This Row],[Verbruik Bruisend liter deze maand]]/0.15</f>
        <v>436.66666666666669</v>
      </c>
      <c r="AP37" s="53">
        <v>445.6</v>
      </c>
      <c r="AQ37">
        <f>september2025!AP37</f>
        <v>418.8</v>
      </c>
      <c r="AR37">
        <f>Tabel24256789101112131415171618192120222326141518192021[[#This Row],[Stand licht bruisend liter einde maand]]-Tabel24256789101112131415171618192120222326141518192021[[#This Row],[Stand licht bruisend liter vorige maand]]</f>
        <v>26.800000000000011</v>
      </c>
      <c r="AS37" s="2">
        <f>Tabel24256789101112131415171618192120222326141518192021[[#This Row],[Verbruik licht bruisend liter deze maand]]/0.15</f>
        <v>178.66666666666674</v>
      </c>
      <c r="AT37" s="53">
        <v>2991.7</v>
      </c>
      <c r="AU37">
        <f>september2025!AT37</f>
        <v>2817.9</v>
      </c>
      <c r="AV37">
        <f>Tabel24256789101112131415171618192120222326141518192021[[#This Row],[Stand heet water liter einde maand]]-Tabel24256789101112131415171618192120222326141518192021[[#This Row],[Stand heet water liter vorige maand]]</f>
        <v>173.79999999999973</v>
      </c>
      <c r="AW37" s="2">
        <f>Tabel24256789101112131415171618192120222326141518192021[[#This Row],[Verbruik heet Water liter deze maand ]]/0.15</f>
        <v>1158.6666666666649</v>
      </c>
      <c r="AX37" s="77">
        <f>Tabel24256789101112131415171618192120222326141518192021[[#This Row],[Aantal consumpties heet water deze maand]]+Tabel24256789101112131415171618192120222326141518192021[[#This Row],[Aantal consumpties licht bruisend water deze maand]]+Tabel24256789101112131415171618192120222326141518192021[[#This Row],[aantal consumpties Bruisend water deze maand]]+Tabel24256789101112131415171618192120222326141518192021[[#This Row],[Aantal consumpties gekoeld water deze maand]]+Tabel24256789101112131415171618192120222326141518192021[[#This Row],[Aantal consumpties Kamertemp deze maand]]</f>
        <v>2213.9999999999977</v>
      </c>
      <c r="AY37" s="95">
        <f>Tabel24256789101112131415171618192120222326141518192021[[#This Row],[Subtotaal waterbar in consumpties]]+Tabel24256789101112131415171618192120222326141518192021[[#This Row],[Subtotaal koffieautomaten]]</f>
        <v>2213.9999999999977</v>
      </c>
    </row>
    <row r="38" spans="1:130" ht="14.45" customHeight="1" x14ac:dyDescent="0.25">
      <c r="A38" s="65" t="s">
        <v>58</v>
      </c>
      <c r="B38" t="s">
        <v>86</v>
      </c>
      <c r="C38" t="s">
        <v>47</v>
      </c>
      <c r="E38">
        <v>14661</v>
      </c>
      <c r="F38">
        <f>september2025!E38</f>
        <v>14146</v>
      </c>
      <c r="G38">
        <f>Tabel24256789101112131415171618192120222326141518192021[[#This Row],[Stand Coffee einde maand]]-Tabel24256789101112131415171618192120222326141518192021[[#This Row],[Coffee vorige maand]]</f>
        <v>515</v>
      </c>
      <c r="H38" s="53">
        <v>4236</v>
      </c>
      <c r="I38">
        <f>september2025!H38</f>
        <v>4050</v>
      </c>
      <c r="J38">
        <f>Tabel24256789101112131415171618192120222326141518192021[[#This Row],[Stand Espresso Einde maand]]-Tabel24256789101112131415171618192120222326141518192021[[#This Row],[Espresso vorige maand]]</f>
        <v>186</v>
      </c>
      <c r="K38" s="53">
        <v>2562</v>
      </c>
      <c r="L38">
        <f>september2025!K38</f>
        <v>2485</v>
      </c>
      <c r="M38">
        <f>Tabel24256789101112131415171618192120222326141518192021[[#This Row],[Stand Latte Macchiato einde maand]]-Tabel24256789101112131415171618192120222326141518192021[[#This Row],[Latte Macchiato vorige maand]]</f>
        <v>77</v>
      </c>
      <c r="N38" s="53">
        <v>1193</v>
      </c>
      <c r="O38">
        <f>september2025!N38</f>
        <v>1168</v>
      </c>
      <c r="P38">
        <f>Tabel24256789101112131415171618192120222326141518192021[[#This Row],[Stand Coffee Latte einde maand]]-Tabel24256789101112131415171618192120222326141518192021[[#This Row],[Coffee Latte vorige maand]]</f>
        <v>25</v>
      </c>
      <c r="Q38" s="53">
        <v>1811</v>
      </c>
      <c r="R38">
        <f>september2025!Q38</f>
        <v>1724</v>
      </c>
      <c r="S38">
        <f>Tabel24256789101112131415171618192120222326141518192021[[#This Row],[Stand Hot Water einde maand]]-Tabel24256789101112131415171618192120222326141518192021[[#This Row],[Hot Water vorige maand]]</f>
        <v>87</v>
      </c>
      <c r="T38" s="53">
        <v>7343</v>
      </c>
      <c r="U38">
        <f>september2025!T38</f>
        <v>7195</v>
      </c>
      <c r="V38">
        <f>Tabel24256789101112131415171618192120222326141518192021[[#This Row],[Stand Cappucino einde maand]]-Tabel24256789101112131415171618192120222326141518192021[[#This Row],[Stand Cappucino vorige maand]]</f>
        <v>148</v>
      </c>
      <c r="W38" s="53">
        <v>1113</v>
      </c>
      <c r="X38">
        <f>september2025!W38</f>
        <v>1080</v>
      </c>
      <c r="Y38">
        <f>Tabel24256789101112131415171618192120222326141518192021[[#This Row],[Stand Cappucino Plantaardig einde maand]]-Tabel24256789101112131415171618192120222326141518192021[[#This Row],[Stand Cappucino Plantaardig vorige maand]]</f>
        <v>33</v>
      </c>
      <c r="Z38" s="53">
        <v>850</v>
      </c>
      <c r="AA38">
        <f>september2025!Z38</f>
        <v>834</v>
      </c>
      <c r="AB38">
        <f>Tabel24256789101112131415171618192120222326141518192021[[#This Row],[Stand Latte Macchiato Plantaardig einde maand]]-Tabel24256789101112131415171618192120222326141518192021[[#This Row],[Stand Latte Macchiato Plantaardig vorige maand]]</f>
        <v>16</v>
      </c>
      <c r="AC38" s="71">
        <f>Tabel24256789101112131415171618192120222326141518192021[[#This Row],[Verbruik Stand Latte Macchiato Plantaardig deze maand]]+Tabel24256789101112131415171618192120222326141518192021[[#This Row],[Verbruik  Cappucino Plantaardig deze maand]]+Tabel24256789101112131415171618192120222326141518192021[[#This Row],[Verbruik Cappucino deze maand]]+Tabel24256789101112131415171618192120222326141518192021[[#This Row],[Verbruik Hot Water deze maand]]+Tabel24256789101112131415171618192120222326141518192021[[#This Row],[Verbruik Coffee Latte deze maand]]+Tabel24256789101112131415171618192120222326141518192021[[#This Row],[Verbruik Latte Macchiato deze maand]]+Tabel24256789101112131415171618192120222326141518192021[[#This Row],[Verbruik Espresso deze maand]]+Tabel24256789101112131415171618192120222326141518192021[[#This Row],[Verbruik Coffee deze maand]]</f>
        <v>1087</v>
      </c>
      <c r="AD38" s="53">
        <v>180.4</v>
      </c>
      <c r="AE38">
        <f>september2025!AD38</f>
        <v>167</v>
      </c>
      <c r="AF38">
        <f>Tabel24256789101112131415171618192120222326141518192021[[#This Row],[Stand Kamertemp liter einde maand]]-Tabel24256789101112131415171618192120222326141518192021[[#This Row],[Stand Kamertemp liter vorige maand]]</f>
        <v>13.400000000000006</v>
      </c>
      <c r="AG38" s="2">
        <f>Tabel24256789101112131415171618192120222326141518192021[[#This Row],[Verbruik Kamertemp liter deze maand]]/0.15</f>
        <v>89.333333333333371</v>
      </c>
      <c r="AH38" s="53">
        <v>886.8</v>
      </c>
      <c r="AI38">
        <f>september2025!AH38</f>
        <v>835.4</v>
      </c>
      <c r="AJ38">
        <f>Tabel24256789101112131415171618192120222326141518192021[[#This Row],[Stand Gekoeld liter einde maand]]-Tabel24256789101112131415171618192120222326141518192021[[#This Row],[Stand Gekoeld liter vorige maand]]</f>
        <v>51.399999999999977</v>
      </c>
      <c r="AK38" s="2">
        <f>Tabel24256789101112131415171618192120222326141518192021[[#This Row],[Verbruik Gekoeld liter deze maand]]/0.15</f>
        <v>342.66666666666652</v>
      </c>
      <c r="AL38" s="53">
        <v>762.8</v>
      </c>
      <c r="AM38">
        <f>september2025!AL38</f>
        <v>705.6</v>
      </c>
      <c r="AN38">
        <f>Tabel24256789101112131415171618192120222326141518192021[[#This Row],[Stand Bruisend liter einde maand]]-Tabel24256789101112131415171618192120222326141518192021[[#This Row],[Stand Bruisend liter vorige maand]]</f>
        <v>57.199999999999932</v>
      </c>
      <c r="AO38" s="2">
        <f>Tabel24256789101112131415171618192120222326141518192021[[#This Row],[Verbruik Bruisend liter deze maand]]/0.15</f>
        <v>381.33333333333292</v>
      </c>
      <c r="AP38" s="53">
        <v>201</v>
      </c>
      <c r="AQ38">
        <f>september2025!AP38</f>
        <v>198.2</v>
      </c>
      <c r="AR38">
        <f>Tabel24256789101112131415171618192120222326141518192021[[#This Row],[Stand licht bruisend liter einde maand]]-Tabel24256789101112131415171618192120222326141518192021[[#This Row],[Stand licht bruisend liter vorige maand]]</f>
        <v>2.8000000000000114</v>
      </c>
      <c r="AS38" s="2">
        <f>Tabel24256789101112131415171618192120222326141518192021[[#This Row],[Verbruik licht bruisend liter deze maand]]/0.15</f>
        <v>18.666666666666742</v>
      </c>
      <c r="AT38" s="53">
        <v>2693.8</v>
      </c>
      <c r="AU38">
        <f>september2025!AT38</f>
        <v>2440.6999999999998</v>
      </c>
      <c r="AV38">
        <f>Tabel24256789101112131415171618192120222326141518192021[[#This Row],[Stand heet water liter einde maand]]-Tabel24256789101112131415171618192120222326141518192021[[#This Row],[Stand heet water liter vorige maand]]</f>
        <v>253.10000000000036</v>
      </c>
      <c r="AW38" s="2">
        <f>Tabel24256789101112131415171618192120222326141518192021[[#This Row],[Verbruik heet Water liter deze maand ]]/0.15</f>
        <v>1687.3333333333358</v>
      </c>
      <c r="AX38" s="77">
        <f>Tabel24256789101112131415171618192120222326141518192021[[#This Row],[Aantal consumpties heet water deze maand]]+Tabel24256789101112131415171618192120222326141518192021[[#This Row],[Aantal consumpties licht bruisend water deze maand]]+Tabel24256789101112131415171618192120222326141518192021[[#This Row],[aantal consumpties Bruisend water deze maand]]+Tabel24256789101112131415171618192120222326141518192021[[#This Row],[Aantal consumpties gekoeld water deze maand]]+Tabel24256789101112131415171618192120222326141518192021[[#This Row],[Aantal consumpties Kamertemp deze maand]]</f>
        <v>2519.3333333333353</v>
      </c>
      <c r="AY38" s="95">
        <f>Tabel24256789101112131415171618192120222326141518192021[[#This Row],[Subtotaal waterbar in consumpties]]+Tabel24256789101112131415171618192120222326141518192021[[#This Row],[Subtotaal koffieautomaten]]</f>
        <v>3606.3333333333353</v>
      </c>
    </row>
    <row r="39" spans="1:130" ht="14.45" customHeight="1" x14ac:dyDescent="0.25">
      <c r="A39" s="65" t="s">
        <v>60</v>
      </c>
      <c r="B39" t="s">
        <v>87</v>
      </c>
      <c r="C39" t="s">
        <v>31</v>
      </c>
      <c r="E39">
        <v>8258</v>
      </c>
      <c r="F39">
        <f>september2025!E39</f>
        <v>7978</v>
      </c>
      <c r="G39">
        <f>Tabel24256789101112131415171618192120222326141518192021[[#This Row],[Stand Coffee einde maand]]-Tabel24256789101112131415171618192120222326141518192021[[#This Row],[Coffee vorige maand]]</f>
        <v>280</v>
      </c>
      <c r="H39" s="53">
        <v>1155</v>
      </c>
      <c r="I39">
        <f>september2025!H39</f>
        <v>1128</v>
      </c>
      <c r="J39">
        <f>Tabel24256789101112131415171618192120222326141518192021[[#This Row],[Stand Espresso Einde maand]]-Tabel24256789101112131415171618192120222326141518192021[[#This Row],[Espresso vorige maand]]</f>
        <v>27</v>
      </c>
      <c r="K39" s="53">
        <v>757</v>
      </c>
      <c r="L39">
        <f>september2025!K39</f>
        <v>739</v>
      </c>
      <c r="M39">
        <f>Tabel24256789101112131415171618192120222326141518192021[[#This Row],[Stand Latte Macchiato einde maand]]-Tabel24256789101112131415171618192120222326141518192021[[#This Row],[Latte Macchiato vorige maand]]</f>
        <v>18</v>
      </c>
      <c r="N39" s="53">
        <v>942</v>
      </c>
      <c r="O39">
        <f>september2025!N39</f>
        <v>920</v>
      </c>
      <c r="P39">
        <f>Tabel24256789101112131415171618192120222326141518192021[[#This Row],[Stand Coffee Latte einde maand]]-Tabel24256789101112131415171618192120222326141518192021[[#This Row],[Coffee Latte vorige maand]]</f>
        <v>22</v>
      </c>
      <c r="Q39" s="53">
        <v>21540</v>
      </c>
      <c r="R39">
        <f>september2025!Q39</f>
        <v>20824</v>
      </c>
      <c r="S39">
        <f>Tabel24256789101112131415171618192120222326141518192021[[#This Row],[Stand Hot Water einde maand]]-Tabel24256789101112131415171618192120222326141518192021[[#This Row],[Hot Water vorige maand]]</f>
        <v>716</v>
      </c>
      <c r="T39" s="53">
        <v>5013</v>
      </c>
      <c r="U39">
        <f>september2025!T39</f>
        <v>4880</v>
      </c>
      <c r="V39">
        <f>Tabel24256789101112131415171618192120222326141518192021[[#This Row],[Stand Cappucino einde maand]]-Tabel24256789101112131415171618192120222326141518192021[[#This Row],[Stand Cappucino vorige maand]]</f>
        <v>133</v>
      </c>
      <c r="W39" s="53">
        <v>403</v>
      </c>
      <c r="X39">
        <f>september2025!W39</f>
        <v>389</v>
      </c>
      <c r="Y39">
        <f>Tabel24256789101112131415171618192120222326141518192021[[#This Row],[Stand Cappucino Plantaardig einde maand]]-Tabel24256789101112131415171618192120222326141518192021[[#This Row],[Stand Cappucino Plantaardig vorige maand]]</f>
        <v>14</v>
      </c>
      <c r="Z39" s="53">
        <v>255</v>
      </c>
      <c r="AA39">
        <f>september2025!Z39</f>
        <v>253</v>
      </c>
      <c r="AB39">
        <f>Tabel24256789101112131415171618192120222326141518192021[[#This Row],[Stand Latte Macchiato Plantaardig einde maand]]-Tabel24256789101112131415171618192120222326141518192021[[#This Row],[Stand Latte Macchiato Plantaardig vorige maand]]</f>
        <v>2</v>
      </c>
      <c r="AC39" s="71">
        <f>Tabel24256789101112131415171618192120222326141518192021[[#This Row],[Verbruik Stand Latte Macchiato Plantaardig deze maand]]+Tabel24256789101112131415171618192120222326141518192021[[#This Row],[Verbruik  Cappucino Plantaardig deze maand]]+Tabel24256789101112131415171618192120222326141518192021[[#This Row],[Verbruik Cappucino deze maand]]+Tabel24256789101112131415171618192120222326141518192021[[#This Row],[Verbruik Hot Water deze maand]]+Tabel24256789101112131415171618192120222326141518192021[[#This Row],[Verbruik Coffee Latte deze maand]]+Tabel24256789101112131415171618192120222326141518192021[[#This Row],[Verbruik Latte Macchiato deze maand]]+Tabel24256789101112131415171618192120222326141518192021[[#This Row],[Verbruik Espresso deze maand]]+Tabel24256789101112131415171618192120222326141518192021[[#This Row],[Verbruik Coffee deze maand]]</f>
        <v>1212</v>
      </c>
      <c r="AD39" s="69"/>
      <c r="AE39" s="41"/>
      <c r="AF39" s="5"/>
      <c r="AG39" s="5"/>
      <c r="AH39" s="75"/>
      <c r="AI39" s="41"/>
      <c r="AJ39" s="5"/>
      <c r="AK39" s="5"/>
      <c r="AL39" s="75"/>
      <c r="AM39" s="41"/>
      <c r="AN39" s="5"/>
      <c r="AO39" s="5"/>
      <c r="AP39" s="75"/>
      <c r="AQ39" s="41"/>
      <c r="AR39" s="5"/>
      <c r="AS39" s="5"/>
      <c r="AT39" s="75"/>
      <c r="AU39" s="41"/>
      <c r="AV39" s="5"/>
      <c r="AW39" s="5"/>
      <c r="AX39" s="79"/>
      <c r="AY39" s="95">
        <f>Tabel24256789101112131415171618192120222326141518192021[[#This Row],[Subtotaal waterbar in consumpties]]+Tabel24256789101112131415171618192120222326141518192021[[#This Row],[Subtotaal koffieautomaten]]</f>
        <v>1212</v>
      </c>
    </row>
    <row r="40" spans="1:130" s="81" customFormat="1" ht="14.45" customHeight="1" x14ac:dyDescent="0.25">
      <c r="A40" s="80" t="s">
        <v>88</v>
      </c>
      <c r="D40" s="82"/>
      <c r="H40" s="86"/>
      <c r="K40" s="86"/>
      <c r="N40" s="86"/>
      <c r="Q40" s="86"/>
      <c r="T40" s="86"/>
      <c r="W40" s="86"/>
      <c r="Z40" s="86"/>
      <c r="AC40" s="85"/>
      <c r="AD40" s="86"/>
      <c r="AG40" s="87"/>
      <c r="AH40" s="86"/>
      <c r="AK40" s="87"/>
      <c r="AL40" s="86"/>
      <c r="AO40" s="87"/>
      <c r="AP40" s="86"/>
      <c r="AS40" s="87"/>
      <c r="AT40" s="86"/>
      <c r="AW40" s="87"/>
      <c r="AX40" s="88"/>
      <c r="AY40" s="94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</row>
    <row r="41" spans="1:130" ht="14.45" customHeight="1" x14ac:dyDescent="0.25">
      <c r="A41" s="65" t="s">
        <v>39</v>
      </c>
      <c r="B41" t="s">
        <v>89</v>
      </c>
      <c r="C41" t="s">
        <v>47</v>
      </c>
      <c r="E41">
        <v>12157</v>
      </c>
      <c r="F41">
        <f>september2025!E41</f>
        <v>11314</v>
      </c>
      <c r="G41" s="40">
        <f>Tabel24256789101112131415171618192120222326141518192021[[#This Row],[Stand Coffee einde maand]]-Tabel24256789101112131415171618192120222326141518192021[[#This Row],[Coffee vorige maand]]</f>
        <v>843</v>
      </c>
      <c r="H41" s="53">
        <v>3138</v>
      </c>
      <c r="I41">
        <f>september2025!H41</f>
        <v>2865</v>
      </c>
      <c r="J41" s="40">
        <f>Tabel24256789101112131415171618192120222326141518192021[[#This Row],[Stand Espresso Einde maand]]-Tabel24256789101112131415171618192120222326141518192021[[#This Row],[Espresso vorige maand]]</f>
        <v>273</v>
      </c>
      <c r="K41" s="53">
        <v>1655</v>
      </c>
      <c r="L41">
        <f>september2025!K41</f>
        <v>1534</v>
      </c>
      <c r="M41" s="40">
        <f>Tabel24256789101112131415171618192120222326141518192021[[#This Row],[Stand Latte Macchiato einde maand]]-Tabel24256789101112131415171618192120222326141518192021[[#This Row],[Latte Macchiato vorige maand]]</f>
        <v>121</v>
      </c>
      <c r="N41" s="53">
        <v>751</v>
      </c>
      <c r="O41">
        <f>september2025!N41</f>
        <v>718</v>
      </c>
      <c r="P41" s="40">
        <f>Tabel24256789101112131415171618192120222326141518192021[[#This Row],[Stand Coffee Latte einde maand]]-Tabel24256789101112131415171618192120222326141518192021[[#This Row],[Coffee Latte vorige maand]]</f>
        <v>33</v>
      </c>
      <c r="Q41" s="53">
        <v>4890</v>
      </c>
      <c r="R41">
        <f>september2025!Q41</f>
        <v>4639</v>
      </c>
      <c r="S41" s="40">
        <f>Tabel24256789101112131415171618192120222326141518192021[[#This Row],[Stand Hot Water einde maand]]-Tabel24256789101112131415171618192120222326141518192021[[#This Row],[Hot Water vorige maand]]</f>
        <v>251</v>
      </c>
      <c r="T41" s="53">
        <v>8452</v>
      </c>
      <c r="U41">
        <f>september2025!T41</f>
        <v>8001</v>
      </c>
      <c r="V41" s="40">
        <f>Tabel24256789101112131415171618192120222326141518192021[[#This Row],[Stand Cappucino einde maand]]-Tabel24256789101112131415171618192120222326141518192021[[#This Row],[Stand Cappucino vorige maand]]</f>
        <v>451</v>
      </c>
      <c r="W41" s="53">
        <v>757</v>
      </c>
      <c r="X41">
        <f>september2025!W41</f>
        <v>712</v>
      </c>
      <c r="Y41" s="40">
        <f>Tabel24256789101112131415171618192120222326141518192021[[#This Row],[Stand Cappucino Plantaardig einde maand]]-Tabel24256789101112131415171618192120222326141518192021[[#This Row],[Stand Cappucino Plantaardig vorige maand]]</f>
        <v>45</v>
      </c>
      <c r="Z41" s="53">
        <v>241</v>
      </c>
      <c r="AA41">
        <f>september2025!Z41</f>
        <v>228</v>
      </c>
      <c r="AB41" s="40">
        <f>Tabel24256789101112131415171618192120222326141518192021[[#This Row],[Stand Latte Macchiato Plantaardig einde maand]]-Tabel24256789101112131415171618192120222326141518192021[[#This Row],[Stand Latte Macchiato Plantaardig vorige maand]]</f>
        <v>13</v>
      </c>
      <c r="AC41" s="73">
        <f>Tabel24256789101112131415171618192120222326141518192021[[#This Row],[Verbruik Stand Latte Macchiato Plantaardig deze maand]]+Tabel24256789101112131415171618192120222326141518192021[[#This Row],[Verbruik  Cappucino Plantaardig deze maand]]+Tabel24256789101112131415171618192120222326141518192021[[#This Row],[Verbruik Cappucino deze maand]]+Tabel24256789101112131415171618192120222326141518192021[[#This Row],[Verbruik Hot Water deze maand]]+Tabel24256789101112131415171618192120222326141518192021[[#This Row],[Verbruik Coffee Latte deze maand]]+Tabel24256789101112131415171618192120222326141518192021[[#This Row],[Verbruik Latte Macchiato deze maand]]+Tabel24256789101112131415171618192120222326141518192021[[#This Row],[Verbruik Espresso deze maand]]+Tabel24256789101112131415171618192120222326141518192021[[#This Row],[Verbruik Coffee deze maand]]</f>
        <v>2030</v>
      </c>
      <c r="AD41" s="53">
        <v>259.8</v>
      </c>
      <c r="AE41">
        <f>september2025!AD41</f>
        <v>245.9</v>
      </c>
      <c r="AF41">
        <f>Tabel24256789101112131415171618192120222326141518192021[[#This Row],[Stand Kamertemp liter einde maand]]-Tabel24256789101112131415171618192120222326141518192021[[#This Row],[Stand Kamertemp liter vorige maand]]</f>
        <v>13.900000000000006</v>
      </c>
      <c r="AG41" s="2">
        <f>Tabel24256789101112131415171618192120222326141518192021[[#This Row],[Verbruik Kamertemp liter deze maand]]/0.15</f>
        <v>92.666666666666714</v>
      </c>
      <c r="AH41" s="53">
        <v>1946.1</v>
      </c>
      <c r="AI41">
        <f>september2025!AH41</f>
        <v>1784.1</v>
      </c>
      <c r="AJ41">
        <f>Tabel24256789101112131415171618192120222326141518192021[[#This Row],[Stand Gekoeld liter einde maand]]-Tabel24256789101112131415171618192120222326141518192021[[#This Row],[Stand Gekoeld liter vorige maand]]</f>
        <v>162</v>
      </c>
      <c r="AK41" s="2">
        <f>Tabel24256789101112131415171618192120222326141518192021[[#This Row],[Verbruik Gekoeld liter deze maand]]/0.15</f>
        <v>1080</v>
      </c>
      <c r="AL41" s="53">
        <v>825.6</v>
      </c>
      <c r="AM41">
        <f>september2025!AL41</f>
        <v>783.9</v>
      </c>
      <c r="AN41">
        <f>Tabel24256789101112131415171618192120222326141518192021[[#This Row],[Stand Bruisend liter einde maand]]-Tabel24256789101112131415171618192120222326141518192021[[#This Row],[Stand Bruisend liter vorige maand]]</f>
        <v>41.700000000000045</v>
      </c>
      <c r="AO41" s="2">
        <f>Tabel24256789101112131415171618192120222326141518192021[[#This Row],[Verbruik Bruisend liter deze maand]]/0.15</f>
        <v>278.00000000000034</v>
      </c>
      <c r="AP41" s="53">
        <v>296.5</v>
      </c>
      <c r="AQ41">
        <f>september2025!AP41</f>
        <v>271.10000000000002</v>
      </c>
      <c r="AR41">
        <f>Tabel24256789101112131415171618192120222326141518192021[[#This Row],[Stand licht bruisend liter einde maand]]-Tabel24256789101112131415171618192120222326141518192021[[#This Row],[Stand licht bruisend liter vorige maand]]</f>
        <v>25.399999999999977</v>
      </c>
      <c r="AS41" s="2">
        <f>Tabel24256789101112131415171618192120222326141518192021[[#This Row],[Verbruik licht bruisend liter deze maand]]/0.15</f>
        <v>169.3333333333332</v>
      </c>
      <c r="AT41" s="53">
        <v>835.8</v>
      </c>
      <c r="AU41">
        <f>september2025!AT41</f>
        <v>757.3</v>
      </c>
      <c r="AV41">
        <f>Tabel24256789101112131415171618192120222326141518192021[[#This Row],[Stand heet water liter einde maand]]-Tabel24256789101112131415171618192120222326141518192021[[#This Row],[Stand heet water liter vorige maand]]</f>
        <v>78.5</v>
      </c>
      <c r="AW41" s="2">
        <f>Tabel24256789101112131415171618192120222326141518192021[[#This Row],[Verbruik heet Water liter deze maand ]]/0.15</f>
        <v>523.33333333333337</v>
      </c>
      <c r="AX41" s="77">
        <f>Tabel24256789101112131415171618192120222326141518192021[[#This Row],[Aantal consumpties heet water deze maand]]+Tabel24256789101112131415171618192120222326141518192021[[#This Row],[Aantal consumpties licht bruisend water deze maand]]+Tabel24256789101112131415171618192120222326141518192021[[#This Row],[aantal consumpties Bruisend water deze maand]]+Tabel24256789101112131415171618192120222326141518192021[[#This Row],[Aantal consumpties gekoeld water deze maand]]+Tabel24256789101112131415171618192120222326141518192021[[#This Row],[Aantal consumpties Kamertemp deze maand]]</f>
        <v>2143.3333333333335</v>
      </c>
      <c r="AY41" s="95">
        <f>Tabel24256789101112131415171618192120222326141518192021[[#This Row],[Subtotaal waterbar in consumpties]]+Tabel24256789101112131415171618192120222326141518192021[[#This Row],[Subtotaal koffieautomaten]]</f>
        <v>4173.3333333333339</v>
      </c>
    </row>
    <row r="42" spans="1:130" ht="14.45" customHeight="1" x14ac:dyDescent="0.25">
      <c r="A42" s="65" t="s">
        <v>41</v>
      </c>
      <c r="B42" t="s">
        <v>90</v>
      </c>
      <c r="C42" t="s">
        <v>31</v>
      </c>
      <c r="E42">
        <v>15674</v>
      </c>
      <c r="F42">
        <f>september2025!E42</f>
        <v>15112</v>
      </c>
      <c r="G42">
        <f>Tabel24256789101112131415171618192120222326141518192021[[#This Row],[Stand Coffee einde maand]]-Tabel24256789101112131415171618192120222326141518192021[[#This Row],[Coffee vorige maand]]</f>
        <v>562</v>
      </c>
      <c r="H42" s="53">
        <v>5132</v>
      </c>
      <c r="I42">
        <f>september2025!H42</f>
        <v>5032</v>
      </c>
      <c r="J42">
        <f>Tabel24256789101112131415171618192120222326141518192021[[#This Row],[Stand Espresso Einde maand]]-Tabel24256789101112131415171618192120222326141518192021[[#This Row],[Espresso vorige maand]]</f>
        <v>100</v>
      </c>
      <c r="K42" s="53">
        <v>1302</v>
      </c>
      <c r="L42">
        <f>september2025!K42</f>
        <v>1266</v>
      </c>
      <c r="M42">
        <f>Tabel24256789101112131415171618192120222326141518192021[[#This Row],[Stand Latte Macchiato einde maand]]-Tabel24256789101112131415171618192120222326141518192021[[#This Row],[Latte Macchiato vorige maand]]</f>
        <v>36</v>
      </c>
      <c r="N42" s="53">
        <v>2735</v>
      </c>
      <c r="O42">
        <f>september2025!N42</f>
        <v>2624</v>
      </c>
      <c r="P42">
        <f>Tabel24256789101112131415171618192120222326141518192021[[#This Row],[Stand Coffee Latte einde maand]]-Tabel24256789101112131415171618192120222326141518192021[[#This Row],[Coffee Latte vorige maand]]</f>
        <v>111</v>
      </c>
      <c r="Q42" s="53">
        <v>46587</v>
      </c>
      <c r="R42">
        <f>september2025!Q42</f>
        <v>45295</v>
      </c>
      <c r="S42">
        <f>Tabel24256789101112131415171618192120222326141518192021[[#This Row],[Stand Hot Water einde maand]]-Tabel24256789101112131415171618192120222326141518192021[[#This Row],[Hot Water vorige maand]]</f>
        <v>1292</v>
      </c>
      <c r="T42" s="53">
        <v>7263</v>
      </c>
      <c r="U42">
        <f>september2025!T42</f>
        <v>7039</v>
      </c>
      <c r="V42">
        <f>Tabel24256789101112131415171618192120222326141518192021[[#This Row],[Stand Cappucino einde maand]]-Tabel24256789101112131415171618192120222326141518192021[[#This Row],[Stand Cappucino vorige maand]]</f>
        <v>224</v>
      </c>
      <c r="W42" s="53">
        <v>568</v>
      </c>
      <c r="X42">
        <f>september2025!W42</f>
        <v>525</v>
      </c>
      <c r="Y42">
        <f>Tabel24256789101112131415171618192120222326141518192021[[#This Row],[Stand Cappucino Plantaardig einde maand]]-Tabel24256789101112131415171618192120222326141518192021[[#This Row],[Stand Cappucino Plantaardig vorige maand]]</f>
        <v>43</v>
      </c>
      <c r="Z42" s="53">
        <v>587</v>
      </c>
      <c r="AA42">
        <f>september2025!Z42</f>
        <v>552</v>
      </c>
      <c r="AB42">
        <f>Tabel24256789101112131415171618192120222326141518192021[[#This Row],[Stand Latte Macchiato Plantaardig einde maand]]-Tabel24256789101112131415171618192120222326141518192021[[#This Row],[Stand Latte Macchiato Plantaardig vorige maand]]</f>
        <v>35</v>
      </c>
      <c r="AC42" s="71">
        <f>Tabel24256789101112131415171618192120222326141518192021[[#This Row],[Verbruik Stand Latte Macchiato Plantaardig deze maand]]+Tabel24256789101112131415171618192120222326141518192021[[#This Row],[Verbruik  Cappucino Plantaardig deze maand]]+Tabel24256789101112131415171618192120222326141518192021[[#This Row],[Verbruik Cappucino deze maand]]+Tabel24256789101112131415171618192120222326141518192021[[#This Row],[Verbruik Hot Water deze maand]]+Tabel24256789101112131415171618192120222326141518192021[[#This Row],[Verbruik Coffee Latte deze maand]]+Tabel24256789101112131415171618192120222326141518192021[[#This Row],[Verbruik Latte Macchiato deze maand]]+Tabel24256789101112131415171618192120222326141518192021[[#This Row],[Verbruik Espresso deze maand]]+Tabel24256789101112131415171618192120222326141518192021[[#This Row],[Verbruik Coffee deze maand]]</f>
        <v>2403</v>
      </c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95">
        <f>Tabel24256789101112131415171618192120222326141518192021[[#This Row],[Subtotaal waterbar in consumpties]]+Tabel24256789101112131415171618192120222326141518192021[[#This Row],[Subtotaal koffieautomaten]]</f>
        <v>2403</v>
      </c>
    </row>
    <row r="43" spans="1:130" ht="14.45" customHeight="1" x14ac:dyDescent="0.25">
      <c r="A43" s="65" t="s">
        <v>43</v>
      </c>
      <c r="B43" t="s">
        <v>91</v>
      </c>
      <c r="C43" t="s">
        <v>47</v>
      </c>
      <c r="E43">
        <v>18299</v>
      </c>
      <c r="F43">
        <f>september2025!E43</f>
        <v>17491</v>
      </c>
      <c r="G43">
        <f>Tabel24256789101112131415171618192120222326141518192021[[#This Row],[Stand Coffee einde maand]]-Tabel24256789101112131415171618192120222326141518192021[[#This Row],[Coffee vorige maand]]</f>
        <v>808</v>
      </c>
      <c r="H43" s="53">
        <v>4047</v>
      </c>
      <c r="I43">
        <f>september2025!H43</f>
        <v>3693</v>
      </c>
      <c r="J43">
        <f>Tabel24256789101112131415171618192120222326141518192021[[#This Row],[Stand Espresso Einde maand]]-Tabel24256789101112131415171618192120222326141518192021[[#This Row],[Espresso vorige maand]]</f>
        <v>354</v>
      </c>
      <c r="K43" s="53">
        <v>953</v>
      </c>
      <c r="L43">
        <f>september2025!K43</f>
        <v>891</v>
      </c>
      <c r="M43">
        <f>Tabel24256789101112131415171618192120222326141518192021[[#This Row],[Stand Latte Macchiato einde maand]]-Tabel24256789101112131415171618192120222326141518192021[[#This Row],[Latte Macchiato vorige maand]]</f>
        <v>62</v>
      </c>
      <c r="N43" s="53">
        <v>1403</v>
      </c>
      <c r="O43">
        <f>september2025!N43</f>
        <v>1379</v>
      </c>
      <c r="P43">
        <f>Tabel24256789101112131415171618192120222326141518192021[[#This Row],[Stand Coffee Latte einde maand]]-Tabel24256789101112131415171618192120222326141518192021[[#This Row],[Coffee Latte vorige maand]]</f>
        <v>24</v>
      </c>
      <c r="Q43" s="53">
        <v>1759</v>
      </c>
      <c r="R43">
        <f>september2025!Q43</f>
        <v>1730</v>
      </c>
      <c r="S43">
        <f>Tabel24256789101112131415171618192120222326141518192021[[#This Row],[Stand Hot Water einde maand]]-Tabel24256789101112131415171618192120222326141518192021[[#This Row],[Hot Water vorige maand]]</f>
        <v>29</v>
      </c>
      <c r="T43" s="53">
        <v>5504</v>
      </c>
      <c r="U43">
        <f>september2025!T43</f>
        <v>5290</v>
      </c>
      <c r="V43">
        <f>Tabel24256789101112131415171618192120222326141518192021[[#This Row],[Stand Cappucino einde maand]]-Tabel24256789101112131415171618192120222326141518192021[[#This Row],[Stand Cappucino vorige maand]]</f>
        <v>214</v>
      </c>
      <c r="W43" s="53">
        <v>3747</v>
      </c>
      <c r="X43">
        <f>september2025!W43</f>
        <v>3692</v>
      </c>
      <c r="Y43">
        <f>Tabel24256789101112131415171618192120222326141518192021[[#This Row],[Stand Cappucino Plantaardig einde maand]]-Tabel24256789101112131415171618192120222326141518192021[[#This Row],[Stand Cappucino Plantaardig vorige maand]]</f>
        <v>55</v>
      </c>
      <c r="Z43" s="53">
        <v>479</v>
      </c>
      <c r="AA43">
        <f>september2025!Z43</f>
        <v>459</v>
      </c>
      <c r="AB43">
        <f>Tabel24256789101112131415171618192120222326141518192021[[#This Row],[Stand Latte Macchiato Plantaardig einde maand]]-Tabel24256789101112131415171618192120222326141518192021[[#This Row],[Stand Latte Macchiato Plantaardig vorige maand]]</f>
        <v>20</v>
      </c>
      <c r="AC43" s="71">
        <f>Tabel24256789101112131415171618192120222326141518192021[[#This Row],[Verbruik Stand Latte Macchiato Plantaardig deze maand]]+Tabel24256789101112131415171618192120222326141518192021[[#This Row],[Verbruik  Cappucino Plantaardig deze maand]]+Tabel24256789101112131415171618192120222326141518192021[[#This Row],[Verbruik Cappucino deze maand]]+Tabel24256789101112131415171618192120222326141518192021[[#This Row],[Verbruik Hot Water deze maand]]+Tabel24256789101112131415171618192120222326141518192021[[#This Row],[Verbruik Coffee Latte deze maand]]+Tabel24256789101112131415171618192120222326141518192021[[#This Row],[Verbruik Latte Macchiato deze maand]]+Tabel24256789101112131415171618192120222326141518192021[[#This Row],[Verbruik Espresso deze maand]]+Tabel24256789101112131415171618192120222326141518192021[[#This Row],[Verbruik Coffee deze maand]]</f>
        <v>1566</v>
      </c>
      <c r="AD43" s="53">
        <v>348.1</v>
      </c>
      <c r="AE43">
        <f>september2025!AD43</f>
        <v>332.1</v>
      </c>
      <c r="AF43">
        <f>Tabel24256789101112131415171618192120222326141518192021[[#This Row],[Stand Kamertemp liter einde maand]]-Tabel24256789101112131415171618192120222326141518192021[[#This Row],[Stand Kamertemp liter vorige maand]]</f>
        <v>16</v>
      </c>
      <c r="AG43" s="2">
        <f>Tabel24256789101112131415171618192120222326141518192021[[#This Row],[Verbruik Kamertemp liter deze maand]]/0.15</f>
        <v>106.66666666666667</v>
      </c>
      <c r="AH43" s="53">
        <v>2464.1</v>
      </c>
      <c r="AI43">
        <f>september2025!AH43</f>
        <v>2315</v>
      </c>
      <c r="AJ43">
        <f>Tabel24256789101112131415171618192120222326141518192021[[#This Row],[Stand Gekoeld liter einde maand]]-Tabel24256789101112131415171618192120222326141518192021[[#This Row],[Stand Gekoeld liter vorige maand]]</f>
        <v>149.09999999999991</v>
      </c>
      <c r="AK43" s="2">
        <f>Tabel24256789101112131415171618192120222326141518192021[[#This Row],[Verbruik Gekoeld liter deze maand]]/0.15</f>
        <v>993.99999999999943</v>
      </c>
      <c r="AL43" s="53">
        <v>1710.6</v>
      </c>
      <c r="AM43">
        <f>september2025!AL43</f>
        <v>1615.7</v>
      </c>
      <c r="AN43">
        <f>Tabel24256789101112131415171618192120222326141518192021[[#This Row],[Stand Bruisend liter einde maand]]-Tabel24256789101112131415171618192120222326141518192021[[#This Row],[Stand Bruisend liter vorige maand]]</f>
        <v>94.899999999999864</v>
      </c>
      <c r="AO43" s="2">
        <f>Tabel24256789101112131415171618192120222326141518192021[[#This Row],[Verbruik Bruisend liter deze maand]]/0.15</f>
        <v>632.66666666666583</v>
      </c>
      <c r="AP43" s="53">
        <v>643.20000000000005</v>
      </c>
      <c r="AQ43">
        <f>september2025!AP43</f>
        <v>586.5</v>
      </c>
      <c r="AR43">
        <f>Tabel24256789101112131415171618192120222326141518192021[[#This Row],[Stand licht bruisend liter einde maand]]-Tabel24256789101112131415171618192120222326141518192021[[#This Row],[Stand licht bruisend liter vorige maand]]</f>
        <v>56.700000000000045</v>
      </c>
      <c r="AS43" s="2">
        <f>Tabel24256789101112131415171618192120222326141518192021[[#This Row],[Verbruik licht bruisend liter deze maand]]/0.15</f>
        <v>378.00000000000034</v>
      </c>
      <c r="AT43" s="53">
        <v>6346.1</v>
      </c>
      <c r="AU43">
        <f>september2025!AT43</f>
        <v>5863.1</v>
      </c>
      <c r="AV43">
        <f>Tabel24256789101112131415171618192120222326141518192021[[#This Row],[Stand heet water liter einde maand]]-Tabel24256789101112131415171618192120222326141518192021[[#This Row],[Stand heet water liter vorige maand]]</f>
        <v>483</v>
      </c>
      <c r="AW43" s="2">
        <f>Tabel24256789101112131415171618192120222326141518192021[[#This Row],[Verbruik heet Water liter deze maand ]]/0.15</f>
        <v>3220</v>
      </c>
      <c r="AX43" s="77">
        <f>Tabel24256789101112131415171618192120222326141518192021[[#This Row],[Aantal consumpties heet water deze maand]]+Tabel24256789101112131415171618192120222326141518192021[[#This Row],[Aantal consumpties licht bruisend water deze maand]]+Tabel24256789101112131415171618192120222326141518192021[[#This Row],[aantal consumpties Bruisend water deze maand]]+Tabel24256789101112131415171618192120222326141518192021[[#This Row],[Aantal consumpties gekoeld water deze maand]]+Tabel24256789101112131415171618192120222326141518192021[[#This Row],[Aantal consumpties Kamertemp deze maand]]</f>
        <v>5331.3333333333321</v>
      </c>
      <c r="AY43" s="95">
        <f>Tabel24256789101112131415171618192120222326141518192021[[#This Row],[Subtotaal waterbar in consumpties]]+Tabel24256789101112131415171618192120222326141518192021[[#This Row],[Subtotaal koffieautomaten]]</f>
        <v>6897.3333333333321</v>
      </c>
    </row>
    <row r="44" spans="1:130" ht="14.45" customHeight="1" x14ac:dyDescent="0.25">
      <c r="A44" s="65" t="s">
        <v>45</v>
      </c>
      <c r="B44" t="s">
        <v>92</v>
      </c>
      <c r="C44" t="s">
        <v>36</v>
      </c>
      <c r="E44" s="46"/>
      <c r="F44" s="46"/>
      <c r="G44" s="47"/>
      <c r="H44" s="54"/>
      <c r="I44" s="46"/>
      <c r="J44" s="47"/>
      <c r="K44" s="54"/>
      <c r="L44" s="46"/>
      <c r="M44" s="47"/>
      <c r="N44" s="54"/>
      <c r="O44" s="46"/>
      <c r="P44" s="47"/>
      <c r="Q44" s="54"/>
      <c r="R44" s="46"/>
      <c r="S44" s="47"/>
      <c r="T44" s="54"/>
      <c r="U44" s="46"/>
      <c r="V44" s="47"/>
      <c r="W44" s="54"/>
      <c r="X44" s="46"/>
      <c r="Y44" s="47"/>
      <c r="Z44" s="54"/>
      <c r="AA44" s="46"/>
      <c r="AB44" s="47"/>
      <c r="AC44" s="72"/>
      <c r="AD44" s="137">
        <v>16.3</v>
      </c>
      <c r="AE44" s="138">
        <v>0</v>
      </c>
      <c r="AF44" s="138">
        <f>Tabel24256789101112131415171618192120222326141518192021[[#This Row],[Stand Kamertemp liter einde maand]]-Tabel24256789101112131415171618192120222326141518192021[[#This Row],[Stand Kamertemp liter vorige maand]]</f>
        <v>16.3</v>
      </c>
      <c r="AG44" s="139">
        <f>Tabel24256789101112131415171618192120222326141518192021[[#This Row],[Verbruik Kamertemp liter deze maand]]/0.15</f>
        <v>108.66666666666667</v>
      </c>
      <c r="AH44" s="137">
        <v>44.6</v>
      </c>
      <c r="AI44" s="138">
        <v>0</v>
      </c>
      <c r="AJ44" s="138">
        <f>Tabel24256789101112131415171618192120222326141518192021[[#This Row],[Stand Gekoeld liter einde maand]]-Tabel24256789101112131415171618192120222326141518192021[[#This Row],[Stand Gekoeld liter vorige maand]]</f>
        <v>44.6</v>
      </c>
      <c r="AK44" s="139">
        <f>Tabel24256789101112131415171618192120222326141518192021[[#This Row],[Verbruik Gekoeld liter deze maand]]/0.15</f>
        <v>297.33333333333337</v>
      </c>
      <c r="AL44" s="137">
        <v>49.1</v>
      </c>
      <c r="AM44" s="138">
        <v>0</v>
      </c>
      <c r="AN44" s="138">
        <f>Tabel24256789101112131415171618192120222326141518192021[[#This Row],[Stand Bruisend liter einde maand]]-Tabel24256789101112131415171618192120222326141518192021[[#This Row],[Stand Bruisend liter vorige maand]]</f>
        <v>49.1</v>
      </c>
      <c r="AO44" s="139">
        <f>Tabel24256789101112131415171618192120222326141518192021[[#This Row],[Verbruik Bruisend liter deze maand]]/0.15</f>
        <v>327.33333333333337</v>
      </c>
      <c r="AP44" s="137">
        <v>25.2</v>
      </c>
      <c r="AQ44" s="138">
        <v>0</v>
      </c>
      <c r="AR44" s="138">
        <f>Tabel24256789101112131415171618192120222326141518192021[[#This Row],[Stand licht bruisend liter einde maand]]-Tabel24256789101112131415171618192120222326141518192021[[#This Row],[Stand licht bruisend liter vorige maand]]</f>
        <v>25.2</v>
      </c>
      <c r="AS44" s="139">
        <f>Tabel24256789101112131415171618192120222326141518192021[[#This Row],[Verbruik licht bruisend liter deze maand]]/0.15</f>
        <v>168</v>
      </c>
      <c r="AT44" s="137">
        <v>179.3</v>
      </c>
      <c r="AU44" s="138">
        <v>0</v>
      </c>
      <c r="AV44" s="138">
        <f>Tabel24256789101112131415171618192120222326141518192021[[#This Row],[Stand heet water liter einde maand]]-Tabel24256789101112131415171618192120222326141518192021[[#This Row],[Stand heet water liter vorige maand]]</f>
        <v>179.3</v>
      </c>
      <c r="AW44" s="139">
        <f>Tabel24256789101112131415171618192120222326141518192021[[#This Row],[Verbruik heet Water liter deze maand ]]/0.15</f>
        <v>1195.3333333333335</v>
      </c>
      <c r="AX44" s="140">
        <f>Tabel24256789101112131415171618192120222326141518192021[[#This Row],[Aantal consumpties heet water deze maand]]+Tabel24256789101112131415171618192120222326141518192021[[#This Row],[Aantal consumpties licht bruisend water deze maand]]+Tabel24256789101112131415171618192120222326141518192021[[#This Row],[aantal consumpties Bruisend water deze maand]]+Tabel24256789101112131415171618192120222326141518192021[[#This Row],[Aantal consumpties gekoeld water deze maand]]+Tabel24256789101112131415171618192120222326141518192021[[#This Row],[Aantal consumpties Kamertemp deze maand]]</f>
        <v>2096.666666666667</v>
      </c>
      <c r="AY44" s="95">
        <f>Tabel24256789101112131415171618192120222326141518192021[[#This Row],[Subtotaal waterbar in consumpties]]+Tabel24256789101112131415171618192120222326141518192021[[#This Row],[Subtotaal koffieautomaten]]</f>
        <v>2096.666666666667</v>
      </c>
    </row>
    <row r="45" spans="1:130" ht="14.45" customHeight="1" x14ac:dyDescent="0.25">
      <c r="A45" s="65" t="s">
        <v>48</v>
      </c>
      <c r="B45" t="s">
        <v>158</v>
      </c>
      <c r="C45" t="s">
        <v>31</v>
      </c>
      <c r="E45">
        <v>31658</v>
      </c>
      <c r="F45">
        <f>september2025!E45</f>
        <v>30735</v>
      </c>
      <c r="G45">
        <f>Tabel24256789101112131415171618192120222326141518192021[[#This Row],[Stand Coffee einde maand]]-Tabel24256789101112131415171618192120222326141518192021[[#This Row],[Coffee vorige maand]]</f>
        <v>923</v>
      </c>
      <c r="H45" s="53">
        <v>8104</v>
      </c>
      <c r="I45">
        <f>september2025!H45</f>
        <v>7919</v>
      </c>
      <c r="J45">
        <f>Tabel24256789101112131415171618192120222326141518192021[[#This Row],[Stand Espresso Einde maand]]-Tabel24256789101112131415171618192120222326141518192021[[#This Row],[Espresso vorige maand]]</f>
        <v>185</v>
      </c>
      <c r="K45" s="53">
        <v>3230</v>
      </c>
      <c r="L45">
        <f>september2025!K45</f>
        <v>3084</v>
      </c>
      <c r="M45">
        <f>Tabel24256789101112131415171618192120222326141518192021[[#This Row],[Stand Latte Macchiato einde maand]]-Tabel24256789101112131415171618192120222326141518192021[[#This Row],[Latte Macchiato vorige maand]]</f>
        <v>146</v>
      </c>
      <c r="N45" s="53">
        <v>711</v>
      </c>
      <c r="O45">
        <f>september2025!N45</f>
        <v>685</v>
      </c>
      <c r="P45">
        <f>Tabel24256789101112131415171618192120222326141518192021[[#This Row],[Stand Coffee Latte einde maand]]-Tabel24256789101112131415171618192120222326141518192021[[#This Row],[Coffee Latte vorige maand]]</f>
        <v>26</v>
      </c>
      <c r="Q45" s="53">
        <v>30379</v>
      </c>
      <c r="R45">
        <f>september2025!Q45</f>
        <v>29343</v>
      </c>
      <c r="S45">
        <f>Tabel24256789101112131415171618192120222326141518192021[[#This Row],[Stand Hot Water einde maand]]-Tabel24256789101112131415171618192120222326141518192021[[#This Row],[Hot Water vorige maand]]</f>
        <v>1036</v>
      </c>
      <c r="T45" s="53">
        <v>11227</v>
      </c>
      <c r="U45">
        <f>september2025!T45</f>
        <v>11003</v>
      </c>
      <c r="V45">
        <f>Tabel24256789101112131415171618192120222326141518192021[[#This Row],[Stand Cappucino einde maand]]-Tabel24256789101112131415171618192120222326141518192021[[#This Row],[Stand Cappucino vorige maand]]</f>
        <v>224</v>
      </c>
      <c r="W45" s="53">
        <v>1719</v>
      </c>
      <c r="X45">
        <f>september2025!W45</f>
        <v>1695</v>
      </c>
      <c r="Y45">
        <f>Tabel24256789101112131415171618192120222326141518192021[[#This Row],[Stand Cappucino Plantaardig einde maand]]-Tabel24256789101112131415171618192120222326141518192021[[#This Row],[Stand Cappucino Plantaardig vorige maand]]</f>
        <v>24</v>
      </c>
      <c r="Z45" s="53">
        <v>1380</v>
      </c>
      <c r="AA45">
        <f>september2025!Z45</f>
        <v>1364</v>
      </c>
      <c r="AB45">
        <f>Tabel24256789101112131415171618192120222326141518192021[[#This Row],[Stand Latte Macchiato Plantaardig einde maand]]-Tabel24256789101112131415171618192120222326141518192021[[#This Row],[Stand Latte Macchiato Plantaardig vorige maand]]</f>
        <v>16</v>
      </c>
      <c r="AC45" s="71">
        <f>Tabel24256789101112131415171618192120222326141518192021[[#This Row],[Verbruik Stand Latte Macchiato Plantaardig deze maand]]+Tabel24256789101112131415171618192120222326141518192021[[#This Row],[Verbruik  Cappucino Plantaardig deze maand]]+Tabel24256789101112131415171618192120222326141518192021[[#This Row],[Verbruik Cappucino deze maand]]+Tabel24256789101112131415171618192120222326141518192021[[#This Row],[Verbruik Hot Water deze maand]]+Tabel24256789101112131415171618192120222326141518192021[[#This Row],[Verbruik Coffee Latte deze maand]]+Tabel24256789101112131415171618192120222326141518192021[[#This Row],[Verbruik Latte Macchiato deze maand]]+Tabel24256789101112131415171618192120222326141518192021[[#This Row],[Verbruik Espresso deze maand]]+Tabel24256789101112131415171618192120222326141518192021[[#This Row],[Verbruik Coffee deze maand]]</f>
        <v>2580</v>
      </c>
      <c r="AD45" s="69"/>
      <c r="AE45" s="41"/>
      <c r="AF45" s="5"/>
      <c r="AG45" s="5"/>
      <c r="AH45" s="75"/>
      <c r="AI45" s="41"/>
      <c r="AJ45" s="5"/>
      <c r="AK45" s="5"/>
      <c r="AL45" s="75"/>
      <c r="AM45" s="41"/>
      <c r="AN45" s="5"/>
      <c r="AO45" s="5"/>
      <c r="AP45" s="75"/>
      <c r="AQ45" s="41"/>
      <c r="AR45" s="5"/>
      <c r="AS45" s="5"/>
      <c r="AT45" s="75"/>
      <c r="AU45" s="41"/>
      <c r="AV45" s="5"/>
      <c r="AW45" s="5"/>
      <c r="AX45" s="79"/>
      <c r="AY45" s="95">
        <f>Tabel24256789101112131415171618192120222326141518192021[[#This Row],[Subtotaal waterbar in consumpties]]+Tabel24256789101112131415171618192120222326141518192021[[#This Row],[Subtotaal koffieautomaten]]</f>
        <v>2580</v>
      </c>
    </row>
    <row r="46" spans="1:130" ht="14.45" customHeight="1" x14ac:dyDescent="0.25">
      <c r="A46" s="65" t="s">
        <v>50</v>
      </c>
      <c r="B46" t="s">
        <v>93</v>
      </c>
      <c r="C46" t="s">
        <v>36</v>
      </c>
      <c r="E46" s="46"/>
      <c r="F46" s="46"/>
      <c r="G46" s="47"/>
      <c r="H46" s="54"/>
      <c r="I46" s="46"/>
      <c r="J46" s="47"/>
      <c r="K46" s="54"/>
      <c r="L46" s="46"/>
      <c r="M46" s="47"/>
      <c r="N46" s="54"/>
      <c r="O46" s="46"/>
      <c r="P46" s="47"/>
      <c r="Q46" s="54"/>
      <c r="R46" s="46"/>
      <c r="S46" s="47"/>
      <c r="T46" s="54"/>
      <c r="U46" s="46"/>
      <c r="V46" s="47"/>
      <c r="W46" s="54"/>
      <c r="X46" s="46"/>
      <c r="Y46" s="47"/>
      <c r="Z46" s="54"/>
      <c r="AA46" s="46"/>
      <c r="AB46" s="47"/>
      <c r="AC46" s="72"/>
      <c r="AD46" s="53">
        <v>131.9</v>
      </c>
      <c r="AE46">
        <f>september2025!AD46</f>
        <v>121.5</v>
      </c>
      <c r="AF46">
        <f>Tabel24256789101112131415171618192120222326141518192021[[#This Row],[Stand Kamertemp liter einde maand]]-Tabel24256789101112131415171618192120222326141518192021[[#This Row],[Stand Kamertemp liter vorige maand]]</f>
        <v>10.400000000000006</v>
      </c>
      <c r="AG46" s="2">
        <f>Tabel24256789101112131415171618192120222326141518192021[[#This Row],[Verbruik Kamertemp liter deze maand]]/0.15</f>
        <v>69.333333333333371</v>
      </c>
      <c r="AH46" s="53">
        <v>1091.4000000000001</v>
      </c>
      <c r="AI46">
        <f>september2025!AH46</f>
        <v>986</v>
      </c>
      <c r="AJ46">
        <f>Tabel24256789101112131415171618192120222326141518192021[[#This Row],[Stand Gekoeld liter einde maand]]-Tabel24256789101112131415171618192120222326141518192021[[#This Row],[Stand Gekoeld liter vorige maand]]</f>
        <v>105.40000000000009</v>
      </c>
      <c r="AK46" s="2">
        <f>Tabel24256789101112131415171618192120222326141518192021[[#This Row],[Verbruik Gekoeld liter deze maand]]/0.15</f>
        <v>702.66666666666731</v>
      </c>
      <c r="AL46" s="53">
        <v>503.8</v>
      </c>
      <c r="AM46">
        <f>september2025!AL46</f>
        <v>462</v>
      </c>
      <c r="AN46">
        <f>Tabel24256789101112131415171618192120222326141518192021[[#This Row],[Stand Bruisend liter einde maand]]-Tabel24256789101112131415171618192120222326141518192021[[#This Row],[Stand Bruisend liter vorige maand]]</f>
        <v>41.800000000000011</v>
      </c>
      <c r="AO46" s="2">
        <f>Tabel24256789101112131415171618192120222326141518192021[[#This Row],[Verbruik Bruisend liter deze maand]]/0.15</f>
        <v>278.66666666666674</v>
      </c>
      <c r="AP46" s="53">
        <v>186.1</v>
      </c>
      <c r="AQ46">
        <f>september2025!AP46</f>
        <v>175.3</v>
      </c>
      <c r="AR46">
        <f>Tabel24256789101112131415171618192120222326141518192021[[#This Row],[Stand licht bruisend liter einde maand]]-Tabel24256789101112131415171618192120222326141518192021[[#This Row],[Stand licht bruisend liter vorige maand]]</f>
        <v>10.799999999999983</v>
      </c>
      <c r="AS46" s="2">
        <f>Tabel24256789101112131415171618192120222326141518192021[[#This Row],[Verbruik licht bruisend liter deze maand]]/0.15</f>
        <v>71.999999999999886</v>
      </c>
      <c r="AT46" s="53">
        <v>1825.5</v>
      </c>
      <c r="AU46">
        <f>september2025!AT46</f>
        <v>1688.5</v>
      </c>
      <c r="AV46">
        <f>Tabel24256789101112131415171618192120222326141518192021[[#This Row],[Stand heet water liter einde maand]]-Tabel24256789101112131415171618192120222326141518192021[[#This Row],[Stand heet water liter vorige maand]]</f>
        <v>137</v>
      </c>
      <c r="AW46" s="2">
        <f>Tabel24256789101112131415171618192120222326141518192021[[#This Row],[Verbruik heet Water liter deze maand ]]/0.15</f>
        <v>913.33333333333337</v>
      </c>
      <c r="AX46" s="77">
        <f>Tabel24256789101112131415171618192120222326141518192021[[#This Row],[Aantal consumpties heet water deze maand]]+Tabel24256789101112131415171618192120222326141518192021[[#This Row],[Aantal consumpties licht bruisend water deze maand]]+Tabel24256789101112131415171618192120222326141518192021[[#This Row],[aantal consumpties Bruisend water deze maand]]+Tabel24256789101112131415171618192120222326141518192021[[#This Row],[Aantal consumpties gekoeld water deze maand]]+Tabel24256789101112131415171618192120222326141518192021[[#This Row],[Aantal consumpties Kamertemp deze maand]]</f>
        <v>2036.0000000000009</v>
      </c>
      <c r="AY46" s="95">
        <f>Tabel24256789101112131415171618192120222326141518192021[[#This Row],[Subtotaal waterbar in consumpties]]+Tabel24256789101112131415171618192120222326141518192021[[#This Row],[Subtotaal koffieautomaten]]</f>
        <v>2036.0000000000009</v>
      </c>
    </row>
    <row r="47" spans="1:130" ht="14.45" customHeight="1" x14ac:dyDescent="0.25">
      <c r="A47" s="67">
        <v>10</v>
      </c>
      <c r="B47" t="s">
        <v>94</v>
      </c>
      <c r="C47" t="s">
        <v>31</v>
      </c>
      <c r="E47">
        <v>11617</v>
      </c>
      <c r="F47">
        <f>september2025!E47</f>
        <v>11147</v>
      </c>
      <c r="G47">
        <f>Tabel24256789101112131415171618192120222326141518192021[[#This Row],[Stand Coffee einde maand]]-Tabel24256789101112131415171618192120222326141518192021[[#This Row],[Coffee vorige maand]]</f>
        <v>470</v>
      </c>
      <c r="H47" s="53">
        <v>9256</v>
      </c>
      <c r="I47">
        <f>september2025!H47</f>
        <v>8875</v>
      </c>
      <c r="J47">
        <f>Tabel24256789101112131415171618192120222326141518192021[[#This Row],[Stand Espresso Einde maand]]-Tabel24256789101112131415171618192120222326141518192021[[#This Row],[Espresso vorige maand]]</f>
        <v>381</v>
      </c>
      <c r="K47" s="53">
        <v>1553</v>
      </c>
      <c r="L47">
        <f>september2025!K47</f>
        <v>1488</v>
      </c>
      <c r="M47">
        <f>Tabel24256789101112131415171618192120222326141518192021[[#This Row],[Stand Latte Macchiato einde maand]]-Tabel24256789101112131415171618192120222326141518192021[[#This Row],[Latte Macchiato vorige maand]]</f>
        <v>65</v>
      </c>
      <c r="N47" s="53">
        <v>970</v>
      </c>
      <c r="O47">
        <f>september2025!N47</f>
        <v>947</v>
      </c>
      <c r="P47">
        <f>Tabel24256789101112131415171618192120222326141518192021[[#This Row],[Stand Coffee Latte einde maand]]-Tabel24256789101112131415171618192120222326141518192021[[#This Row],[Coffee Latte vorige maand]]</f>
        <v>23</v>
      </c>
      <c r="Q47" s="53">
        <v>23278</v>
      </c>
      <c r="R47">
        <f>september2025!Q47</f>
        <v>22377</v>
      </c>
      <c r="S47">
        <f>Tabel24256789101112131415171618192120222326141518192021[[#This Row],[Stand Hot Water einde maand]]-Tabel24256789101112131415171618192120222326141518192021[[#This Row],[Hot Water vorige maand]]</f>
        <v>901</v>
      </c>
      <c r="T47" s="53">
        <v>8788</v>
      </c>
      <c r="U47">
        <f>september2025!T47</f>
        <v>8491</v>
      </c>
      <c r="V47">
        <f>Tabel24256789101112131415171618192120222326141518192021[[#This Row],[Stand Cappucino einde maand]]-Tabel24256789101112131415171618192120222326141518192021[[#This Row],[Stand Cappucino vorige maand]]</f>
        <v>297</v>
      </c>
      <c r="W47" s="53">
        <v>1190</v>
      </c>
      <c r="X47">
        <f>september2025!W47</f>
        <v>1141</v>
      </c>
      <c r="Y47">
        <f>Tabel24256789101112131415171618192120222326141518192021[[#This Row],[Stand Cappucino Plantaardig einde maand]]-Tabel24256789101112131415171618192120222326141518192021[[#This Row],[Stand Cappucino Plantaardig vorige maand]]</f>
        <v>49</v>
      </c>
      <c r="Z47" s="53">
        <v>272</v>
      </c>
      <c r="AA47">
        <f>september2025!Z47</f>
        <v>242</v>
      </c>
      <c r="AB47">
        <f>Tabel24256789101112131415171618192120222326141518192021[[#This Row],[Stand Latte Macchiato Plantaardig einde maand]]-Tabel24256789101112131415171618192120222326141518192021[[#This Row],[Stand Latte Macchiato Plantaardig vorige maand]]</f>
        <v>30</v>
      </c>
      <c r="AC47" s="71">
        <f>Tabel24256789101112131415171618192120222326141518192021[[#This Row],[Verbruik Stand Latte Macchiato Plantaardig deze maand]]+Tabel24256789101112131415171618192120222326141518192021[[#This Row],[Verbruik  Cappucino Plantaardig deze maand]]+Tabel24256789101112131415171618192120222326141518192021[[#This Row],[Verbruik Cappucino deze maand]]+Tabel24256789101112131415171618192120222326141518192021[[#This Row],[Verbruik Hot Water deze maand]]+Tabel24256789101112131415171618192120222326141518192021[[#This Row],[Verbruik Coffee Latte deze maand]]+Tabel24256789101112131415171618192120222326141518192021[[#This Row],[Verbruik Latte Macchiato deze maand]]+Tabel24256789101112131415171618192120222326141518192021[[#This Row],[Verbruik Espresso deze maand]]+Tabel24256789101112131415171618192120222326141518192021[[#This Row],[Verbruik Coffee deze maand]]</f>
        <v>2216</v>
      </c>
      <c r="AD47" s="69"/>
      <c r="AE47" s="41"/>
      <c r="AF47" s="5"/>
      <c r="AG47" s="5"/>
      <c r="AH47" s="75"/>
      <c r="AI47" s="41"/>
      <c r="AJ47" s="5"/>
      <c r="AK47" s="5"/>
      <c r="AL47" s="75"/>
      <c r="AM47" s="41"/>
      <c r="AN47" s="5"/>
      <c r="AO47" s="5"/>
      <c r="AP47" s="75"/>
      <c r="AQ47" s="41"/>
      <c r="AR47" s="5"/>
      <c r="AS47" s="5"/>
      <c r="AT47" s="75"/>
      <c r="AU47" s="41"/>
      <c r="AV47" s="5"/>
      <c r="AW47" s="5"/>
      <c r="AX47" s="79"/>
      <c r="AY47" s="95">
        <f>Tabel24256789101112131415171618192120222326141518192021[[#This Row],[Subtotaal waterbar in consumpties]]+Tabel24256789101112131415171618192120222326141518192021[[#This Row],[Subtotaal koffieautomaten]]</f>
        <v>2216</v>
      </c>
    </row>
    <row r="48" spans="1:130" ht="14.45" customHeight="1" x14ac:dyDescent="0.25">
      <c r="A48" s="65" t="s">
        <v>54</v>
      </c>
      <c r="B48" t="s">
        <v>95</v>
      </c>
      <c r="C48" t="s">
        <v>47</v>
      </c>
      <c r="E48">
        <v>13792</v>
      </c>
      <c r="F48">
        <f>september2025!E48</f>
        <v>13371</v>
      </c>
      <c r="G48">
        <f>Tabel24256789101112131415171618192120222326141518192021[[#This Row],[Stand Coffee einde maand]]-Tabel24256789101112131415171618192120222326141518192021[[#This Row],[Coffee vorige maand]]</f>
        <v>421</v>
      </c>
      <c r="H48" s="53">
        <v>4438</v>
      </c>
      <c r="I48">
        <f>september2025!H48</f>
        <v>4268</v>
      </c>
      <c r="J48">
        <f>Tabel24256789101112131415171618192120222326141518192021[[#This Row],[Stand Espresso Einde maand]]-Tabel24256789101112131415171618192120222326141518192021[[#This Row],[Espresso vorige maand]]</f>
        <v>170</v>
      </c>
      <c r="K48" s="53">
        <v>1350</v>
      </c>
      <c r="L48">
        <f>september2025!K48</f>
        <v>1303</v>
      </c>
      <c r="M48">
        <f>Tabel24256789101112131415171618192120222326141518192021[[#This Row],[Stand Latte Macchiato einde maand]]-Tabel24256789101112131415171618192120222326141518192021[[#This Row],[Latte Macchiato vorige maand]]</f>
        <v>47</v>
      </c>
      <c r="N48" s="53">
        <v>659</v>
      </c>
      <c r="O48">
        <f>september2025!N48</f>
        <v>648</v>
      </c>
      <c r="P48">
        <f>Tabel24256789101112131415171618192120222326141518192021[[#This Row],[Stand Coffee Latte einde maand]]-Tabel24256789101112131415171618192120222326141518192021[[#This Row],[Coffee Latte vorige maand]]</f>
        <v>11</v>
      </c>
      <c r="Q48" s="53">
        <v>0</v>
      </c>
      <c r="R48">
        <f>september2025!Q48</f>
        <v>0</v>
      </c>
      <c r="S48">
        <v>0</v>
      </c>
      <c r="T48" s="53">
        <v>6404</v>
      </c>
      <c r="U48">
        <f>september2025!T48</f>
        <v>6210</v>
      </c>
      <c r="V48">
        <f>Tabel24256789101112131415171618192120222326141518192021[[#This Row],[Stand Cappucino einde maand]]-Tabel24256789101112131415171618192120222326141518192021[[#This Row],[Stand Cappucino vorige maand]]</f>
        <v>194</v>
      </c>
      <c r="W48" s="53">
        <v>1460</v>
      </c>
      <c r="X48">
        <f>september2025!W48</f>
        <v>1426</v>
      </c>
      <c r="Y48">
        <f>Tabel24256789101112131415171618192120222326141518192021[[#This Row],[Stand Cappucino Plantaardig einde maand]]-Tabel24256789101112131415171618192120222326141518192021[[#This Row],[Stand Cappucino Plantaardig vorige maand]]</f>
        <v>34</v>
      </c>
      <c r="Z48" s="53">
        <v>918</v>
      </c>
      <c r="AA48">
        <f>september2025!Z48</f>
        <v>884</v>
      </c>
      <c r="AB48">
        <f>Tabel24256789101112131415171618192120222326141518192021[[#This Row],[Stand Latte Macchiato Plantaardig einde maand]]-Tabel24256789101112131415171618192120222326141518192021[[#This Row],[Stand Latte Macchiato Plantaardig vorige maand]]</f>
        <v>34</v>
      </c>
      <c r="AC48" s="71">
        <f>Tabel24256789101112131415171618192120222326141518192021[[#This Row],[Verbruik Stand Latte Macchiato Plantaardig deze maand]]+Tabel24256789101112131415171618192120222326141518192021[[#This Row],[Verbruik  Cappucino Plantaardig deze maand]]+Tabel24256789101112131415171618192120222326141518192021[[#This Row],[Verbruik Cappucino deze maand]]+Tabel24256789101112131415171618192120222326141518192021[[#This Row],[Verbruik Hot Water deze maand]]+Tabel24256789101112131415171618192120222326141518192021[[#This Row],[Verbruik Coffee Latte deze maand]]+Tabel24256789101112131415171618192120222326141518192021[[#This Row],[Verbruik Latte Macchiato deze maand]]+Tabel24256789101112131415171618192120222326141518192021[[#This Row],[Verbruik Espresso deze maand]]+Tabel24256789101112131415171618192120222326141518192021[[#This Row],[Verbruik Coffee deze maand]]</f>
        <v>911</v>
      </c>
      <c r="AD48" s="53">
        <v>270.10000000000002</v>
      </c>
      <c r="AE48">
        <f>september2025!AD48</f>
        <v>249.8</v>
      </c>
      <c r="AF48">
        <f>Tabel24256789101112131415171618192120222326141518192021[[#This Row],[Stand Kamertemp liter einde maand]]-Tabel24256789101112131415171618192120222326141518192021[[#This Row],[Stand Kamertemp liter vorige maand]]</f>
        <v>20.300000000000011</v>
      </c>
      <c r="AG48" s="2">
        <f>Tabel24256789101112131415171618192120222326141518192021[[#This Row],[Verbruik Kamertemp liter deze maand]]/0.15</f>
        <v>135.33333333333343</v>
      </c>
      <c r="AH48" s="53">
        <v>1846.3</v>
      </c>
      <c r="AI48">
        <f>september2025!AH48</f>
        <v>1751.7</v>
      </c>
      <c r="AJ48">
        <f>Tabel24256789101112131415171618192120222326141518192021[[#This Row],[Stand Gekoeld liter einde maand]]-Tabel24256789101112131415171618192120222326141518192021[[#This Row],[Stand Gekoeld liter vorige maand]]</f>
        <v>94.599999999999909</v>
      </c>
      <c r="AK48" s="2">
        <f>Tabel24256789101112131415171618192120222326141518192021[[#This Row],[Verbruik Gekoeld liter deze maand]]/0.15</f>
        <v>630.66666666666606</v>
      </c>
      <c r="AL48" s="53">
        <v>1035.0999999999999</v>
      </c>
      <c r="AM48">
        <f>september2025!AL48</f>
        <v>976.2</v>
      </c>
      <c r="AN48">
        <f>Tabel24256789101112131415171618192120222326141518192021[[#This Row],[Stand Bruisend liter einde maand]]-Tabel24256789101112131415171618192120222326141518192021[[#This Row],[Stand Bruisend liter vorige maand]]</f>
        <v>58.899999999999864</v>
      </c>
      <c r="AO48" s="2">
        <f>Tabel24256789101112131415171618192120222326141518192021[[#This Row],[Verbruik Bruisend liter deze maand]]/0.15</f>
        <v>392.66666666666578</v>
      </c>
      <c r="AP48" s="53">
        <v>398.3</v>
      </c>
      <c r="AQ48">
        <f>september2025!AP48</f>
        <v>371.2</v>
      </c>
      <c r="AR48">
        <f>Tabel24256789101112131415171618192120222326141518192021[[#This Row],[Stand licht bruisend liter einde maand]]-Tabel24256789101112131415171618192120222326141518192021[[#This Row],[Stand licht bruisend liter vorige maand]]</f>
        <v>27.100000000000023</v>
      </c>
      <c r="AS48" s="2">
        <f>Tabel24256789101112131415171618192120222326141518192021[[#This Row],[Verbruik licht bruisend liter deze maand]]/0.15</f>
        <v>180.66666666666683</v>
      </c>
      <c r="AT48" s="53">
        <v>3667</v>
      </c>
      <c r="AU48">
        <f>september2025!AT48</f>
        <v>3386.5</v>
      </c>
      <c r="AV48">
        <f>Tabel24256789101112131415171618192120222326141518192021[[#This Row],[Stand heet water liter einde maand]]-Tabel24256789101112131415171618192120222326141518192021[[#This Row],[Stand heet water liter vorige maand]]</f>
        <v>280.5</v>
      </c>
      <c r="AW48" s="2">
        <f>Tabel24256789101112131415171618192120222326141518192021[[#This Row],[Verbruik heet Water liter deze maand ]]/0.15</f>
        <v>1870</v>
      </c>
      <c r="AX48" s="77">
        <f>Tabel24256789101112131415171618192120222326141518192021[[#This Row],[Aantal consumpties heet water deze maand]]+Tabel24256789101112131415171618192120222326141518192021[[#This Row],[Aantal consumpties licht bruisend water deze maand]]+Tabel24256789101112131415171618192120222326141518192021[[#This Row],[aantal consumpties Bruisend water deze maand]]+Tabel24256789101112131415171618192120222326141518192021[[#This Row],[Aantal consumpties gekoeld water deze maand]]+Tabel24256789101112131415171618192120222326141518192021[[#This Row],[Aantal consumpties Kamertemp deze maand]]</f>
        <v>3209.3333333333321</v>
      </c>
      <c r="AY48" s="95">
        <f>Tabel24256789101112131415171618192120222326141518192021[[#This Row],[Subtotaal waterbar in consumpties]]+Tabel24256789101112131415171618192120222326141518192021[[#This Row],[Subtotaal koffieautomaten]]</f>
        <v>4120.3333333333321</v>
      </c>
    </row>
    <row r="49" spans="1:130" ht="14.45" customHeight="1" x14ac:dyDescent="0.25">
      <c r="A49" s="65" t="s">
        <v>56</v>
      </c>
      <c r="B49" t="s">
        <v>96</v>
      </c>
      <c r="C49" t="s">
        <v>36</v>
      </c>
      <c r="E49" s="46"/>
      <c r="F49" s="46"/>
      <c r="G49" s="47"/>
      <c r="H49" s="54"/>
      <c r="I49" s="46"/>
      <c r="J49" s="47"/>
      <c r="K49" s="54"/>
      <c r="L49" s="46"/>
      <c r="M49" s="47"/>
      <c r="N49" s="54"/>
      <c r="O49" s="46"/>
      <c r="P49" s="47"/>
      <c r="Q49" s="54"/>
      <c r="R49" s="46"/>
      <c r="S49" s="47"/>
      <c r="T49" s="54"/>
      <c r="U49" s="46"/>
      <c r="V49" s="47"/>
      <c r="W49" s="54"/>
      <c r="X49" s="46"/>
      <c r="Y49" s="47"/>
      <c r="Z49" s="54"/>
      <c r="AA49" s="46"/>
      <c r="AB49" s="47"/>
      <c r="AC49" s="72"/>
      <c r="AD49" s="53">
        <v>235.9</v>
      </c>
      <c r="AE49">
        <f>september2025!AD49</f>
        <v>224.5</v>
      </c>
      <c r="AF49">
        <f>Tabel24256789101112131415171618192120222326141518192021[[#This Row],[Stand Kamertemp liter einde maand]]-Tabel24256789101112131415171618192120222326141518192021[[#This Row],[Stand Kamertemp liter vorige maand]]</f>
        <v>11.400000000000006</v>
      </c>
      <c r="AG49" s="2">
        <f>Tabel24256789101112131415171618192120222326141518192021[[#This Row],[Verbruik Kamertemp liter deze maand]]/0.15</f>
        <v>76.000000000000043</v>
      </c>
      <c r="AH49" s="53">
        <v>1504.2</v>
      </c>
      <c r="AI49">
        <f>september2025!AH49</f>
        <v>1434.7</v>
      </c>
      <c r="AJ49">
        <f>Tabel24256789101112131415171618192120222326141518192021[[#This Row],[Stand Gekoeld liter einde maand]]-Tabel24256789101112131415171618192120222326141518192021[[#This Row],[Stand Gekoeld liter vorige maand]]</f>
        <v>69.5</v>
      </c>
      <c r="AK49" s="2">
        <f>Tabel24256789101112131415171618192120222326141518192021[[#This Row],[Verbruik Gekoeld liter deze maand]]/0.15</f>
        <v>463.33333333333337</v>
      </c>
      <c r="AL49" s="53">
        <v>656</v>
      </c>
      <c r="AM49">
        <f>september2025!AL49</f>
        <v>617.29999999999995</v>
      </c>
      <c r="AN49">
        <f>Tabel24256789101112131415171618192120222326141518192021[[#This Row],[Stand Bruisend liter einde maand]]-Tabel24256789101112131415171618192120222326141518192021[[#This Row],[Stand Bruisend liter vorige maand]]</f>
        <v>38.700000000000045</v>
      </c>
      <c r="AO49" s="2">
        <f>Tabel24256789101112131415171618192120222326141518192021[[#This Row],[Verbruik Bruisend liter deze maand]]/0.15</f>
        <v>258.00000000000034</v>
      </c>
      <c r="AP49" s="53">
        <v>322.5</v>
      </c>
      <c r="AQ49">
        <f>september2025!AP49</f>
        <v>312.2</v>
      </c>
      <c r="AR49">
        <f>Tabel24256789101112131415171618192120222326141518192021[[#This Row],[Stand licht bruisend liter einde maand]]-Tabel24256789101112131415171618192120222326141518192021[[#This Row],[Stand licht bruisend liter vorige maand]]</f>
        <v>10.300000000000011</v>
      </c>
      <c r="AS49" s="2">
        <f>Tabel24256789101112131415171618192120222326141518192021[[#This Row],[Verbruik licht bruisend liter deze maand]]/0.15</f>
        <v>68.666666666666742</v>
      </c>
      <c r="AT49" s="53">
        <v>3291.6</v>
      </c>
      <c r="AU49">
        <f>september2025!AT49</f>
        <v>3104.9</v>
      </c>
      <c r="AV49">
        <f>Tabel24256789101112131415171618192120222326141518192021[[#This Row],[Stand heet water liter einde maand]]-Tabel24256789101112131415171618192120222326141518192021[[#This Row],[Stand heet water liter vorige maand]]</f>
        <v>186.69999999999982</v>
      </c>
      <c r="AW49" s="2">
        <f>Tabel24256789101112131415171618192120222326141518192021[[#This Row],[Verbruik heet Water liter deze maand ]]/0.15</f>
        <v>1244.6666666666656</v>
      </c>
      <c r="AX49" s="77">
        <f>Tabel24256789101112131415171618192120222326141518192021[[#This Row],[Aantal consumpties heet water deze maand]]+Tabel24256789101112131415171618192120222326141518192021[[#This Row],[Aantal consumpties licht bruisend water deze maand]]+Tabel24256789101112131415171618192120222326141518192021[[#This Row],[aantal consumpties Bruisend water deze maand]]+Tabel24256789101112131415171618192120222326141518192021[[#This Row],[Aantal consumpties gekoeld water deze maand]]+Tabel24256789101112131415171618192120222326141518192021[[#This Row],[Aantal consumpties Kamertemp deze maand]]</f>
        <v>2110.6666666666661</v>
      </c>
      <c r="AY49" s="95">
        <f>Tabel24256789101112131415171618192120222326141518192021[[#This Row],[Subtotaal waterbar in consumpties]]+Tabel24256789101112131415171618192120222326141518192021[[#This Row],[Subtotaal koffieautomaten]]</f>
        <v>2110.6666666666661</v>
      </c>
    </row>
    <row r="50" spans="1:130" ht="14.45" customHeight="1" x14ac:dyDescent="0.25">
      <c r="A50" s="65" t="s">
        <v>58</v>
      </c>
      <c r="B50" t="s">
        <v>97</v>
      </c>
      <c r="C50" t="s">
        <v>31</v>
      </c>
      <c r="E50">
        <v>17353</v>
      </c>
      <c r="F50">
        <f>september2025!E50</f>
        <v>16758</v>
      </c>
      <c r="G50">
        <f>Tabel24256789101112131415171618192120222326141518192021[[#This Row],[Stand Coffee einde maand]]-Tabel24256789101112131415171618192120222326141518192021[[#This Row],[Coffee vorige maand]]</f>
        <v>595</v>
      </c>
      <c r="H50" s="53">
        <v>4840</v>
      </c>
      <c r="I50">
        <f>september2025!H50</f>
        <v>4667</v>
      </c>
      <c r="J50">
        <f>Tabel24256789101112131415171618192120222326141518192021[[#This Row],[Stand Espresso Einde maand]]-Tabel24256789101112131415171618192120222326141518192021[[#This Row],[Espresso vorige maand]]</f>
        <v>173</v>
      </c>
      <c r="K50" s="53">
        <v>1855</v>
      </c>
      <c r="L50">
        <f>september2025!K50</f>
        <v>1765</v>
      </c>
      <c r="M50">
        <f>Tabel24256789101112131415171618192120222326141518192021[[#This Row],[Stand Latte Macchiato einde maand]]-Tabel24256789101112131415171618192120222326141518192021[[#This Row],[Latte Macchiato vorige maand]]</f>
        <v>90</v>
      </c>
      <c r="N50" s="53">
        <v>1507</v>
      </c>
      <c r="O50">
        <f>september2025!N50</f>
        <v>1495</v>
      </c>
      <c r="P50">
        <f>Tabel24256789101112131415171618192120222326141518192021[[#This Row],[Stand Coffee Latte einde maand]]-Tabel24256789101112131415171618192120222326141518192021[[#This Row],[Coffee Latte vorige maand]]</f>
        <v>12</v>
      </c>
      <c r="Q50" s="53">
        <v>15678</v>
      </c>
      <c r="R50">
        <f>september2025!Q50</f>
        <v>15274</v>
      </c>
      <c r="S50">
        <f>Tabel24256789101112131415171618192120222326141518192021[[#This Row],[Stand Hot Water einde maand]]-Tabel24256789101112131415171618192120222326141518192021[[#This Row],[Hot Water vorige maand]]</f>
        <v>404</v>
      </c>
      <c r="T50" s="53">
        <v>9526</v>
      </c>
      <c r="U50">
        <f>september2025!T50</f>
        <v>9377</v>
      </c>
      <c r="V50">
        <f>Tabel24256789101112131415171618192120222326141518192021[[#This Row],[Stand Cappucino einde maand]]-Tabel24256789101112131415171618192120222326141518192021[[#This Row],[Stand Cappucino vorige maand]]</f>
        <v>149</v>
      </c>
      <c r="W50" s="53">
        <v>1856</v>
      </c>
      <c r="X50">
        <f>september2025!W50</f>
        <v>1796</v>
      </c>
      <c r="Y50">
        <f>Tabel24256789101112131415171618192120222326141518192021[[#This Row],[Stand Cappucino Plantaardig einde maand]]-Tabel24256789101112131415171618192120222326141518192021[[#This Row],[Stand Cappucino Plantaardig vorige maand]]</f>
        <v>60</v>
      </c>
      <c r="Z50" s="53">
        <v>769</v>
      </c>
      <c r="AA50">
        <f>september2025!Z50</f>
        <v>698</v>
      </c>
      <c r="AB50">
        <f>Tabel24256789101112131415171618192120222326141518192021[[#This Row],[Stand Latte Macchiato Plantaardig einde maand]]-Tabel24256789101112131415171618192120222326141518192021[[#This Row],[Stand Latte Macchiato Plantaardig vorige maand]]</f>
        <v>71</v>
      </c>
      <c r="AC50" s="71">
        <f>Tabel24256789101112131415171618192120222326141518192021[[#This Row],[Verbruik Stand Latte Macchiato Plantaardig deze maand]]+Tabel24256789101112131415171618192120222326141518192021[[#This Row],[Verbruik  Cappucino Plantaardig deze maand]]+Tabel24256789101112131415171618192120222326141518192021[[#This Row],[Verbruik Cappucino deze maand]]+Tabel24256789101112131415171618192120222326141518192021[[#This Row],[Verbruik Hot Water deze maand]]+Tabel24256789101112131415171618192120222326141518192021[[#This Row],[Verbruik Coffee Latte deze maand]]+Tabel24256789101112131415171618192120222326141518192021[[#This Row],[Verbruik Latte Macchiato deze maand]]+Tabel24256789101112131415171618192120222326141518192021[[#This Row],[Verbruik Espresso deze maand]]+Tabel24256789101112131415171618192120222326141518192021[[#This Row],[Verbruik Coffee deze maand]]</f>
        <v>1554</v>
      </c>
      <c r="AD50" s="69"/>
      <c r="AE50" s="41"/>
      <c r="AF50" s="5"/>
      <c r="AG50" s="5"/>
      <c r="AH50" s="75"/>
      <c r="AI50" s="41"/>
      <c r="AJ50" s="5"/>
      <c r="AK50" s="5"/>
      <c r="AL50" s="75"/>
      <c r="AM50" s="41"/>
      <c r="AN50" s="5"/>
      <c r="AO50" s="5"/>
      <c r="AP50" s="75"/>
      <c r="AQ50" s="41"/>
      <c r="AR50" s="5"/>
      <c r="AS50" s="5"/>
      <c r="AT50" s="75"/>
      <c r="AU50" s="41"/>
      <c r="AV50" s="5"/>
      <c r="AW50" s="5"/>
      <c r="AX50" s="79"/>
      <c r="AY50" s="95">
        <f>Tabel24256789101112131415171618192120222326141518192021[[#This Row],[Subtotaal waterbar in consumpties]]+Tabel24256789101112131415171618192120222326141518192021[[#This Row],[Subtotaal koffieautomaten]]</f>
        <v>1554</v>
      </c>
    </row>
    <row r="51" spans="1:130" ht="14.45" customHeight="1" x14ac:dyDescent="0.25">
      <c r="A51" s="65" t="s">
        <v>60</v>
      </c>
      <c r="B51" t="s">
        <v>98</v>
      </c>
      <c r="C51" t="s">
        <v>47</v>
      </c>
      <c r="E51">
        <v>10562</v>
      </c>
      <c r="F51">
        <f>september2025!E51</f>
        <v>10170</v>
      </c>
      <c r="G51">
        <f>Tabel24256789101112131415171618192120222326141518192021[[#This Row],[Stand Coffee einde maand]]-Tabel24256789101112131415171618192120222326141518192021[[#This Row],[Coffee vorige maand]]</f>
        <v>392</v>
      </c>
      <c r="H51" s="53">
        <v>3445</v>
      </c>
      <c r="I51">
        <f>september2025!H51</f>
        <v>3326</v>
      </c>
      <c r="J51">
        <f>Tabel24256789101112131415171618192120222326141518192021[[#This Row],[Stand Espresso Einde maand]]-Tabel24256789101112131415171618192120222326141518192021[[#This Row],[Espresso vorige maand]]</f>
        <v>119</v>
      </c>
      <c r="K51" s="53">
        <v>942</v>
      </c>
      <c r="L51">
        <f>september2025!K51</f>
        <v>927</v>
      </c>
      <c r="M51">
        <f>Tabel24256789101112131415171618192120222326141518192021[[#This Row],[Stand Latte Macchiato einde maand]]-Tabel24256789101112131415171618192120222326141518192021[[#This Row],[Latte Macchiato vorige maand]]</f>
        <v>15</v>
      </c>
      <c r="N51" s="53">
        <v>1388</v>
      </c>
      <c r="O51">
        <f>september2025!N51</f>
        <v>1333</v>
      </c>
      <c r="P51">
        <f>Tabel24256789101112131415171618192120222326141518192021[[#This Row],[Stand Coffee Latte einde maand]]-Tabel24256789101112131415171618192120222326141518192021[[#This Row],[Coffee Latte vorige maand]]</f>
        <v>55</v>
      </c>
      <c r="Q51" s="53">
        <v>1</v>
      </c>
      <c r="R51">
        <f>september2025!Q51</f>
        <v>1</v>
      </c>
      <c r="S51">
        <f>Tabel24256789101112131415171618192120222326141518192021[[#This Row],[Stand Hot Water einde maand]]-Tabel24256789101112131415171618192120222326141518192021[[#This Row],[Hot Water vorige maand]]</f>
        <v>0</v>
      </c>
      <c r="T51" s="53">
        <v>7002</v>
      </c>
      <c r="U51">
        <f>september2025!T51</f>
        <v>6752</v>
      </c>
      <c r="V51">
        <f>Tabel24256789101112131415171618192120222326141518192021[[#This Row],[Stand Cappucino einde maand]]-Tabel24256789101112131415171618192120222326141518192021[[#This Row],[Stand Cappucino vorige maand]]</f>
        <v>250</v>
      </c>
      <c r="W51" s="53">
        <v>984</v>
      </c>
      <c r="X51">
        <f>september2025!W51</f>
        <v>927</v>
      </c>
      <c r="Y51">
        <f>Tabel24256789101112131415171618192120222326141518192021[[#This Row],[Stand Cappucino Plantaardig einde maand]]-Tabel24256789101112131415171618192120222326141518192021[[#This Row],[Stand Cappucino Plantaardig vorige maand]]</f>
        <v>57</v>
      </c>
      <c r="Z51" s="53">
        <v>212</v>
      </c>
      <c r="AA51">
        <f>september2025!Z51</f>
        <v>199</v>
      </c>
      <c r="AB51">
        <f>Tabel24256789101112131415171618192120222326141518192021[[#This Row],[Stand Latte Macchiato Plantaardig einde maand]]-Tabel24256789101112131415171618192120222326141518192021[[#This Row],[Stand Latte Macchiato Plantaardig vorige maand]]</f>
        <v>13</v>
      </c>
      <c r="AC51" s="71">
        <f>Tabel24256789101112131415171618192120222326141518192021[[#This Row],[Verbruik Stand Latte Macchiato Plantaardig deze maand]]+Tabel24256789101112131415171618192120222326141518192021[[#This Row],[Verbruik  Cappucino Plantaardig deze maand]]+Tabel24256789101112131415171618192120222326141518192021[[#This Row],[Verbruik Cappucino deze maand]]+Tabel24256789101112131415171618192120222326141518192021[[#This Row],[Verbruik Hot Water deze maand]]+Tabel24256789101112131415171618192120222326141518192021[[#This Row],[Verbruik Coffee Latte deze maand]]+Tabel24256789101112131415171618192120222326141518192021[[#This Row],[Verbruik Latte Macchiato deze maand]]+Tabel24256789101112131415171618192120222326141518192021[[#This Row],[Verbruik Espresso deze maand]]+Tabel24256789101112131415171618192120222326141518192021[[#This Row],[Verbruik Coffee deze maand]]</f>
        <v>901</v>
      </c>
      <c r="AD51" s="53">
        <v>83.4</v>
      </c>
      <c r="AE51">
        <f>september2025!AD51</f>
        <v>75.099999999999994</v>
      </c>
      <c r="AF51">
        <f>Tabel24256789101112131415171618192120222326141518192021[[#This Row],[Stand Kamertemp liter einde maand]]-Tabel24256789101112131415171618192120222326141518192021[[#This Row],[Stand Kamertemp liter vorige maand]]</f>
        <v>8.3000000000000114</v>
      </c>
      <c r="AG51" s="2">
        <f>Tabel24256789101112131415171618192120222326141518192021[[#This Row],[Verbruik Kamertemp liter deze maand]]/0.15</f>
        <v>55.333333333333414</v>
      </c>
      <c r="AH51" s="53">
        <v>1192.9000000000001</v>
      </c>
      <c r="AI51">
        <f>september2025!AH51</f>
        <v>1122.2</v>
      </c>
      <c r="AJ51">
        <f>Tabel24256789101112131415171618192120222326141518192021[[#This Row],[Stand Gekoeld liter einde maand]]-Tabel24256789101112131415171618192120222326141518192021[[#This Row],[Stand Gekoeld liter vorige maand]]</f>
        <v>70.700000000000045</v>
      </c>
      <c r="AK51" s="2">
        <f>Tabel24256789101112131415171618192120222326141518192021[[#This Row],[Verbruik Gekoeld liter deze maand]]/0.15</f>
        <v>471.33333333333366</v>
      </c>
      <c r="AL51" s="53">
        <v>776.9</v>
      </c>
      <c r="AM51">
        <f>september2025!AL51</f>
        <v>726.7</v>
      </c>
      <c r="AN51">
        <f>Tabel24256789101112131415171618192120222326141518192021[[#This Row],[Stand Bruisend liter einde maand]]-Tabel24256789101112131415171618192120222326141518192021[[#This Row],[Stand Bruisend liter vorige maand]]</f>
        <v>50.199999999999932</v>
      </c>
      <c r="AO51" s="2">
        <f>Tabel24256789101112131415171618192120222326141518192021[[#This Row],[Verbruik Bruisend liter deze maand]]/0.15</f>
        <v>334.66666666666623</v>
      </c>
      <c r="AP51" s="53">
        <v>117.5</v>
      </c>
      <c r="AQ51">
        <f>september2025!AP51</f>
        <v>112.6</v>
      </c>
      <c r="AR51">
        <f>Tabel24256789101112131415171618192120222326141518192021[[#This Row],[Stand licht bruisend liter einde maand]]-Tabel24256789101112131415171618192120222326141518192021[[#This Row],[Stand licht bruisend liter vorige maand]]</f>
        <v>4.9000000000000057</v>
      </c>
      <c r="AS51" s="2">
        <f>Tabel24256789101112131415171618192120222326141518192021[[#This Row],[Verbruik licht bruisend liter deze maand]]/0.15</f>
        <v>32.666666666666707</v>
      </c>
      <c r="AT51" s="53">
        <v>1670.2</v>
      </c>
      <c r="AU51">
        <f>september2025!AT51</f>
        <v>1561.4</v>
      </c>
      <c r="AV51">
        <f>Tabel24256789101112131415171618192120222326141518192021[[#This Row],[Stand heet water liter einde maand]]-Tabel24256789101112131415171618192120222326141518192021[[#This Row],[Stand heet water liter vorige maand]]</f>
        <v>108.79999999999995</v>
      </c>
      <c r="AW51" s="2">
        <f>Tabel24256789101112131415171618192120222326141518192021[[#This Row],[Verbruik heet Water liter deze maand ]]/0.15</f>
        <v>725.33333333333303</v>
      </c>
      <c r="AX51" s="77">
        <f>Tabel24256789101112131415171618192120222326141518192021[[#This Row],[Aantal consumpties heet water deze maand]]+Tabel24256789101112131415171618192120222326141518192021[[#This Row],[Aantal consumpties licht bruisend water deze maand]]+Tabel24256789101112131415171618192120222326141518192021[[#This Row],[aantal consumpties Bruisend water deze maand]]+Tabel24256789101112131415171618192120222326141518192021[[#This Row],[Aantal consumpties gekoeld water deze maand]]+Tabel24256789101112131415171618192120222326141518192021[[#This Row],[Aantal consumpties Kamertemp deze maand]]</f>
        <v>1619.3333333333333</v>
      </c>
      <c r="AY51" s="95">
        <f>Tabel24256789101112131415171618192120222326141518192021[[#This Row],[Subtotaal waterbar in consumpties]]+Tabel24256789101112131415171618192120222326141518192021[[#This Row],[Subtotaal koffieautomaten]]</f>
        <v>2520.333333333333</v>
      </c>
    </row>
    <row r="52" spans="1:130" s="81" customFormat="1" ht="14.45" customHeight="1" x14ac:dyDescent="0.25">
      <c r="A52" s="80" t="s">
        <v>99</v>
      </c>
      <c r="D52" s="82"/>
      <c r="H52" s="86"/>
      <c r="K52" s="86"/>
      <c r="N52" s="86"/>
      <c r="Q52" s="86"/>
      <c r="T52" s="86"/>
      <c r="W52" s="86"/>
      <c r="Z52" s="86"/>
      <c r="AC52" s="85"/>
      <c r="AD52" s="86"/>
      <c r="AG52" s="87"/>
      <c r="AH52" s="86"/>
      <c r="AK52" s="87"/>
      <c r="AL52" s="86"/>
      <c r="AO52" s="87"/>
      <c r="AP52" s="86"/>
      <c r="AS52" s="87"/>
      <c r="AT52" s="86"/>
      <c r="AW52" s="87"/>
      <c r="AX52" s="88"/>
      <c r="AY52" s="94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</row>
    <row r="53" spans="1:130" ht="14.45" customHeight="1" x14ac:dyDescent="0.25">
      <c r="A53" s="65" t="s">
        <v>43</v>
      </c>
      <c r="B53" t="s">
        <v>100</v>
      </c>
      <c r="C53" t="s">
        <v>31</v>
      </c>
      <c r="E53">
        <v>15311</v>
      </c>
      <c r="F53">
        <f>september2025!E53</f>
        <v>14888</v>
      </c>
      <c r="G53">
        <f>Tabel24256789101112131415171618192120222326141518192021[[#This Row],[Stand Coffee einde maand]]-Tabel24256789101112131415171618192120222326141518192021[[#This Row],[Coffee vorige maand]]</f>
        <v>423</v>
      </c>
      <c r="H53" s="97">
        <f>824+4616</f>
        <v>5440</v>
      </c>
      <c r="I53">
        <f>september2025!H53</f>
        <v>5293</v>
      </c>
      <c r="J53">
        <f>Tabel24256789101112131415171618192120222326141518192021[[#This Row],[Stand Espresso Einde maand]]-Tabel24256789101112131415171618192120222326141518192021[[#This Row],[Espresso vorige maand]]</f>
        <v>147</v>
      </c>
      <c r="K53" s="53">
        <v>1552</v>
      </c>
      <c r="L53">
        <f>september2025!K53</f>
        <v>1523</v>
      </c>
      <c r="M53">
        <f>Tabel24256789101112131415171618192120222326141518192021[[#This Row],[Stand Latte Macchiato einde maand]]-Tabel24256789101112131415171618192120222326141518192021[[#This Row],[Latte Macchiato vorige maand]]</f>
        <v>29</v>
      </c>
      <c r="N53" s="53">
        <v>702</v>
      </c>
      <c r="O53">
        <f>september2025!N53</f>
        <v>675</v>
      </c>
      <c r="P53">
        <f>Tabel24256789101112131415171618192120222326141518192021[[#This Row],[Stand Coffee Latte einde maand]]-Tabel24256789101112131415171618192120222326141518192021[[#This Row],[Coffee Latte vorige maand]]</f>
        <v>27</v>
      </c>
      <c r="Q53" s="53">
        <v>37160</v>
      </c>
      <c r="R53">
        <f>september2025!Q53</f>
        <v>36088</v>
      </c>
      <c r="S53">
        <f>Tabel24256789101112131415171618192120222326141518192021[[#This Row],[Stand Hot Water einde maand]]-Tabel24256789101112131415171618192120222326141518192021[[#This Row],[Hot Water vorige maand]]</f>
        <v>1072</v>
      </c>
      <c r="T53" s="53">
        <v>4274</v>
      </c>
      <c r="U53">
        <f>september2025!T53</f>
        <v>4170</v>
      </c>
      <c r="V53">
        <f>Tabel24256789101112131415171618192120222326141518192021[[#This Row],[Stand Cappucino einde maand]]-Tabel24256789101112131415171618192120222326141518192021[[#This Row],[Stand Cappucino vorige maand]]</f>
        <v>104</v>
      </c>
      <c r="W53" s="53">
        <v>1294</v>
      </c>
      <c r="X53">
        <f>september2025!W53</f>
        <v>1264</v>
      </c>
      <c r="Y53">
        <f>Tabel24256789101112131415171618192120222326141518192021[[#This Row],[Stand Cappucino Plantaardig einde maand]]-Tabel24256789101112131415171618192120222326141518192021[[#This Row],[Stand Cappucino Plantaardig vorige maand]]</f>
        <v>30</v>
      </c>
      <c r="Z53" s="53">
        <v>267</v>
      </c>
      <c r="AA53">
        <f>september2025!Z53</f>
        <v>257</v>
      </c>
      <c r="AB53">
        <f>Tabel24256789101112131415171618192120222326141518192021[[#This Row],[Stand Latte Macchiato Plantaardig einde maand]]-Tabel24256789101112131415171618192120222326141518192021[[#This Row],[Stand Latte Macchiato Plantaardig vorige maand]]</f>
        <v>10</v>
      </c>
      <c r="AC53" s="71">
        <f>Tabel24256789101112131415171618192120222326141518192021[[#This Row],[Verbruik Stand Latte Macchiato Plantaardig deze maand]]+Tabel24256789101112131415171618192120222326141518192021[[#This Row],[Verbruik  Cappucino Plantaardig deze maand]]+Tabel24256789101112131415171618192120222326141518192021[[#This Row],[Verbruik Cappucino deze maand]]+Tabel24256789101112131415171618192120222326141518192021[[#This Row],[Verbruik Hot Water deze maand]]+Tabel24256789101112131415171618192120222326141518192021[[#This Row],[Verbruik Coffee Latte deze maand]]+Tabel24256789101112131415171618192120222326141518192021[[#This Row],[Verbruik Latte Macchiato deze maand]]+Tabel24256789101112131415171618192120222326141518192021[[#This Row],[Verbruik Espresso deze maand]]+Tabel24256789101112131415171618192120222326141518192021[[#This Row],[Verbruik Coffee deze maand]]</f>
        <v>1842</v>
      </c>
      <c r="AD53" s="69"/>
      <c r="AE53" s="41"/>
      <c r="AF53" s="5"/>
      <c r="AG53" s="5"/>
      <c r="AH53" s="75"/>
      <c r="AI53" s="41"/>
      <c r="AJ53" s="5"/>
      <c r="AK53" s="5"/>
      <c r="AL53" s="75"/>
      <c r="AM53" s="41"/>
      <c r="AN53" s="5"/>
      <c r="AO53" s="5"/>
      <c r="AP53" s="75"/>
      <c r="AQ53" s="41"/>
      <c r="AR53" s="5"/>
      <c r="AS53" s="5"/>
      <c r="AT53" s="75"/>
      <c r="AU53" s="41"/>
      <c r="AV53" s="5"/>
      <c r="AW53" s="5"/>
      <c r="AX53" s="79"/>
      <c r="AY53" s="95">
        <f>Tabel24256789101112131415171618192120222326141518192021[[#This Row],[Subtotaal waterbar in consumpties]]+Tabel24256789101112131415171618192120222326141518192021[[#This Row],[Subtotaal koffieautomaten]]</f>
        <v>1842</v>
      </c>
    </row>
    <row r="54" spans="1:130" ht="14.45" customHeight="1" x14ac:dyDescent="0.25">
      <c r="A54" s="65" t="s">
        <v>45</v>
      </c>
      <c r="B54" t="s">
        <v>101</v>
      </c>
      <c r="C54" t="s">
        <v>47</v>
      </c>
      <c r="E54">
        <v>11497</v>
      </c>
      <c r="F54">
        <f>september2025!E54</f>
        <v>11165</v>
      </c>
      <c r="G54">
        <f>Tabel24256789101112131415171618192120222326141518192021[[#This Row],[Stand Coffee einde maand]]-Tabel24256789101112131415171618192120222326141518192021[[#This Row],[Coffee vorige maand]]</f>
        <v>332</v>
      </c>
      <c r="H54" s="53">
        <v>5487</v>
      </c>
      <c r="I54">
        <f>september2025!H54</f>
        <v>5331</v>
      </c>
      <c r="J54">
        <f>Tabel24256789101112131415171618192120222326141518192021[[#This Row],[Stand Espresso Einde maand]]-Tabel24256789101112131415171618192120222326141518192021[[#This Row],[Espresso vorige maand]]</f>
        <v>156</v>
      </c>
      <c r="K54" s="53">
        <v>731</v>
      </c>
      <c r="L54">
        <f>september2025!K54</f>
        <v>727</v>
      </c>
      <c r="M54">
        <f>Tabel24256789101112131415171618192120222326141518192021[[#This Row],[Stand Latte Macchiato einde maand]]-Tabel24256789101112131415171618192120222326141518192021[[#This Row],[Latte Macchiato vorige maand]]</f>
        <v>4</v>
      </c>
      <c r="N54" s="53">
        <v>618</v>
      </c>
      <c r="O54">
        <f>september2025!N54</f>
        <v>599</v>
      </c>
      <c r="P54">
        <f>Tabel24256789101112131415171618192120222326141518192021[[#This Row],[Stand Coffee Latte einde maand]]-Tabel24256789101112131415171618192120222326141518192021[[#This Row],[Coffee Latte vorige maand]]</f>
        <v>19</v>
      </c>
      <c r="Q54" s="53">
        <v>1</v>
      </c>
      <c r="R54">
        <f>september2025!Q54</f>
        <v>1</v>
      </c>
      <c r="S54">
        <f>Tabel24256789101112131415171618192120222326141518192021[[#This Row],[Stand Hot Water einde maand]]-Tabel24256789101112131415171618192120222326141518192021[[#This Row],[Hot Water vorige maand]]</f>
        <v>0</v>
      </c>
      <c r="T54" s="53">
        <v>5098</v>
      </c>
      <c r="U54">
        <f>september2025!T54</f>
        <v>4965</v>
      </c>
      <c r="V54">
        <f>Tabel24256789101112131415171618192120222326141518192021[[#This Row],[Stand Cappucino einde maand]]-Tabel24256789101112131415171618192120222326141518192021[[#This Row],[Stand Cappucino vorige maand]]</f>
        <v>133</v>
      </c>
      <c r="W54" s="53">
        <v>1062</v>
      </c>
      <c r="X54">
        <f>september2025!W54</f>
        <v>1012</v>
      </c>
      <c r="Y54">
        <f>Tabel24256789101112131415171618192120222326141518192021[[#This Row],[Stand Cappucino Plantaardig einde maand]]-Tabel24256789101112131415171618192120222326141518192021[[#This Row],[Stand Cappucino Plantaardig vorige maand]]</f>
        <v>50</v>
      </c>
      <c r="Z54" s="53">
        <v>260</v>
      </c>
      <c r="AA54">
        <f>september2025!Z54</f>
        <v>258</v>
      </c>
      <c r="AB54">
        <f>Tabel24256789101112131415171618192120222326141518192021[[#This Row],[Stand Latte Macchiato Plantaardig einde maand]]-Tabel24256789101112131415171618192120222326141518192021[[#This Row],[Stand Latte Macchiato Plantaardig vorige maand]]</f>
        <v>2</v>
      </c>
      <c r="AC54" s="71">
        <f>Tabel24256789101112131415171618192120222326141518192021[[#This Row],[Verbruik Stand Latte Macchiato Plantaardig deze maand]]+Tabel24256789101112131415171618192120222326141518192021[[#This Row],[Verbruik  Cappucino Plantaardig deze maand]]+Tabel24256789101112131415171618192120222326141518192021[[#This Row],[Verbruik Cappucino deze maand]]+Tabel24256789101112131415171618192120222326141518192021[[#This Row],[Verbruik Hot Water deze maand]]+Tabel24256789101112131415171618192120222326141518192021[[#This Row],[Verbruik Coffee Latte deze maand]]+Tabel24256789101112131415171618192120222326141518192021[[#This Row],[Verbruik Latte Macchiato deze maand]]+Tabel24256789101112131415171618192120222326141518192021[[#This Row],[Verbruik Espresso deze maand]]+Tabel24256789101112131415171618192120222326141518192021[[#This Row],[Verbruik Coffee deze maand]]</f>
        <v>696</v>
      </c>
      <c r="AD54" s="53">
        <v>175.4</v>
      </c>
      <c r="AE54">
        <f>september2025!AD54</f>
        <v>148.6</v>
      </c>
      <c r="AF54">
        <f>Tabel24256789101112131415171618192120222326141518192021[[#This Row],[Stand Kamertemp liter einde maand]]-Tabel24256789101112131415171618192120222326141518192021[[#This Row],[Stand Kamertemp liter vorige maand]]</f>
        <v>26.800000000000011</v>
      </c>
      <c r="AG54" s="2">
        <f>Tabel24256789101112131415171618192120222326141518192021[[#This Row],[Verbruik Kamertemp liter deze maand]]/0.15</f>
        <v>178.66666666666674</v>
      </c>
      <c r="AH54" s="53">
        <v>803</v>
      </c>
      <c r="AI54">
        <f>september2025!AH54</f>
        <v>700.9</v>
      </c>
      <c r="AJ54">
        <f>Tabel24256789101112131415171618192120222326141518192021[[#This Row],[Stand Gekoeld liter einde maand]]-Tabel24256789101112131415171618192120222326141518192021[[#This Row],[Stand Gekoeld liter vorige maand]]</f>
        <v>102.10000000000002</v>
      </c>
      <c r="AK54" s="2">
        <f>Tabel24256789101112131415171618192120222326141518192021[[#This Row],[Verbruik Gekoeld liter deze maand]]/0.15</f>
        <v>680.66666666666686</v>
      </c>
      <c r="AL54" s="53">
        <v>727.3</v>
      </c>
      <c r="AM54">
        <f>september2025!AL54</f>
        <v>619.79999999999995</v>
      </c>
      <c r="AN54">
        <f>Tabel24256789101112131415171618192120222326141518192021[[#This Row],[Stand Bruisend liter einde maand]]-Tabel24256789101112131415171618192120222326141518192021[[#This Row],[Stand Bruisend liter vorige maand]]</f>
        <v>107.5</v>
      </c>
      <c r="AO54" s="2">
        <f>Tabel24256789101112131415171618192120222326141518192021[[#This Row],[Verbruik Bruisend liter deze maand]]/0.15</f>
        <v>716.66666666666674</v>
      </c>
      <c r="AP54" s="53">
        <v>154.19999999999999</v>
      </c>
      <c r="AQ54">
        <f>september2025!AP54</f>
        <v>116.6</v>
      </c>
      <c r="AR54">
        <f>Tabel24256789101112131415171618192120222326141518192021[[#This Row],[Stand licht bruisend liter einde maand]]-Tabel24256789101112131415171618192120222326141518192021[[#This Row],[Stand licht bruisend liter vorige maand]]</f>
        <v>37.599999999999994</v>
      </c>
      <c r="AS54" s="2">
        <f>Tabel24256789101112131415171618192120222326141518192021[[#This Row],[Verbruik licht bruisend liter deze maand]]/0.15</f>
        <v>250.66666666666663</v>
      </c>
      <c r="AT54" s="53">
        <v>1833.3</v>
      </c>
      <c r="AU54">
        <f>september2025!AT54</f>
        <v>1486.6</v>
      </c>
      <c r="AV54">
        <f>Tabel24256789101112131415171618192120222326141518192021[[#This Row],[Stand heet water liter einde maand]]-Tabel24256789101112131415171618192120222326141518192021[[#This Row],[Stand heet water liter vorige maand]]</f>
        <v>346.70000000000005</v>
      </c>
      <c r="AW54" s="2">
        <f>Tabel24256789101112131415171618192120222326141518192021[[#This Row],[Verbruik heet Water liter deze maand ]]/0.15</f>
        <v>2311.3333333333339</v>
      </c>
      <c r="AX54" s="77">
        <f>Tabel24256789101112131415171618192120222326141518192021[[#This Row],[Aantal consumpties heet water deze maand]]+Tabel24256789101112131415171618192120222326141518192021[[#This Row],[Aantal consumpties licht bruisend water deze maand]]+Tabel24256789101112131415171618192120222326141518192021[[#This Row],[aantal consumpties Bruisend water deze maand]]+Tabel24256789101112131415171618192120222326141518192021[[#This Row],[Aantal consumpties gekoeld water deze maand]]+Tabel24256789101112131415171618192120222326141518192021[[#This Row],[Aantal consumpties Kamertemp deze maand]]</f>
        <v>4138.0000000000009</v>
      </c>
      <c r="AY54" s="95">
        <f>Tabel24256789101112131415171618192120222326141518192021[[#This Row],[Subtotaal waterbar in consumpties]]+Tabel24256789101112131415171618192120222326141518192021[[#This Row],[Subtotaal koffieautomaten]]</f>
        <v>4834.0000000000009</v>
      </c>
    </row>
    <row r="55" spans="1:130" ht="14.45" customHeight="1" x14ac:dyDescent="0.25">
      <c r="A55" s="65" t="s">
        <v>48</v>
      </c>
      <c r="B55" t="s">
        <v>102</v>
      </c>
      <c r="C55" t="s">
        <v>31</v>
      </c>
      <c r="E55">
        <v>9800</v>
      </c>
      <c r="F55">
        <f>september2025!E55</f>
        <v>9449</v>
      </c>
      <c r="G55">
        <f>Tabel24256789101112131415171618192120222326141518192021[[#This Row],[Stand Coffee einde maand]]-Tabel24256789101112131415171618192120222326141518192021[[#This Row],[Coffee vorige maand]]</f>
        <v>351</v>
      </c>
      <c r="H55" s="53">
        <v>2394</v>
      </c>
      <c r="I55">
        <f>september2025!H55</f>
        <v>2362</v>
      </c>
      <c r="J55">
        <f>Tabel24256789101112131415171618192120222326141518192021[[#This Row],[Stand Espresso Einde maand]]-Tabel24256789101112131415171618192120222326141518192021[[#This Row],[Espresso vorige maand]]</f>
        <v>32</v>
      </c>
      <c r="K55" s="53">
        <v>993</v>
      </c>
      <c r="L55">
        <f>september2025!K55</f>
        <v>966</v>
      </c>
      <c r="M55">
        <f>Tabel24256789101112131415171618192120222326141518192021[[#This Row],[Stand Latte Macchiato einde maand]]-Tabel24256789101112131415171618192120222326141518192021[[#This Row],[Latte Macchiato vorige maand]]</f>
        <v>27</v>
      </c>
      <c r="N55" s="53">
        <v>560</v>
      </c>
      <c r="O55">
        <f>september2025!N55</f>
        <v>521</v>
      </c>
      <c r="P55">
        <f>Tabel24256789101112131415171618192120222326141518192021[[#This Row],[Stand Coffee Latte einde maand]]-Tabel24256789101112131415171618192120222326141518192021[[#This Row],[Coffee Latte vorige maand]]</f>
        <v>39</v>
      </c>
      <c r="Q55" s="53">
        <v>24851</v>
      </c>
      <c r="R55">
        <f>september2025!Q55</f>
        <v>24175</v>
      </c>
      <c r="S55">
        <f>Tabel24256789101112131415171618192120222326141518192021[[#This Row],[Stand Hot Water einde maand]]-Tabel24256789101112131415171618192120222326141518192021[[#This Row],[Hot Water vorige maand]]</f>
        <v>676</v>
      </c>
      <c r="T55" s="53">
        <v>4370</v>
      </c>
      <c r="U55">
        <f>september2025!T55</f>
        <v>4259</v>
      </c>
      <c r="V55">
        <f>Tabel24256789101112131415171618192120222326141518192021[[#This Row],[Stand Cappucino einde maand]]-Tabel24256789101112131415171618192120222326141518192021[[#This Row],[Stand Cappucino vorige maand]]</f>
        <v>111</v>
      </c>
      <c r="W55" s="53">
        <v>1989</v>
      </c>
      <c r="X55">
        <f>september2025!W55</f>
        <v>1965</v>
      </c>
      <c r="Y55">
        <f>Tabel24256789101112131415171618192120222326141518192021[[#This Row],[Stand Cappucino Plantaardig einde maand]]-Tabel24256789101112131415171618192120222326141518192021[[#This Row],[Stand Cappucino Plantaardig vorige maand]]</f>
        <v>24</v>
      </c>
      <c r="Z55" s="53">
        <v>260</v>
      </c>
      <c r="AA55">
        <f>september2025!Z55</f>
        <v>254</v>
      </c>
      <c r="AB55">
        <f>Tabel24256789101112131415171618192120222326141518192021[[#This Row],[Stand Latte Macchiato Plantaardig einde maand]]-Tabel24256789101112131415171618192120222326141518192021[[#This Row],[Stand Latte Macchiato Plantaardig vorige maand]]</f>
        <v>6</v>
      </c>
      <c r="AC55" s="71">
        <f>Tabel24256789101112131415171618192120222326141518192021[[#This Row],[Verbruik Stand Latte Macchiato Plantaardig deze maand]]+Tabel24256789101112131415171618192120222326141518192021[[#This Row],[Verbruik  Cappucino Plantaardig deze maand]]+Tabel24256789101112131415171618192120222326141518192021[[#This Row],[Verbruik Cappucino deze maand]]+Tabel24256789101112131415171618192120222326141518192021[[#This Row],[Verbruik Hot Water deze maand]]+Tabel24256789101112131415171618192120222326141518192021[[#This Row],[Verbruik Coffee Latte deze maand]]+Tabel24256789101112131415171618192120222326141518192021[[#This Row],[Verbruik Latte Macchiato deze maand]]+Tabel24256789101112131415171618192120222326141518192021[[#This Row],[Verbruik Espresso deze maand]]+Tabel24256789101112131415171618192120222326141518192021[[#This Row],[Verbruik Coffee deze maand]]</f>
        <v>1266</v>
      </c>
      <c r="AD55" s="69"/>
      <c r="AE55" s="41"/>
      <c r="AF55" s="5"/>
      <c r="AG55" s="5"/>
      <c r="AH55" s="75"/>
      <c r="AI55" s="41"/>
      <c r="AJ55" s="5"/>
      <c r="AK55" s="5"/>
      <c r="AL55" s="75"/>
      <c r="AM55" s="41"/>
      <c r="AN55" s="5"/>
      <c r="AO55" s="5"/>
      <c r="AP55" s="75"/>
      <c r="AQ55" s="41"/>
      <c r="AR55" s="5"/>
      <c r="AS55" s="5"/>
      <c r="AT55" s="75"/>
      <c r="AU55" s="41"/>
      <c r="AV55" s="5"/>
      <c r="AW55" s="5"/>
      <c r="AX55" s="79"/>
      <c r="AY55" s="95">
        <f>Tabel24256789101112131415171618192120222326141518192021[[#This Row],[Subtotaal waterbar in consumpties]]+Tabel24256789101112131415171618192120222326141518192021[[#This Row],[Subtotaal koffieautomaten]]</f>
        <v>1266</v>
      </c>
    </row>
    <row r="56" spans="1:130" ht="14.45" customHeight="1" x14ac:dyDescent="0.25">
      <c r="A56" s="65" t="s">
        <v>50</v>
      </c>
      <c r="B56" t="s">
        <v>103</v>
      </c>
      <c r="C56" t="s">
        <v>47</v>
      </c>
      <c r="E56">
        <v>9920</v>
      </c>
      <c r="F56">
        <f>september2025!E56</f>
        <v>9680</v>
      </c>
      <c r="G56">
        <f>Tabel24256789101112131415171618192120222326141518192021[[#This Row],[Stand Coffee einde maand]]-Tabel24256789101112131415171618192120222326141518192021[[#This Row],[Coffee vorige maand]]</f>
        <v>240</v>
      </c>
      <c r="H56" s="53">
        <v>4328</v>
      </c>
      <c r="I56">
        <f>september2025!H56</f>
        <v>4233</v>
      </c>
      <c r="J56">
        <f>Tabel24256789101112131415171618192120222326141518192021[[#This Row],[Stand Espresso Einde maand]]-Tabel24256789101112131415171618192120222326141518192021[[#This Row],[Espresso vorige maand]]</f>
        <v>95</v>
      </c>
      <c r="K56" s="53">
        <v>345</v>
      </c>
      <c r="L56">
        <f>september2025!K56</f>
        <v>337</v>
      </c>
      <c r="M56">
        <f>Tabel24256789101112131415171618192120222326141518192021[[#This Row],[Stand Latte Macchiato einde maand]]-Tabel24256789101112131415171618192120222326141518192021[[#This Row],[Latte Macchiato vorige maand]]</f>
        <v>8</v>
      </c>
      <c r="N56" s="53">
        <v>138</v>
      </c>
      <c r="O56">
        <f>september2025!N56</f>
        <v>135</v>
      </c>
      <c r="P56">
        <f>Tabel24256789101112131415171618192120222326141518192021[[#This Row],[Stand Coffee Latte einde maand]]-Tabel24256789101112131415171618192120222326141518192021[[#This Row],[Coffee Latte vorige maand]]</f>
        <v>3</v>
      </c>
      <c r="Q56" s="53">
        <v>1</v>
      </c>
      <c r="R56">
        <f>september2025!Q56</f>
        <v>1</v>
      </c>
      <c r="S56">
        <f>Tabel24256789101112131415171618192120222326141518192021[[#This Row],[Stand Hot Water einde maand]]-Tabel24256789101112131415171618192120222326141518192021[[#This Row],[Hot Water vorige maand]]</f>
        <v>0</v>
      </c>
      <c r="T56" s="53">
        <v>7729</v>
      </c>
      <c r="U56">
        <f>september2025!T56</f>
        <v>7452</v>
      </c>
      <c r="V56">
        <f>Tabel24256789101112131415171618192120222326141518192021[[#This Row],[Stand Cappucino einde maand]]-Tabel24256789101112131415171618192120222326141518192021[[#This Row],[Stand Cappucino vorige maand]]</f>
        <v>277</v>
      </c>
      <c r="W56" s="53">
        <v>730</v>
      </c>
      <c r="X56">
        <f>september2025!W56</f>
        <v>689</v>
      </c>
      <c r="Y56">
        <f>Tabel24256789101112131415171618192120222326141518192021[[#This Row],[Stand Cappucino Plantaardig einde maand]]-Tabel24256789101112131415171618192120222326141518192021[[#This Row],[Stand Cappucino Plantaardig vorige maand]]</f>
        <v>41</v>
      </c>
      <c r="Z56" s="53">
        <v>132</v>
      </c>
      <c r="AA56">
        <f>september2025!Z56</f>
        <v>132</v>
      </c>
      <c r="AB56">
        <f>Tabel24256789101112131415171618192120222326141518192021[[#This Row],[Stand Latte Macchiato Plantaardig einde maand]]-Tabel24256789101112131415171618192120222326141518192021[[#This Row],[Stand Latte Macchiato Plantaardig vorige maand]]</f>
        <v>0</v>
      </c>
      <c r="AC56" s="71">
        <f>Tabel24256789101112131415171618192120222326141518192021[[#This Row],[Verbruik Stand Latte Macchiato Plantaardig deze maand]]+Tabel24256789101112131415171618192120222326141518192021[[#This Row],[Verbruik  Cappucino Plantaardig deze maand]]+Tabel24256789101112131415171618192120222326141518192021[[#This Row],[Verbruik Cappucino deze maand]]+Tabel24256789101112131415171618192120222326141518192021[[#This Row],[Verbruik Hot Water deze maand]]+Tabel24256789101112131415171618192120222326141518192021[[#This Row],[Verbruik Coffee Latte deze maand]]+Tabel24256789101112131415171618192120222326141518192021[[#This Row],[Verbruik Latte Macchiato deze maand]]+Tabel24256789101112131415171618192120222326141518192021[[#This Row],[Verbruik Espresso deze maand]]+Tabel24256789101112131415171618192120222326141518192021[[#This Row],[Verbruik Coffee deze maand]]</f>
        <v>664</v>
      </c>
      <c r="AD56" s="53">
        <v>154.30000000000001</v>
      </c>
      <c r="AE56">
        <f>september2025!AD56</f>
        <v>139.5</v>
      </c>
      <c r="AF56">
        <f>Tabel24256789101112131415171618192120222326141518192021[[#This Row],[Stand Kamertemp liter einde maand]]-Tabel24256789101112131415171618192120222326141518192021[[#This Row],[Stand Kamertemp liter vorige maand]]</f>
        <v>14.800000000000011</v>
      </c>
      <c r="AG56" s="2">
        <f>Tabel24256789101112131415171618192120222326141518192021[[#This Row],[Verbruik Kamertemp liter deze maand]]/0.15</f>
        <v>98.666666666666742</v>
      </c>
      <c r="AH56" s="53">
        <v>871.5</v>
      </c>
      <c r="AI56">
        <f>september2025!AH56</f>
        <v>774.7</v>
      </c>
      <c r="AJ56">
        <f>Tabel24256789101112131415171618192120222326141518192021[[#This Row],[Stand Gekoeld liter einde maand]]-Tabel24256789101112131415171618192120222326141518192021[[#This Row],[Stand Gekoeld liter vorige maand]]</f>
        <v>96.799999999999955</v>
      </c>
      <c r="AK56" s="2">
        <f>Tabel24256789101112131415171618192120222326141518192021[[#This Row],[Verbruik Gekoeld liter deze maand]]/0.15</f>
        <v>645.33333333333303</v>
      </c>
      <c r="AL56" s="53">
        <v>961.5</v>
      </c>
      <c r="AM56">
        <f>september2025!AL56</f>
        <v>849.7</v>
      </c>
      <c r="AN56">
        <f>Tabel24256789101112131415171618192120222326141518192021[[#This Row],[Stand Bruisend liter einde maand]]-Tabel24256789101112131415171618192120222326141518192021[[#This Row],[Stand Bruisend liter vorige maand]]</f>
        <v>111.79999999999995</v>
      </c>
      <c r="AO56" s="2">
        <f>Tabel24256789101112131415171618192120222326141518192021[[#This Row],[Verbruik Bruisend liter deze maand]]/0.15</f>
        <v>745.33333333333303</v>
      </c>
      <c r="AP56" s="53">
        <v>330.2</v>
      </c>
      <c r="AQ56">
        <f>september2025!AP56</f>
        <v>305.7</v>
      </c>
      <c r="AR56">
        <f>Tabel24256789101112131415171618192120222326141518192021[[#This Row],[Stand licht bruisend liter einde maand]]-Tabel24256789101112131415171618192120222326141518192021[[#This Row],[Stand licht bruisend liter vorige maand]]</f>
        <v>24.5</v>
      </c>
      <c r="AS56" s="2">
        <f>Tabel24256789101112131415171618192120222326141518192021[[#This Row],[Verbruik licht bruisend liter deze maand]]/0.15</f>
        <v>163.33333333333334</v>
      </c>
      <c r="AT56" s="53">
        <v>2869.8</v>
      </c>
      <c r="AU56">
        <f>september2025!AT56</f>
        <v>2527.6</v>
      </c>
      <c r="AV56">
        <f>Tabel24256789101112131415171618192120222326141518192021[[#This Row],[Stand heet water liter einde maand]]-Tabel24256789101112131415171618192120222326141518192021[[#This Row],[Stand heet water liter vorige maand]]</f>
        <v>342.20000000000027</v>
      </c>
      <c r="AW56" s="2">
        <f>Tabel24256789101112131415171618192120222326141518192021[[#This Row],[Verbruik heet Water liter deze maand ]]/0.15</f>
        <v>2281.3333333333353</v>
      </c>
      <c r="AX56" s="77">
        <f>Tabel24256789101112131415171618192120222326141518192021[[#This Row],[Aantal consumpties heet water deze maand]]+Tabel24256789101112131415171618192120222326141518192021[[#This Row],[Aantal consumpties licht bruisend water deze maand]]+Tabel24256789101112131415171618192120222326141518192021[[#This Row],[aantal consumpties Bruisend water deze maand]]+Tabel24256789101112131415171618192120222326141518192021[[#This Row],[Aantal consumpties gekoeld water deze maand]]+Tabel24256789101112131415171618192120222326141518192021[[#This Row],[Aantal consumpties Kamertemp deze maand]]</f>
        <v>3934.0000000000018</v>
      </c>
      <c r="AY56" s="95">
        <f>Tabel24256789101112131415171618192120222326141518192021[[#This Row],[Subtotaal waterbar in consumpties]]+Tabel24256789101112131415171618192120222326141518192021[[#This Row],[Subtotaal koffieautomaten]]</f>
        <v>4598.0000000000018</v>
      </c>
    </row>
    <row r="57" spans="1:130" ht="14.45" customHeight="1" x14ac:dyDescent="0.25">
      <c r="A57" s="65" t="s">
        <v>52</v>
      </c>
      <c r="B57" t="s">
        <v>104</v>
      </c>
      <c r="C57" t="s">
        <v>47</v>
      </c>
      <c r="E57">
        <v>5335</v>
      </c>
      <c r="F57">
        <f>september2025!E57</f>
        <v>5132</v>
      </c>
      <c r="G57">
        <f>Tabel24256789101112131415171618192120222326141518192021[[#This Row],[Stand Coffee einde maand]]-Tabel24256789101112131415171618192120222326141518192021[[#This Row],[Coffee vorige maand]]</f>
        <v>203</v>
      </c>
      <c r="H57" s="53">
        <v>902</v>
      </c>
      <c r="I57">
        <f>september2025!H57</f>
        <v>853</v>
      </c>
      <c r="J57">
        <f>Tabel24256789101112131415171618192120222326141518192021[[#This Row],[Stand Espresso Einde maand]]-Tabel24256789101112131415171618192120222326141518192021[[#This Row],[Espresso vorige maand]]</f>
        <v>49</v>
      </c>
      <c r="K57" s="53">
        <v>485</v>
      </c>
      <c r="L57">
        <f>september2025!K57</f>
        <v>459</v>
      </c>
      <c r="M57">
        <f>Tabel24256789101112131415171618192120222326141518192021[[#This Row],[Stand Latte Macchiato einde maand]]-Tabel24256789101112131415171618192120222326141518192021[[#This Row],[Latte Macchiato vorige maand]]</f>
        <v>26</v>
      </c>
      <c r="N57" s="53">
        <v>1253</v>
      </c>
      <c r="O57">
        <f>september2025!N57</f>
        <v>1163</v>
      </c>
      <c r="P57">
        <f>Tabel24256789101112131415171618192120222326141518192021[[#This Row],[Stand Coffee Latte einde maand]]-Tabel24256789101112131415171618192120222326141518192021[[#This Row],[Coffee Latte vorige maand]]</f>
        <v>90</v>
      </c>
      <c r="Q57" s="53">
        <v>929</v>
      </c>
      <c r="R57">
        <f>september2025!Q57</f>
        <v>913</v>
      </c>
      <c r="S57">
        <f>Tabel24256789101112131415171618192120222326141518192021[[#This Row],[Stand Hot Water einde maand]]-Tabel24256789101112131415171618192120222326141518192021[[#This Row],[Hot Water vorige maand]]</f>
        <v>16</v>
      </c>
      <c r="T57" s="53">
        <v>5435</v>
      </c>
      <c r="U57">
        <f>september2025!T57</f>
        <v>5195</v>
      </c>
      <c r="V57">
        <f>Tabel24256789101112131415171618192120222326141518192021[[#This Row],[Stand Cappucino einde maand]]-Tabel24256789101112131415171618192120222326141518192021[[#This Row],[Stand Cappucino vorige maand]]</f>
        <v>240</v>
      </c>
      <c r="W57" s="53">
        <v>928</v>
      </c>
      <c r="X57">
        <f>september2025!W57</f>
        <v>906</v>
      </c>
      <c r="Y57">
        <f>Tabel24256789101112131415171618192120222326141518192021[[#This Row],[Stand Cappucino Plantaardig einde maand]]-Tabel24256789101112131415171618192120222326141518192021[[#This Row],[Stand Cappucino Plantaardig vorige maand]]</f>
        <v>22</v>
      </c>
      <c r="Z57" s="53">
        <v>162</v>
      </c>
      <c r="AA57">
        <f>september2025!Z57</f>
        <v>151</v>
      </c>
      <c r="AB57">
        <f>Tabel24256789101112131415171618192120222326141518192021[[#This Row],[Stand Latte Macchiato Plantaardig einde maand]]-Tabel24256789101112131415171618192120222326141518192021[[#This Row],[Stand Latte Macchiato Plantaardig vorige maand]]</f>
        <v>11</v>
      </c>
      <c r="AC57" s="71">
        <f>Tabel24256789101112131415171618192120222326141518192021[[#This Row],[Verbruik Stand Latte Macchiato Plantaardig deze maand]]+Tabel24256789101112131415171618192120222326141518192021[[#This Row],[Verbruik  Cappucino Plantaardig deze maand]]+Tabel24256789101112131415171618192120222326141518192021[[#This Row],[Verbruik Cappucino deze maand]]+Tabel24256789101112131415171618192120222326141518192021[[#This Row],[Verbruik Hot Water deze maand]]+Tabel24256789101112131415171618192120222326141518192021[[#This Row],[Verbruik Coffee Latte deze maand]]+Tabel24256789101112131415171618192120222326141518192021[[#This Row],[Verbruik Latte Macchiato deze maand]]+Tabel24256789101112131415171618192120222326141518192021[[#This Row],[Verbruik Espresso deze maand]]+Tabel24256789101112131415171618192120222326141518192021[[#This Row],[Verbruik Coffee deze maand]]</f>
        <v>657</v>
      </c>
      <c r="AD57" s="53">
        <v>27.2</v>
      </c>
      <c r="AE57">
        <f>september2025!AD57</f>
        <v>15</v>
      </c>
      <c r="AF57">
        <f>Tabel24256789101112131415171618192120222326141518192021[[#This Row],[Stand Kamertemp liter einde maand]]-Tabel24256789101112131415171618192120222326141518192021[[#This Row],[Stand Kamertemp liter vorige maand]]</f>
        <v>12.2</v>
      </c>
      <c r="AG57" s="2">
        <f>Tabel24256789101112131415171618192120222326141518192021[[#This Row],[Verbruik Kamertemp liter deze maand]]/0.15</f>
        <v>81.333333333333329</v>
      </c>
      <c r="AH57" s="53">
        <v>359.4</v>
      </c>
      <c r="AI57">
        <f>september2025!AH57</f>
        <v>275.5</v>
      </c>
      <c r="AJ57">
        <f>Tabel24256789101112131415171618192120222326141518192021[[#This Row],[Stand Gekoeld liter einde maand]]-Tabel24256789101112131415171618192120222326141518192021[[#This Row],[Stand Gekoeld liter vorige maand]]</f>
        <v>83.899999999999977</v>
      </c>
      <c r="AK57" s="2">
        <f>Tabel24256789101112131415171618192120222326141518192021[[#This Row],[Verbruik Gekoeld liter deze maand]]/0.15</f>
        <v>559.33333333333326</v>
      </c>
      <c r="AL57" s="53">
        <v>155.30000000000001</v>
      </c>
      <c r="AM57">
        <f>september2025!AL57</f>
        <v>113.1</v>
      </c>
      <c r="AN57">
        <f>Tabel24256789101112131415171618192120222326141518192021[[#This Row],[Stand Bruisend liter einde maand]]-Tabel24256789101112131415171618192120222326141518192021[[#This Row],[Stand Bruisend liter vorige maand]]</f>
        <v>42.200000000000017</v>
      </c>
      <c r="AO57" s="2">
        <f>Tabel24256789101112131415171618192120222326141518192021[[#This Row],[Verbruik Bruisend liter deze maand]]/0.15</f>
        <v>281.33333333333348</v>
      </c>
      <c r="AP57" s="53">
        <v>48</v>
      </c>
      <c r="AQ57">
        <f>september2025!AP57</f>
        <v>39.9</v>
      </c>
      <c r="AR57">
        <f>Tabel24256789101112131415171618192120222326141518192021[[#This Row],[Stand licht bruisend liter einde maand]]-Tabel24256789101112131415171618192120222326141518192021[[#This Row],[Stand licht bruisend liter vorige maand]]</f>
        <v>8.1000000000000014</v>
      </c>
      <c r="AS57" s="2">
        <f>Tabel24256789101112131415171618192120222326141518192021[[#This Row],[Verbruik licht bruisend liter deze maand]]/0.15</f>
        <v>54.000000000000014</v>
      </c>
      <c r="AT57" s="53">
        <v>898.4</v>
      </c>
      <c r="AU57">
        <f>september2025!AT57</f>
        <v>609.29999999999995</v>
      </c>
      <c r="AV57">
        <f>Tabel24256789101112131415171618192120222326141518192021[[#This Row],[Stand heet water liter einde maand]]-Tabel24256789101112131415171618192120222326141518192021[[#This Row],[Stand heet water liter vorige maand]]</f>
        <v>289.10000000000002</v>
      </c>
      <c r="AW57" s="2">
        <f>Tabel24256789101112131415171618192120222326141518192021[[#This Row],[Verbruik heet Water liter deze maand ]]/0.15</f>
        <v>1927.3333333333335</v>
      </c>
      <c r="AX57" s="77">
        <f>Tabel24256789101112131415171618192120222326141518192021[[#This Row],[Aantal consumpties heet water deze maand]]+Tabel24256789101112131415171618192120222326141518192021[[#This Row],[Aantal consumpties licht bruisend water deze maand]]+Tabel24256789101112131415171618192120222326141518192021[[#This Row],[aantal consumpties Bruisend water deze maand]]+Tabel24256789101112131415171618192120222326141518192021[[#This Row],[Aantal consumpties gekoeld water deze maand]]+Tabel24256789101112131415171618192120222326141518192021[[#This Row],[Aantal consumpties Kamertemp deze maand]]</f>
        <v>2903.3333333333335</v>
      </c>
      <c r="AY57" s="95">
        <f>Tabel24256789101112131415171618192120222326141518192021[[#This Row],[Subtotaal waterbar in consumpties]]+Tabel24256789101112131415171618192120222326141518192021[[#This Row],[Subtotaal koffieautomaten]]</f>
        <v>3560.3333333333335</v>
      </c>
    </row>
    <row r="58" spans="1:130" ht="14.45" customHeight="1" x14ac:dyDescent="0.25">
      <c r="A58" s="65" t="s">
        <v>54</v>
      </c>
      <c r="B58" t="s">
        <v>105</v>
      </c>
      <c r="C58" t="s">
        <v>31</v>
      </c>
      <c r="E58">
        <v>8784</v>
      </c>
      <c r="F58">
        <f>september2025!E58</f>
        <v>8589</v>
      </c>
      <c r="G58">
        <f>Tabel24256789101112131415171618192120222326141518192021[[#This Row],[Stand Coffee einde maand]]-Tabel24256789101112131415171618192120222326141518192021[[#This Row],[Coffee vorige maand]]</f>
        <v>195</v>
      </c>
      <c r="H58" s="53">
        <v>4163</v>
      </c>
      <c r="I58">
        <f>september2025!H58</f>
        <v>3984</v>
      </c>
      <c r="J58">
        <f>Tabel24256789101112131415171618192120222326141518192021[[#This Row],[Stand Espresso Einde maand]]-Tabel24256789101112131415171618192120222326141518192021[[#This Row],[Espresso vorige maand]]</f>
        <v>179</v>
      </c>
      <c r="K58" s="53">
        <v>3526</v>
      </c>
      <c r="L58">
        <f>september2025!K58</f>
        <v>3466</v>
      </c>
      <c r="M58">
        <f>Tabel24256789101112131415171618192120222326141518192021[[#This Row],[Stand Latte Macchiato einde maand]]-Tabel24256789101112131415171618192120222326141518192021[[#This Row],[Latte Macchiato vorige maand]]</f>
        <v>60</v>
      </c>
      <c r="N58" s="53">
        <v>1163</v>
      </c>
      <c r="O58">
        <f>september2025!N58</f>
        <v>1111</v>
      </c>
      <c r="P58">
        <f>Tabel24256789101112131415171618192120222326141518192021[[#This Row],[Stand Coffee Latte einde maand]]-Tabel24256789101112131415171618192120222326141518192021[[#This Row],[Coffee Latte vorige maand]]</f>
        <v>52</v>
      </c>
      <c r="Q58" s="53">
        <v>37949</v>
      </c>
      <c r="R58">
        <f>september2025!Q58</f>
        <v>36938</v>
      </c>
      <c r="S58">
        <f>Tabel24256789101112131415171618192120222326141518192021[[#This Row],[Stand Hot Water einde maand]]-Tabel24256789101112131415171618192120222326141518192021[[#This Row],[Hot Water vorige maand]]</f>
        <v>1011</v>
      </c>
      <c r="T58" s="53">
        <v>7205</v>
      </c>
      <c r="U58">
        <f>september2025!T58</f>
        <v>6989</v>
      </c>
      <c r="V58">
        <f>Tabel24256789101112131415171618192120222326141518192021[[#This Row],[Stand Cappucino einde maand]]-Tabel24256789101112131415171618192120222326141518192021[[#This Row],[Stand Cappucino vorige maand]]</f>
        <v>216</v>
      </c>
      <c r="W58" s="53">
        <v>1154</v>
      </c>
      <c r="X58">
        <f>september2025!W58</f>
        <v>1133</v>
      </c>
      <c r="Y58">
        <f>Tabel24256789101112131415171618192120222326141518192021[[#This Row],[Stand Cappucino Plantaardig einde maand]]-Tabel24256789101112131415171618192120222326141518192021[[#This Row],[Stand Cappucino Plantaardig vorige maand]]</f>
        <v>21</v>
      </c>
      <c r="Z58" s="53">
        <v>298</v>
      </c>
      <c r="AA58">
        <f>september2025!Z58</f>
        <v>285</v>
      </c>
      <c r="AB58">
        <f>Tabel24256789101112131415171618192120222326141518192021[[#This Row],[Stand Latte Macchiato Plantaardig einde maand]]-Tabel24256789101112131415171618192120222326141518192021[[#This Row],[Stand Latte Macchiato Plantaardig vorige maand]]</f>
        <v>13</v>
      </c>
      <c r="AC58" s="71">
        <f>Tabel24256789101112131415171618192120222326141518192021[[#This Row],[Verbruik Stand Latte Macchiato Plantaardig deze maand]]+Tabel24256789101112131415171618192120222326141518192021[[#This Row],[Verbruik  Cappucino Plantaardig deze maand]]+Tabel24256789101112131415171618192120222326141518192021[[#This Row],[Verbruik Cappucino deze maand]]+Tabel24256789101112131415171618192120222326141518192021[[#This Row],[Verbruik Hot Water deze maand]]+Tabel24256789101112131415171618192120222326141518192021[[#This Row],[Verbruik Coffee Latte deze maand]]+Tabel24256789101112131415171618192120222326141518192021[[#This Row],[Verbruik Latte Macchiato deze maand]]+Tabel24256789101112131415171618192120222326141518192021[[#This Row],[Verbruik Espresso deze maand]]+Tabel24256789101112131415171618192120222326141518192021[[#This Row],[Verbruik Coffee deze maand]]</f>
        <v>1747</v>
      </c>
      <c r="AD58" s="69"/>
      <c r="AE58" s="41"/>
      <c r="AF58" s="5"/>
      <c r="AG58" s="5"/>
      <c r="AH58" s="75"/>
      <c r="AI58" s="41"/>
      <c r="AJ58" s="5"/>
      <c r="AK58" s="5"/>
      <c r="AL58" s="75"/>
      <c r="AM58" s="41"/>
      <c r="AN58" s="5"/>
      <c r="AO58" s="5"/>
      <c r="AP58" s="75"/>
      <c r="AQ58" s="41"/>
      <c r="AR58" s="5"/>
      <c r="AS58" s="5"/>
      <c r="AT58" s="75"/>
      <c r="AU58" s="41"/>
      <c r="AV58" s="5"/>
      <c r="AW58" s="5"/>
      <c r="AX58" s="79"/>
      <c r="AY58" s="95">
        <f>Tabel24256789101112131415171618192120222326141518192021[[#This Row],[Subtotaal waterbar in consumpties]]+Tabel24256789101112131415171618192120222326141518192021[[#This Row],[Subtotaal koffieautomaten]]</f>
        <v>1747</v>
      </c>
    </row>
    <row r="59" spans="1:130" ht="14.45" customHeight="1" x14ac:dyDescent="0.25">
      <c r="A59" s="65" t="s">
        <v>56</v>
      </c>
      <c r="B59" t="s">
        <v>106</v>
      </c>
      <c r="C59" t="s">
        <v>47</v>
      </c>
      <c r="E59">
        <v>14104</v>
      </c>
      <c r="F59">
        <f>september2025!E59</f>
        <v>13616</v>
      </c>
      <c r="G59">
        <f>Tabel24256789101112131415171618192120222326141518192021[[#This Row],[Stand Coffee einde maand]]-Tabel24256789101112131415171618192120222326141518192021[[#This Row],[Coffee vorige maand]]</f>
        <v>488</v>
      </c>
      <c r="H59" s="53">
        <v>4287</v>
      </c>
      <c r="I59">
        <f>september2025!H59</f>
        <v>4068</v>
      </c>
      <c r="J59">
        <f>Tabel24256789101112131415171618192120222326141518192021[[#This Row],[Stand Espresso Einde maand]]-Tabel24256789101112131415171618192120222326141518192021[[#This Row],[Espresso vorige maand]]</f>
        <v>219</v>
      </c>
      <c r="K59" s="53">
        <v>3817</v>
      </c>
      <c r="L59">
        <f>september2025!K59</f>
        <v>3699</v>
      </c>
      <c r="M59">
        <f>Tabel24256789101112131415171618192120222326141518192021[[#This Row],[Stand Latte Macchiato einde maand]]-Tabel24256789101112131415171618192120222326141518192021[[#This Row],[Latte Macchiato vorige maand]]</f>
        <v>118</v>
      </c>
      <c r="N59" s="53">
        <v>460</v>
      </c>
      <c r="O59">
        <f>september2025!N59</f>
        <v>428</v>
      </c>
      <c r="P59">
        <f>Tabel24256789101112131415171618192120222326141518192021[[#This Row],[Stand Coffee Latte einde maand]]-Tabel24256789101112131415171618192120222326141518192021[[#This Row],[Coffee Latte vorige maand]]</f>
        <v>32</v>
      </c>
      <c r="Q59" s="53">
        <v>1</v>
      </c>
      <c r="R59">
        <f>september2025!Q59</f>
        <v>1</v>
      </c>
      <c r="S59">
        <f>Tabel24256789101112131415171618192120222326141518192021[[#This Row],[Stand Hot Water einde maand]]-Tabel24256789101112131415171618192120222326141518192021[[#This Row],[Hot Water vorige maand]]</f>
        <v>0</v>
      </c>
      <c r="T59" s="53">
        <v>7377</v>
      </c>
      <c r="U59">
        <f>september2025!T59</f>
        <v>7216</v>
      </c>
      <c r="V59">
        <f>Tabel24256789101112131415171618192120222326141518192021[[#This Row],[Stand Cappucino einde maand]]-Tabel24256789101112131415171618192120222326141518192021[[#This Row],[Stand Cappucino vorige maand]]</f>
        <v>161</v>
      </c>
      <c r="W59" s="53">
        <v>1360</v>
      </c>
      <c r="X59">
        <f>september2025!W59</f>
        <v>1347</v>
      </c>
      <c r="Y59">
        <f>Tabel24256789101112131415171618192120222326141518192021[[#This Row],[Stand Cappucino Plantaardig einde maand]]-Tabel24256789101112131415171618192120222326141518192021[[#This Row],[Stand Cappucino Plantaardig vorige maand]]</f>
        <v>13</v>
      </c>
      <c r="Z59" s="53">
        <v>199</v>
      </c>
      <c r="AA59">
        <f>september2025!Z59</f>
        <v>193</v>
      </c>
      <c r="AB59">
        <f>Tabel24256789101112131415171618192120222326141518192021[[#This Row],[Stand Latte Macchiato Plantaardig einde maand]]-Tabel24256789101112131415171618192120222326141518192021[[#This Row],[Stand Latte Macchiato Plantaardig vorige maand]]</f>
        <v>6</v>
      </c>
      <c r="AC59" s="71">
        <f>Tabel24256789101112131415171618192120222326141518192021[[#This Row],[Verbruik Stand Latte Macchiato Plantaardig deze maand]]+Tabel24256789101112131415171618192120222326141518192021[[#This Row],[Verbruik  Cappucino Plantaardig deze maand]]+Tabel24256789101112131415171618192120222326141518192021[[#This Row],[Verbruik Cappucino deze maand]]+Tabel24256789101112131415171618192120222326141518192021[[#This Row],[Verbruik Hot Water deze maand]]+Tabel24256789101112131415171618192120222326141518192021[[#This Row],[Verbruik Coffee Latte deze maand]]+Tabel24256789101112131415171618192120222326141518192021[[#This Row],[Verbruik Latte Macchiato deze maand]]+Tabel24256789101112131415171618192120222326141518192021[[#This Row],[Verbruik Espresso deze maand]]+Tabel24256789101112131415171618192120222326141518192021[[#This Row],[Verbruik Coffee deze maand]]</f>
        <v>1037</v>
      </c>
      <c r="AD59" s="53">
        <v>9.9</v>
      </c>
      <c r="AE59">
        <f>september2025!AD59</f>
        <v>0.6</v>
      </c>
      <c r="AF59">
        <f>Tabel24256789101112131415171618192120222326141518192021[[#This Row],[Stand Kamertemp liter einde maand]]-Tabel24256789101112131415171618192120222326141518192021[[#This Row],[Stand Kamertemp liter vorige maand]]</f>
        <v>9.3000000000000007</v>
      </c>
      <c r="AG59" s="2">
        <f>Tabel24256789101112131415171618192120222326141518192021[[#This Row],[Verbruik Kamertemp liter deze maand]]/0.15</f>
        <v>62.000000000000007</v>
      </c>
      <c r="AH59" s="53">
        <v>148.4</v>
      </c>
      <c r="AI59">
        <f>september2025!AH59</f>
        <v>22.9</v>
      </c>
      <c r="AJ59">
        <f>Tabel24256789101112131415171618192120222326141518192021[[#This Row],[Stand Gekoeld liter einde maand]]-Tabel24256789101112131415171618192120222326141518192021[[#This Row],[Stand Gekoeld liter vorige maand]]</f>
        <v>125.5</v>
      </c>
      <c r="AK59" s="2">
        <f>Tabel24256789101112131415171618192120222326141518192021[[#This Row],[Verbruik Gekoeld liter deze maand]]/0.15</f>
        <v>836.66666666666674</v>
      </c>
      <c r="AL59" s="53">
        <v>90.4</v>
      </c>
      <c r="AM59">
        <f>september2025!AL59</f>
        <v>12.2</v>
      </c>
      <c r="AN59">
        <f>Tabel24256789101112131415171618192120222326141518192021[[#This Row],[Stand Bruisend liter einde maand]]-Tabel24256789101112131415171618192120222326141518192021[[#This Row],[Stand Bruisend liter vorige maand]]</f>
        <v>78.2</v>
      </c>
      <c r="AO59" s="2">
        <f>Tabel24256789101112131415171618192120222326141518192021[[#This Row],[Verbruik Bruisend liter deze maand]]/0.15</f>
        <v>521.33333333333337</v>
      </c>
      <c r="AP59" s="53">
        <v>28</v>
      </c>
      <c r="AQ59">
        <f>september2025!AP59</f>
        <v>3.1</v>
      </c>
      <c r="AR59">
        <f>Tabel24256789101112131415171618192120222326141518192021[[#This Row],[Stand licht bruisend liter einde maand]]-Tabel24256789101112131415171618192120222326141518192021[[#This Row],[Stand licht bruisend liter vorige maand]]</f>
        <v>24.9</v>
      </c>
      <c r="AS59" s="2">
        <f>Tabel24256789101112131415171618192120222326141518192021[[#This Row],[Verbruik licht bruisend liter deze maand]]/0.15</f>
        <v>166</v>
      </c>
      <c r="AT59" s="53">
        <v>208.7</v>
      </c>
      <c r="AU59">
        <f>september2025!AT59</f>
        <v>31.6</v>
      </c>
      <c r="AV59">
        <f>Tabel24256789101112131415171618192120222326141518192021[[#This Row],[Stand heet water liter einde maand]]-Tabel24256789101112131415171618192120222326141518192021[[#This Row],[Stand heet water liter vorige maand]]</f>
        <v>177.1</v>
      </c>
      <c r="AW59" s="2">
        <f>Tabel24256789101112131415171618192120222326141518192021[[#This Row],[Verbruik heet Water liter deze maand ]]/0.15</f>
        <v>1180.6666666666667</v>
      </c>
      <c r="AX59" s="77">
        <f>Tabel24256789101112131415171618192120222326141518192021[[#This Row],[Aantal consumpties heet water deze maand]]+Tabel24256789101112131415171618192120222326141518192021[[#This Row],[Aantal consumpties licht bruisend water deze maand]]+Tabel24256789101112131415171618192120222326141518192021[[#This Row],[aantal consumpties Bruisend water deze maand]]+Tabel24256789101112131415171618192120222326141518192021[[#This Row],[Aantal consumpties gekoeld water deze maand]]+Tabel24256789101112131415171618192120222326141518192021[[#This Row],[Aantal consumpties Kamertemp deze maand]]</f>
        <v>2766.666666666667</v>
      </c>
      <c r="AY59" s="95">
        <f>Tabel24256789101112131415171618192120222326141518192021[[#This Row],[Subtotaal waterbar in consumpties]]+Tabel24256789101112131415171618192120222326141518192021[[#This Row],[Subtotaal koffieautomaten]]</f>
        <v>3803.666666666667</v>
      </c>
    </row>
    <row r="60" spans="1:130" ht="14.45" customHeight="1" x14ac:dyDescent="0.25">
      <c r="A60" s="65" t="s">
        <v>58</v>
      </c>
      <c r="B60" t="s">
        <v>107</v>
      </c>
      <c r="C60" t="s">
        <v>31</v>
      </c>
      <c r="E60">
        <v>15282</v>
      </c>
      <c r="F60">
        <f>september2025!E60</f>
        <v>14764</v>
      </c>
      <c r="G60">
        <f>Tabel24256789101112131415171618192120222326141518192021[[#This Row],[Stand Coffee einde maand]]-Tabel24256789101112131415171618192120222326141518192021[[#This Row],[Coffee vorige maand]]</f>
        <v>518</v>
      </c>
      <c r="H60" s="53">
        <v>3107</v>
      </c>
      <c r="I60">
        <f>september2025!H60</f>
        <v>2925</v>
      </c>
      <c r="J60">
        <f>Tabel24256789101112131415171618192120222326141518192021[[#This Row],[Stand Espresso Einde maand]]-Tabel24256789101112131415171618192120222326141518192021[[#This Row],[Espresso vorige maand]]</f>
        <v>182</v>
      </c>
      <c r="K60" s="53">
        <v>2281</v>
      </c>
      <c r="L60">
        <f>september2025!K60</f>
        <v>2243</v>
      </c>
      <c r="M60">
        <f>Tabel24256789101112131415171618192120222326141518192021[[#This Row],[Stand Latte Macchiato einde maand]]-Tabel24256789101112131415171618192120222326141518192021[[#This Row],[Latte Macchiato vorige maand]]</f>
        <v>38</v>
      </c>
      <c r="N60" s="53">
        <v>406</v>
      </c>
      <c r="O60">
        <f>september2025!N60</f>
        <v>392</v>
      </c>
      <c r="P60">
        <f>Tabel24256789101112131415171618192120222326141518192021[[#This Row],[Stand Coffee Latte einde maand]]-Tabel24256789101112131415171618192120222326141518192021[[#This Row],[Coffee Latte vorige maand]]</f>
        <v>14</v>
      </c>
      <c r="Q60" s="53">
        <v>28464</v>
      </c>
      <c r="R60">
        <f>september2025!Q60</f>
        <v>27641</v>
      </c>
      <c r="S60">
        <f>Tabel24256789101112131415171618192120222326141518192021[[#This Row],[Stand Hot Water einde maand]]-Tabel24256789101112131415171618192120222326141518192021[[#This Row],[Hot Water vorige maand]]</f>
        <v>823</v>
      </c>
      <c r="T60" s="53">
        <v>4043</v>
      </c>
      <c r="U60">
        <f>september2025!T60</f>
        <v>3937</v>
      </c>
      <c r="V60">
        <f>Tabel24256789101112131415171618192120222326141518192021[[#This Row],[Stand Cappucino einde maand]]-Tabel24256789101112131415171618192120222326141518192021[[#This Row],[Stand Cappucino vorige maand]]</f>
        <v>106</v>
      </c>
      <c r="W60" s="53">
        <v>2600</v>
      </c>
      <c r="X60">
        <f>september2025!W60</f>
        <v>2553</v>
      </c>
      <c r="Y60">
        <f>Tabel24256789101112131415171618192120222326141518192021[[#This Row],[Stand Cappucino Plantaardig einde maand]]-Tabel24256789101112131415171618192120222326141518192021[[#This Row],[Stand Cappucino Plantaardig vorige maand]]</f>
        <v>47</v>
      </c>
      <c r="Z60" s="53">
        <v>496</v>
      </c>
      <c r="AA60">
        <f>september2025!Z60</f>
        <v>491</v>
      </c>
      <c r="AB60">
        <f>Tabel24256789101112131415171618192120222326141518192021[[#This Row],[Stand Latte Macchiato Plantaardig einde maand]]-Tabel24256789101112131415171618192120222326141518192021[[#This Row],[Stand Latte Macchiato Plantaardig vorige maand]]</f>
        <v>5</v>
      </c>
      <c r="AC60" s="71">
        <f>Tabel24256789101112131415171618192120222326141518192021[[#This Row],[Verbruik Stand Latte Macchiato Plantaardig deze maand]]+Tabel24256789101112131415171618192120222326141518192021[[#This Row],[Verbruik  Cappucino Plantaardig deze maand]]+Tabel24256789101112131415171618192120222326141518192021[[#This Row],[Verbruik Cappucino deze maand]]+Tabel24256789101112131415171618192120222326141518192021[[#This Row],[Verbruik Hot Water deze maand]]+Tabel24256789101112131415171618192120222326141518192021[[#This Row],[Verbruik Coffee Latte deze maand]]+Tabel24256789101112131415171618192120222326141518192021[[#This Row],[Verbruik Latte Macchiato deze maand]]+Tabel24256789101112131415171618192120222326141518192021[[#This Row],[Verbruik Espresso deze maand]]+Tabel24256789101112131415171618192120222326141518192021[[#This Row],[Verbruik Coffee deze maand]]</f>
        <v>1733</v>
      </c>
      <c r="AD60" s="69"/>
      <c r="AE60" s="41"/>
      <c r="AF60" s="5"/>
      <c r="AG60" s="5"/>
      <c r="AH60" s="75"/>
      <c r="AI60" s="41"/>
      <c r="AJ60" s="5"/>
      <c r="AK60" s="5"/>
      <c r="AL60" s="75"/>
      <c r="AM60" s="41"/>
      <c r="AN60" s="5"/>
      <c r="AO60" s="5"/>
      <c r="AP60" s="75"/>
      <c r="AQ60" s="41"/>
      <c r="AR60" s="5"/>
      <c r="AS60" s="5"/>
      <c r="AT60" s="75"/>
      <c r="AU60" s="41"/>
      <c r="AV60" s="5"/>
      <c r="AW60" s="5"/>
      <c r="AX60" s="79"/>
      <c r="AY60" s="95">
        <f>Tabel24256789101112131415171618192120222326141518192021[[#This Row],[Subtotaal waterbar in consumpties]]+Tabel24256789101112131415171618192120222326141518192021[[#This Row],[Subtotaal koffieautomaten]]</f>
        <v>1733</v>
      </c>
    </row>
    <row r="61" spans="1:130" ht="14.45" customHeight="1" x14ac:dyDescent="0.25">
      <c r="A61" s="65" t="s">
        <v>60</v>
      </c>
      <c r="B61" t="s">
        <v>108</v>
      </c>
      <c r="C61" t="s">
        <v>36</v>
      </c>
      <c r="E61" s="46"/>
      <c r="F61" s="46"/>
      <c r="G61" s="47"/>
      <c r="H61" s="54"/>
      <c r="I61" s="46"/>
      <c r="J61" s="47"/>
      <c r="K61" s="54"/>
      <c r="L61" s="46"/>
      <c r="M61" s="47"/>
      <c r="N61" s="54"/>
      <c r="O61" s="46"/>
      <c r="P61" s="47"/>
      <c r="Q61" s="54"/>
      <c r="R61" s="46"/>
      <c r="S61" s="47"/>
      <c r="T61" s="54"/>
      <c r="U61" s="46"/>
      <c r="V61" s="47"/>
      <c r="W61" s="54"/>
      <c r="X61" s="46"/>
      <c r="Y61" s="47"/>
      <c r="Z61" s="54"/>
      <c r="AA61" s="46"/>
      <c r="AB61" s="47"/>
      <c r="AC61" s="72"/>
      <c r="AD61" s="53">
        <v>369.8</v>
      </c>
      <c r="AE61">
        <f>september2025!AD61</f>
        <v>361.9</v>
      </c>
      <c r="AF61">
        <f>Tabel24256789101112131415171618192120222326141518192021[[#This Row],[Stand Kamertemp liter einde maand]]-Tabel24256789101112131415171618192120222326141518192021[[#This Row],[Stand Kamertemp liter vorige maand]]</f>
        <v>7.9000000000000341</v>
      </c>
      <c r="AG61" s="2">
        <f>Tabel24256789101112131415171618192120222326141518192021[[#This Row],[Verbruik Kamertemp liter deze maand]]/0.15</f>
        <v>52.666666666666899</v>
      </c>
      <c r="AH61" s="53">
        <v>2090.5</v>
      </c>
      <c r="AI61">
        <f>september2025!AH61</f>
        <v>2002.5</v>
      </c>
      <c r="AJ61">
        <f>Tabel24256789101112131415171618192120222326141518192021[[#This Row],[Stand Gekoeld liter einde maand]]-Tabel24256789101112131415171618192120222326141518192021[[#This Row],[Stand Gekoeld liter vorige maand]]</f>
        <v>88</v>
      </c>
      <c r="AK61" s="2">
        <f>Tabel24256789101112131415171618192120222326141518192021[[#This Row],[Verbruik Gekoeld liter deze maand]]/0.15</f>
        <v>586.66666666666674</v>
      </c>
      <c r="AL61" s="53">
        <v>1051</v>
      </c>
      <c r="AM61">
        <f>september2025!AL61</f>
        <v>1000</v>
      </c>
      <c r="AN61">
        <f>Tabel24256789101112131415171618192120222326141518192021[[#This Row],[Stand Bruisend liter einde maand]]-Tabel24256789101112131415171618192120222326141518192021[[#This Row],[Stand Bruisend liter vorige maand]]</f>
        <v>51</v>
      </c>
      <c r="AO61" s="2">
        <f>Tabel24256789101112131415171618192120222326141518192021[[#This Row],[Verbruik Bruisend liter deze maand]]/0.15</f>
        <v>340</v>
      </c>
      <c r="AP61" s="53">
        <v>1426.6</v>
      </c>
      <c r="AQ61">
        <f>september2025!AP61</f>
        <v>1370.5</v>
      </c>
      <c r="AR61">
        <f>Tabel24256789101112131415171618192120222326141518192021[[#This Row],[Stand licht bruisend liter einde maand]]-Tabel24256789101112131415171618192120222326141518192021[[#This Row],[Stand licht bruisend liter vorige maand]]</f>
        <v>56.099999999999909</v>
      </c>
      <c r="AS61" s="2">
        <f>Tabel24256789101112131415171618192120222326141518192021[[#This Row],[Verbruik licht bruisend liter deze maand]]/0.15</f>
        <v>373.99999999999943</v>
      </c>
      <c r="AT61" s="53">
        <v>5049.6000000000004</v>
      </c>
      <c r="AU61">
        <f>september2025!AT61</f>
        <v>4848.6000000000004</v>
      </c>
      <c r="AV61">
        <f>Tabel24256789101112131415171618192120222326141518192021[[#This Row],[Stand heet water liter einde maand]]-Tabel24256789101112131415171618192120222326141518192021[[#This Row],[Stand heet water liter vorige maand]]</f>
        <v>201</v>
      </c>
      <c r="AW61" s="2">
        <f>Tabel24256789101112131415171618192120222326141518192021[[#This Row],[Verbruik heet Water liter deze maand ]]/0.15</f>
        <v>1340</v>
      </c>
      <c r="AX61" s="77">
        <f>Tabel24256789101112131415171618192120222326141518192021[[#This Row],[Aantal consumpties heet water deze maand]]+Tabel24256789101112131415171618192120222326141518192021[[#This Row],[Aantal consumpties licht bruisend water deze maand]]+Tabel24256789101112131415171618192120222326141518192021[[#This Row],[aantal consumpties Bruisend water deze maand]]+Tabel24256789101112131415171618192120222326141518192021[[#This Row],[Aantal consumpties gekoeld water deze maand]]+Tabel24256789101112131415171618192120222326141518192021[[#This Row],[Aantal consumpties Kamertemp deze maand]]</f>
        <v>2693.333333333333</v>
      </c>
      <c r="AY61" s="95">
        <f>Tabel24256789101112131415171618192120222326141518192021[[#This Row],[Subtotaal waterbar in consumpties]]+Tabel24256789101112131415171618192120222326141518192021[[#This Row],[Subtotaal koffieautomaten]]</f>
        <v>2693.333333333333</v>
      </c>
    </row>
    <row r="62" spans="1:130" s="81" customFormat="1" x14ac:dyDescent="0.25">
      <c r="A62" s="165" t="s">
        <v>109</v>
      </c>
      <c r="B62" s="151"/>
      <c r="C62" s="151"/>
      <c r="D62" s="166"/>
      <c r="E62" s="151"/>
      <c r="F62" s="151"/>
      <c r="G62" s="151"/>
      <c r="H62" s="167"/>
      <c r="I62" s="151"/>
      <c r="J62" s="151"/>
      <c r="K62" s="167"/>
      <c r="L62" s="151"/>
      <c r="M62" s="151"/>
      <c r="N62" s="167"/>
      <c r="O62" s="151"/>
      <c r="P62" s="151"/>
      <c r="Q62" s="167"/>
      <c r="R62" s="151"/>
      <c r="S62" s="151"/>
      <c r="T62" s="167"/>
      <c r="U62" s="151"/>
      <c r="V62" s="151"/>
      <c r="W62" s="167"/>
      <c r="X62" s="151"/>
      <c r="Y62" s="151"/>
      <c r="Z62" s="167"/>
      <c r="AA62" s="151"/>
      <c r="AB62" s="151"/>
      <c r="AC62" s="168"/>
      <c r="AD62" s="169"/>
      <c r="AE62" s="154"/>
      <c r="AF62" s="151"/>
      <c r="AG62" s="155"/>
      <c r="AH62" s="169"/>
      <c r="AI62" s="154"/>
      <c r="AJ62" s="151"/>
      <c r="AK62" s="155"/>
      <c r="AL62" s="169"/>
      <c r="AM62" s="154"/>
      <c r="AN62" s="151"/>
      <c r="AO62" s="155"/>
      <c r="AP62" s="169"/>
      <c r="AQ62" s="154"/>
      <c r="AR62" s="151"/>
      <c r="AS62" s="155"/>
      <c r="AT62" s="169"/>
      <c r="AU62" s="154"/>
      <c r="AV62" s="151"/>
      <c r="AW62" s="155"/>
      <c r="AX62" s="170"/>
      <c r="AY62" s="171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</row>
    <row r="63" spans="1:130" x14ac:dyDescent="0.25">
      <c r="A63" s="67">
        <v>1</v>
      </c>
      <c r="B63" t="s">
        <v>110</v>
      </c>
      <c r="C63" t="s">
        <v>31</v>
      </c>
      <c r="E63">
        <v>13308</v>
      </c>
      <c r="F63">
        <f>september2025!E63</f>
        <v>12779</v>
      </c>
      <c r="G63">
        <f>Tabel24256789101112131415171618192120222326141518192021[[#This Row],[Stand Coffee einde maand]]-Tabel24256789101112131415171618192120222326141518192021[[#This Row],[Coffee vorige maand]]</f>
        <v>529</v>
      </c>
      <c r="H63" s="53">
        <v>1756</v>
      </c>
      <c r="I63">
        <f>september2025!H63</f>
        <v>1708</v>
      </c>
      <c r="J63">
        <f>Tabel24256789101112131415171618192120222326141518192021[[#This Row],[Stand Espresso Einde maand]]-Tabel24256789101112131415171618192120222326141518192021[[#This Row],[Espresso vorige maand]]</f>
        <v>48</v>
      </c>
      <c r="K63" s="53">
        <v>1179</v>
      </c>
      <c r="L63">
        <f>september2025!K63</f>
        <v>1160</v>
      </c>
      <c r="M63">
        <f>Tabel24256789101112131415171618192120222326141518192021[[#This Row],[Stand Latte Macchiato einde maand]]-Tabel24256789101112131415171618192120222326141518192021[[#This Row],[Latte Macchiato vorige maand]]</f>
        <v>19</v>
      </c>
      <c r="N63" s="53">
        <v>542</v>
      </c>
      <c r="O63">
        <f>september2025!N63</f>
        <v>532</v>
      </c>
      <c r="P63">
        <f>Tabel24256789101112131415171618192120222326141518192021[[#This Row],[Stand Coffee Latte einde maand]]-Tabel24256789101112131415171618192120222326141518192021[[#This Row],[Coffee Latte vorige maand]]</f>
        <v>10</v>
      </c>
      <c r="Q63" s="53">
        <v>11613</v>
      </c>
      <c r="R63">
        <f>september2025!Q63</f>
        <v>11168</v>
      </c>
      <c r="S63">
        <f>Tabel24256789101112131415171618192120222326141518192021[[#This Row],[Stand Hot Water einde maand]]-Tabel24256789101112131415171618192120222326141518192021[[#This Row],[Hot Water vorige maand]]</f>
        <v>445</v>
      </c>
      <c r="T63" s="53">
        <v>4615</v>
      </c>
      <c r="U63">
        <f>september2025!T63</f>
        <v>4460</v>
      </c>
      <c r="V63">
        <f>Tabel24256789101112131415171618192120222326141518192021[[#This Row],[Stand Cappucino einde maand]]-Tabel24256789101112131415171618192120222326141518192021[[#This Row],[Stand Cappucino vorige maand]]</f>
        <v>155</v>
      </c>
      <c r="W63" s="53">
        <v>63</v>
      </c>
      <c r="X63">
        <f>september2025!W63</f>
        <v>62</v>
      </c>
      <c r="Y63">
        <f>Tabel24256789101112131415171618192120222326141518192021[[#This Row],[Stand Cappucino Plantaardig einde maand]]-Tabel24256789101112131415171618192120222326141518192021[[#This Row],[Stand Cappucino Plantaardig vorige maand]]</f>
        <v>1</v>
      </c>
      <c r="Z63" s="53">
        <v>256</v>
      </c>
      <c r="AA63">
        <f>september2025!Z63</f>
        <v>255</v>
      </c>
      <c r="AB63">
        <f>Tabel24256789101112131415171618192120222326141518192021[[#This Row],[Stand Latte Macchiato Plantaardig einde maand]]-Tabel24256789101112131415171618192120222326141518192021[[#This Row],[Stand Latte Macchiato Plantaardig vorige maand]]</f>
        <v>1</v>
      </c>
      <c r="AC63" s="71">
        <f>Tabel24256789101112131415171618192120222326141518192021[[#This Row],[Verbruik Stand Latte Macchiato Plantaardig deze maand]]+Tabel24256789101112131415171618192120222326141518192021[[#This Row],[Verbruik  Cappucino Plantaardig deze maand]]+Tabel24256789101112131415171618192120222326141518192021[[#This Row],[Verbruik Cappucino deze maand]]+Tabel24256789101112131415171618192120222326141518192021[[#This Row],[Verbruik Hot Water deze maand]]+Tabel24256789101112131415171618192120222326141518192021[[#This Row],[Verbruik Coffee Latte deze maand]]+Tabel24256789101112131415171618192120222326141518192021[[#This Row],[Verbruik Latte Macchiato deze maand]]+Tabel24256789101112131415171618192120222326141518192021[[#This Row],[Verbruik Espresso deze maand]]+Tabel24256789101112131415171618192120222326141518192021[[#This Row],[Verbruik Coffee deze maand]]</f>
        <v>1208</v>
      </c>
      <c r="AD63" s="69"/>
      <c r="AE63" s="41"/>
      <c r="AF63" s="5"/>
      <c r="AG63" s="5"/>
      <c r="AH63" s="69"/>
      <c r="AI63" s="41"/>
      <c r="AJ63" s="5"/>
      <c r="AK63" s="5"/>
      <c r="AL63" s="69"/>
      <c r="AM63" s="41"/>
      <c r="AN63" s="5"/>
      <c r="AO63" s="5"/>
      <c r="AP63" s="69"/>
      <c r="AQ63" s="41"/>
      <c r="AR63" s="5"/>
      <c r="AS63" s="5"/>
      <c r="AT63" s="69"/>
      <c r="AU63" s="41"/>
      <c r="AV63" s="5"/>
      <c r="AW63" s="7"/>
      <c r="AX63" s="78"/>
      <c r="AY63" s="95">
        <f>Tabel24256789101112131415171618192120222326141518192021[[#This Row],[Subtotaal waterbar in consumpties]]+Tabel24256789101112131415171618192120222326141518192021[[#This Row],[Subtotaal koffieautomaten]]</f>
        <v>1208</v>
      </c>
    </row>
    <row r="64" spans="1:130" x14ac:dyDescent="0.25">
      <c r="A64" s="67">
        <v>1</v>
      </c>
      <c r="B64" t="s">
        <v>111</v>
      </c>
      <c r="C64" t="s">
        <v>31</v>
      </c>
      <c r="E64">
        <v>13782</v>
      </c>
      <c r="F64">
        <f>september2025!E64</f>
        <v>13385</v>
      </c>
      <c r="G64">
        <f>Tabel24256789101112131415171618192120222326141518192021[[#This Row],[Stand Coffee einde maand]]-Tabel24256789101112131415171618192120222326141518192021[[#This Row],[Coffee vorige maand]]</f>
        <v>397</v>
      </c>
      <c r="H64" s="53">
        <v>751</v>
      </c>
      <c r="I64">
        <f>september2025!H64</f>
        <v>724</v>
      </c>
      <c r="J64">
        <f>Tabel24256789101112131415171618192120222326141518192021[[#This Row],[Stand Espresso Einde maand]]-Tabel24256789101112131415171618192120222326141518192021[[#This Row],[Espresso vorige maand]]</f>
        <v>27</v>
      </c>
      <c r="K64" s="53">
        <v>2330</v>
      </c>
      <c r="L64">
        <f>september2025!K64</f>
        <v>2295</v>
      </c>
      <c r="M64">
        <f>Tabel24256789101112131415171618192120222326141518192021[[#This Row],[Stand Latte Macchiato einde maand]]-Tabel24256789101112131415171618192120222326141518192021[[#This Row],[Latte Macchiato vorige maand]]</f>
        <v>35</v>
      </c>
      <c r="N64" s="53">
        <v>1347</v>
      </c>
      <c r="O64">
        <f>september2025!N64</f>
        <v>1341</v>
      </c>
      <c r="P64">
        <f>Tabel24256789101112131415171618192120222326141518192021[[#This Row],[Stand Coffee Latte einde maand]]-Tabel24256789101112131415171618192120222326141518192021[[#This Row],[Coffee Latte vorige maand]]</f>
        <v>6</v>
      </c>
      <c r="Q64" s="53">
        <v>11190</v>
      </c>
      <c r="R64">
        <f>september2025!Q64</f>
        <v>10930</v>
      </c>
      <c r="S64">
        <f>Tabel24256789101112131415171618192120222326141518192021[[#This Row],[Stand Hot Water einde maand]]-Tabel24256789101112131415171618192120222326141518192021[[#This Row],[Hot Water vorige maand]]</f>
        <v>260</v>
      </c>
      <c r="T64" s="53">
        <v>4233</v>
      </c>
      <c r="U64">
        <f>september2025!T64</f>
        <v>4072</v>
      </c>
      <c r="V64">
        <f>Tabel24256789101112131415171618192120222326141518192021[[#This Row],[Stand Cappucino einde maand]]-Tabel24256789101112131415171618192120222326141518192021[[#This Row],[Stand Cappucino vorige maand]]</f>
        <v>161</v>
      </c>
      <c r="W64" s="53">
        <v>299</v>
      </c>
      <c r="X64">
        <f>september2025!W64</f>
        <v>299</v>
      </c>
      <c r="Y64">
        <f>Tabel24256789101112131415171618192120222326141518192021[[#This Row],[Stand Cappucino Plantaardig einde maand]]-Tabel24256789101112131415171618192120222326141518192021[[#This Row],[Stand Cappucino Plantaardig vorige maand]]</f>
        <v>0</v>
      </c>
      <c r="Z64" s="53">
        <v>344</v>
      </c>
      <c r="AA64">
        <f>september2025!Z64</f>
        <v>344</v>
      </c>
      <c r="AB64">
        <f>Tabel24256789101112131415171618192120222326141518192021[[#This Row],[Stand Latte Macchiato Plantaardig einde maand]]-Tabel24256789101112131415171618192120222326141518192021[[#This Row],[Stand Latte Macchiato Plantaardig vorige maand]]</f>
        <v>0</v>
      </c>
      <c r="AC64" s="71">
        <f>Tabel24256789101112131415171618192120222326141518192021[[#This Row],[Verbruik Stand Latte Macchiato Plantaardig deze maand]]+Tabel24256789101112131415171618192120222326141518192021[[#This Row],[Verbruik  Cappucino Plantaardig deze maand]]+Tabel24256789101112131415171618192120222326141518192021[[#This Row],[Verbruik Cappucino deze maand]]+Tabel24256789101112131415171618192120222326141518192021[[#This Row],[Verbruik Hot Water deze maand]]+Tabel24256789101112131415171618192120222326141518192021[[#This Row],[Verbruik Coffee Latte deze maand]]+Tabel24256789101112131415171618192120222326141518192021[[#This Row],[Verbruik Latte Macchiato deze maand]]+Tabel24256789101112131415171618192120222326141518192021[[#This Row],[Verbruik Espresso deze maand]]+Tabel24256789101112131415171618192120222326141518192021[[#This Row],[Verbruik Coffee deze maand]]</f>
        <v>886</v>
      </c>
      <c r="AD64" s="69"/>
      <c r="AE64" s="41"/>
      <c r="AF64" s="5"/>
      <c r="AG64" s="5"/>
      <c r="AH64" s="69"/>
      <c r="AI64" s="41"/>
      <c r="AJ64" s="5"/>
      <c r="AK64" s="5"/>
      <c r="AL64" s="69"/>
      <c r="AM64" s="41"/>
      <c r="AN64" s="5"/>
      <c r="AO64" s="5"/>
      <c r="AP64" s="69"/>
      <c r="AQ64" s="41"/>
      <c r="AR64" s="5"/>
      <c r="AS64" s="5"/>
      <c r="AT64" s="69"/>
      <c r="AU64" s="41"/>
      <c r="AV64" s="5"/>
      <c r="AW64" s="7"/>
      <c r="AX64" s="78"/>
      <c r="AY64" s="95">
        <f>Tabel24256789101112131415171618192120222326141518192021[[#This Row],[Subtotaal waterbar in consumpties]]+Tabel24256789101112131415171618192120222326141518192021[[#This Row],[Subtotaal koffieautomaten]]</f>
        <v>886</v>
      </c>
    </row>
    <row r="65" spans="1:53" x14ac:dyDescent="0.25">
      <c r="A65" s="66" t="s">
        <v>112</v>
      </c>
      <c r="E65" s="3">
        <f>SUM(E5:E64)</f>
        <v>840802</v>
      </c>
      <c r="F65" s="3">
        <f>SUM(F5:F64)</f>
        <v>813038</v>
      </c>
      <c r="G65" s="3">
        <f>SUM(G4:G64)</f>
        <v>27764</v>
      </c>
      <c r="H65" s="55">
        <f>SUM(H5:H64)</f>
        <v>221838</v>
      </c>
      <c r="I65" s="3">
        <f>SUM(I5:I64)</f>
        <v>213397</v>
      </c>
      <c r="J65" s="3">
        <f>SUM(J4:J64)</f>
        <v>8441</v>
      </c>
      <c r="K65" s="55">
        <f>SUM(K5:K64)</f>
        <v>96433</v>
      </c>
      <c r="L65" s="3">
        <f>SUM(L5:L64)</f>
        <v>93816</v>
      </c>
      <c r="M65" s="3">
        <f>SUM(M4:M64)</f>
        <v>2617</v>
      </c>
      <c r="N65" s="55">
        <f>SUM(N5:N64)</f>
        <v>57870</v>
      </c>
      <c r="O65" s="3">
        <f>SUM(O5:O64)</f>
        <v>55980</v>
      </c>
      <c r="P65" s="3">
        <f>SUM(P4:P64)</f>
        <v>1890</v>
      </c>
      <c r="Q65" s="55">
        <f>SUM(Q5:Q64)</f>
        <v>1010273</v>
      </c>
      <c r="R65" s="3">
        <f>SUM(R5:R64)</f>
        <v>975105</v>
      </c>
      <c r="S65" s="3">
        <f>SUM(S4:S64)</f>
        <v>35168</v>
      </c>
      <c r="T65" s="55">
        <f>SUM(T5:T64)</f>
        <v>449031</v>
      </c>
      <c r="U65" s="3">
        <f>SUM(U5:U64)</f>
        <v>435955</v>
      </c>
      <c r="V65" s="3">
        <f>SUM(V4:V64)</f>
        <v>13076</v>
      </c>
      <c r="W65" s="55">
        <f>SUM(W5:W64)</f>
        <v>80423</v>
      </c>
      <c r="X65" s="3">
        <f>SUM(X5:X64)</f>
        <v>78290</v>
      </c>
      <c r="Y65" s="3">
        <f>SUM(Y4:Y64)</f>
        <v>2133</v>
      </c>
      <c r="Z65" s="55">
        <f>SUM(Z5:Z64)</f>
        <v>30124</v>
      </c>
      <c r="AA65" s="3">
        <f>SUM(AA5:AA64)</f>
        <v>29227</v>
      </c>
      <c r="AB65" s="3">
        <f t="shared" ref="AB65:AQ65" si="0">SUM(AB4:AB64)</f>
        <v>897</v>
      </c>
      <c r="AC65" s="71">
        <f t="shared" si="0"/>
        <v>91986</v>
      </c>
      <c r="AD65" s="55">
        <f t="shared" si="0"/>
        <v>6354.7999999999993</v>
      </c>
      <c r="AE65" s="3">
        <f t="shared" si="0"/>
        <v>5804.8000000000011</v>
      </c>
      <c r="AF65" s="4">
        <f t="shared" si="0"/>
        <v>550.00000000000023</v>
      </c>
      <c r="AG65" s="4">
        <f t="shared" si="0"/>
        <v>3666.6666666666674</v>
      </c>
      <c r="AH65" s="76"/>
      <c r="AI65" s="4">
        <f t="shared" si="0"/>
        <v>35234.500000000007</v>
      </c>
      <c r="AJ65" s="4">
        <f t="shared" si="0"/>
        <v>3241.1999999999985</v>
      </c>
      <c r="AK65" s="4">
        <f t="shared" si="0"/>
        <v>21607.999999999996</v>
      </c>
      <c r="AL65" s="76">
        <f t="shared" si="0"/>
        <v>25888.899999999994</v>
      </c>
      <c r="AM65" s="4">
        <f t="shared" si="0"/>
        <v>23776.500000000004</v>
      </c>
      <c r="AN65" s="4">
        <f t="shared" si="0"/>
        <v>2112.4000000000005</v>
      </c>
      <c r="AO65" s="4">
        <f t="shared" si="0"/>
        <v>14082.666666666672</v>
      </c>
      <c r="AP65" s="76">
        <f t="shared" si="0"/>
        <v>10312.900000000003</v>
      </c>
      <c r="AQ65" s="4">
        <f t="shared" si="0"/>
        <v>9559.1</v>
      </c>
      <c r="AR65" s="3">
        <f>SUM(AR5:AR64)</f>
        <v>753.8</v>
      </c>
      <c r="AS65" s="4">
        <f>SUM(AS4:AS64)</f>
        <v>5025.333333333333</v>
      </c>
      <c r="AT65" s="76">
        <f>SUM(AT4:AT64)</f>
        <v>75729.3</v>
      </c>
      <c r="AU65" s="4">
        <f>SUM(AU4:AU64)</f>
        <v>68491</v>
      </c>
      <c r="AV65" s="3">
        <f>SUM(AV5:AV64)</f>
        <v>7238.2999999999993</v>
      </c>
      <c r="AW65" s="4">
        <f>SUM(AW4:AW64)</f>
        <v>48255.333333333328</v>
      </c>
      <c r="AX65" s="77">
        <f>SUM(AX4:AX64)</f>
        <v>92637.999999999985</v>
      </c>
      <c r="AY65" s="95">
        <f>Tabel24256789101112131415171618192120222326141518192021[[#This Row],[Subtotaal waterbar in consumpties]]+Tabel24256789101112131415171618192120222326141518192021[[#This Row],[Subtotaal koffieautomaten]]</f>
        <v>184624</v>
      </c>
    </row>
    <row r="66" spans="1:53" x14ac:dyDescent="0.25">
      <c r="A66" s="91"/>
      <c r="B66" s="57"/>
      <c r="C66" s="57"/>
      <c r="D66" s="58"/>
      <c r="E66" s="57"/>
      <c r="F66" s="57"/>
      <c r="G66" s="57"/>
      <c r="H66" s="56"/>
      <c r="I66" s="57"/>
      <c r="J66" s="57"/>
      <c r="K66" s="56"/>
      <c r="L66" s="57"/>
      <c r="M66" s="57"/>
      <c r="N66" s="56"/>
      <c r="O66" s="57"/>
      <c r="P66" s="57"/>
      <c r="Q66" s="56"/>
      <c r="R66" s="57"/>
      <c r="S66" s="57"/>
      <c r="T66" s="56"/>
      <c r="U66" s="57"/>
      <c r="V66" s="57"/>
      <c r="W66" s="56"/>
      <c r="X66" s="57"/>
      <c r="Y66" s="57"/>
      <c r="Z66" s="56"/>
      <c r="AA66" s="57"/>
      <c r="AB66" s="57"/>
      <c r="AC66" s="90"/>
      <c r="AD66" s="56"/>
      <c r="AE66" s="57"/>
      <c r="AF66" s="57"/>
      <c r="AG66" s="57"/>
      <c r="AH66" s="56"/>
      <c r="AI66" s="57"/>
      <c r="AJ66" s="57"/>
      <c r="AK66" s="57"/>
      <c r="AL66" s="56"/>
      <c r="AM66" s="57"/>
      <c r="AN66" s="57"/>
      <c r="AO66" s="57"/>
      <c r="AP66" s="56"/>
      <c r="AQ66" s="57"/>
      <c r="AR66" s="57"/>
      <c r="AS66" s="57"/>
      <c r="AT66" s="56"/>
      <c r="AU66" s="57"/>
      <c r="AV66" s="57"/>
      <c r="AW66" s="57"/>
      <c r="AX66" s="92"/>
      <c r="AY66" s="96"/>
    </row>
    <row r="67" spans="1:53" x14ac:dyDescent="0.25">
      <c r="A67"/>
      <c r="D67"/>
      <c r="K67"/>
      <c r="N67"/>
      <c r="Q67"/>
      <c r="T67"/>
      <c r="W67"/>
      <c r="Z67"/>
      <c r="AC67"/>
      <c r="AD67"/>
      <c r="AH67"/>
      <c r="AL67"/>
      <c r="AP67"/>
      <c r="AT67"/>
      <c r="AX67"/>
      <c r="AY67"/>
    </row>
    <row r="68" spans="1:53" x14ac:dyDescent="0.25">
      <c r="A68"/>
      <c r="D68"/>
      <c r="K68"/>
      <c r="N68"/>
      <c r="Q68"/>
      <c r="T68"/>
      <c r="W68"/>
      <c r="Z68"/>
      <c r="AC68"/>
      <c r="AD68"/>
      <c r="AH68"/>
      <c r="AL68"/>
      <c r="AP68"/>
      <c r="AT68"/>
      <c r="AX68"/>
      <c r="AY68" s="2"/>
      <c r="AZ68" s="2"/>
    </row>
    <row r="69" spans="1:53" x14ac:dyDescent="0.25">
      <c r="A69" s="49"/>
      <c r="B69" t="s">
        <v>166</v>
      </c>
      <c r="D69"/>
      <c r="K69"/>
      <c r="N69"/>
      <c r="Q69"/>
      <c r="T69"/>
      <c r="W69"/>
      <c r="Z69"/>
      <c r="AC69"/>
      <c r="AD69"/>
      <c r="AH69"/>
      <c r="AL69"/>
      <c r="AP69"/>
      <c r="AT69"/>
      <c r="AX69"/>
      <c r="AY69" s="4"/>
      <c r="AZ69" s="4"/>
      <c r="BA69" s="48"/>
    </row>
    <row r="70" spans="1:53" x14ac:dyDescent="0.25">
      <c r="A70" s="50"/>
      <c r="B70" t="s">
        <v>167</v>
      </c>
      <c r="D70"/>
      <c r="K70"/>
      <c r="N70"/>
      <c r="Q70"/>
      <c r="T70"/>
      <c r="W70"/>
      <c r="Z70"/>
      <c r="AC70"/>
      <c r="AD70"/>
      <c r="AH70"/>
      <c r="AL70"/>
      <c r="AP70"/>
      <c r="AT70"/>
      <c r="AX70"/>
      <c r="AY70" s="3"/>
      <c r="AZ70" s="4"/>
      <c r="BA70" s="48"/>
    </row>
    <row r="71" spans="1:53" x14ac:dyDescent="0.25">
      <c r="A71"/>
      <c r="D71"/>
      <c r="K71"/>
      <c r="N71"/>
      <c r="Q71"/>
      <c r="T71"/>
      <c r="W71"/>
      <c r="Z71"/>
      <c r="AC71"/>
      <c r="AD71"/>
      <c r="AH71"/>
      <c r="AL71"/>
      <c r="AP71"/>
      <c r="AT71"/>
      <c r="AX71"/>
      <c r="AY71"/>
      <c r="AZ71" s="2"/>
    </row>
    <row r="72" spans="1:53" x14ac:dyDescent="0.25">
      <c r="A72"/>
      <c r="D72"/>
      <c r="K72"/>
      <c r="N72"/>
      <c r="Q72"/>
      <c r="T72"/>
      <c r="W72"/>
      <c r="Z72"/>
      <c r="AC72"/>
      <c r="AD72"/>
      <c r="AH72"/>
      <c r="AL72"/>
      <c r="AP72"/>
      <c r="AT72"/>
      <c r="AX72"/>
      <c r="AY72"/>
    </row>
    <row r="73" spans="1:53" x14ac:dyDescent="0.25">
      <c r="A73"/>
      <c r="D73"/>
      <c r="K73"/>
      <c r="N73"/>
      <c r="Q73"/>
      <c r="T73"/>
      <c r="W73"/>
      <c r="Z73"/>
      <c r="AC73"/>
      <c r="AD73"/>
      <c r="AH73"/>
      <c r="AL73"/>
      <c r="AP73"/>
      <c r="AT73"/>
      <c r="AX73"/>
      <c r="AY73"/>
    </row>
    <row r="74" spans="1:53" x14ac:dyDescent="0.25">
      <c r="A74"/>
      <c r="D74"/>
      <c r="K74"/>
      <c r="N74"/>
      <c r="Q74"/>
      <c r="T74"/>
      <c r="W74"/>
      <c r="Z74"/>
      <c r="AC74"/>
      <c r="AD74"/>
      <c r="AH74"/>
      <c r="AL74"/>
      <c r="AP74"/>
      <c r="AT74"/>
      <c r="AX74"/>
      <c r="AY74"/>
    </row>
    <row r="75" spans="1:53" x14ac:dyDescent="0.25">
      <c r="A75"/>
      <c r="D75"/>
      <c r="K75"/>
      <c r="N75"/>
      <c r="Q75"/>
      <c r="T75"/>
      <c r="W75"/>
      <c r="Z75"/>
      <c r="AC75"/>
      <c r="AD75"/>
      <c r="AH75"/>
      <c r="AL75"/>
      <c r="AP75"/>
      <c r="AT75"/>
      <c r="AX75"/>
      <c r="AY75"/>
    </row>
    <row r="76" spans="1:53" x14ac:dyDescent="0.25">
      <c r="A76"/>
      <c r="D76"/>
      <c r="K76"/>
      <c r="N76"/>
      <c r="Q76"/>
      <c r="T76"/>
      <c r="W76"/>
      <c r="Z76"/>
      <c r="AC76"/>
      <c r="AD76"/>
      <c r="AH76"/>
      <c r="AL76"/>
      <c r="AP76"/>
      <c r="AT76"/>
      <c r="AX76"/>
      <c r="AY76"/>
    </row>
    <row r="77" spans="1:53" x14ac:dyDescent="0.25">
      <c r="A77"/>
      <c r="D77"/>
      <c r="K77"/>
      <c r="N77"/>
      <c r="Q77"/>
      <c r="T77"/>
      <c r="W77"/>
      <c r="Z77"/>
      <c r="AC77"/>
      <c r="AD77"/>
      <c r="AH77"/>
      <c r="AL77"/>
      <c r="AP77"/>
      <c r="AT77"/>
      <c r="AX77"/>
      <c r="AY77"/>
    </row>
    <row r="78" spans="1:53" x14ac:dyDescent="0.25">
      <c r="A78"/>
      <c r="D78"/>
      <c r="K78"/>
      <c r="N78"/>
      <c r="Q78"/>
      <c r="T78"/>
      <c r="W78"/>
      <c r="Z78"/>
      <c r="AC78"/>
      <c r="AD78"/>
      <c r="AH78"/>
      <c r="AL78"/>
      <c r="AP78"/>
      <c r="AT78"/>
      <c r="AX78"/>
      <c r="AY78"/>
    </row>
    <row r="79" spans="1:53" x14ac:dyDescent="0.25">
      <c r="A79"/>
      <c r="D79"/>
      <c r="K79"/>
      <c r="N79"/>
      <c r="Q79"/>
      <c r="T79"/>
      <c r="W79"/>
      <c r="Z79"/>
      <c r="AC79"/>
      <c r="AD79"/>
      <c r="AH79"/>
      <c r="AL79"/>
      <c r="AP79"/>
      <c r="AT79"/>
      <c r="AX79"/>
      <c r="AY79"/>
    </row>
    <row r="80" spans="1:53" x14ac:dyDescent="0.25">
      <c r="A80"/>
      <c r="D80"/>
      <c r="K80"/>
      <c r="N80"/>
      <c r="Q80"/>
      <c r="T80"/>
      <c r="W80"/>
      <c r="Z80"/>
      <c r="AC80"/>
      <c r="AD80"/>
      <c r="AH80"/>
      <c r="AL80"/>
      <c r="AP80"/>
      <c r="AT80"/>
      <c r="AX80"/>
      <c r="AY80"/>
    </row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</sheetData>
  <mergeCells count="2">
    <mergeCell ref="E1:AC1"/>
    <mergeCell ref="AD1:AY1"/>
  </mergeCells>
  <pageMargins left="0.7" right="0.7" top="0.75" bottom="0.75" header="0.3" footer="0.3"/>
  <legacyDrawing r:id="rId1"/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C02C1-38D0-4D1B-BEE4-A2224B285838}">
  <dimension ref="A1:DZ147"/>
  <sheetViews>
    <sheetView topLeftCell="AP1" zoomScale="120" zoomScaleNormal="120" workbookViewId="0">
      <pane ySplit="2" topLeftCell="A53" activePane="bottomLeft" state="frozen"/>
      <selection pane="bottomLeft" activeCell="A3" sqref="A3:XFD3"/>
    </sheetView>
  </sheetViews>
  <sheetFormatPr defaultRowHeight="15" x14ac:dyDescent="0.25"/>
  <cols>
    <col min="1" max="1" width="32.140625" style="65" bestFit="1" customWidth="1"/>
    <col min="2" max="2" width="21.42578125" bestFit="1" customWidth="1"/>
    <col min="3" max="3" width="25.42578125" bestFit="1" customWidth="1"/>
    <col min="4" max="4" width="18.5703125" style="52" customWidth="1"/>
    <col min="5" max="5" width="10.140625" customWidth="1"/>
    <col min="6" max="6" width="10.42578125" customWidth="1"/>
    <col min="7" max="7" width="10.5703125" customWidth="1"/>
    <col min="8" max="8" width="11.85546875" customWidth="1"/>
    <col min="9" max="9" width="11.7109375" customWidth="1"/>
    <col min="10" max="10" width="12.42578125" customWidth="1"/>
    <col min="11" max="11" width="17.140625" style="53" customWidth="1"/>
    <col min="12" max="12" width="13.5703125" customWidth="1"/>
    <col min="13" max="13" width="13.42578125" bestFit="1" customWidth="1"/>
    <col min="14" max="14" width="14" style="53" customWidth="1"/>
    <col min="15" max="16" width="14" customWidth="1"/>
    <col min="17" max="17" width="14.140625" style="53" customWidth="1"/>
    <col min="18" max="19" width="12.28515625" customWidth="1"/>
    <col min="20" max="20" width="12.42578125" style="53" customWidth="1"/>
    <col min="21" max="22" width="12.42578125" customWidth="1"/>
    <col min="23" max="23" width="17" style="53" customWidth="1"/>
    <col min="24" max="25" width="17" customWidth="1"/>
    <col min="26" max="26" width="20.7109375" style="53" customWidth="1"/>
    <col min="27" max="28" width="20.7109375" customWidth="1"/>
    <col min="29" max="29" width="14.7109375" style="74" customWidth="1"/>
    <col min="30" max="30" width="17.5703125" style="53" customWidth="1"/>
    <col min="31" max="32" width="17.5703125" customWidth="1"/>
    <col min="33" max="33" width="20.28515625" customWidth="1"/>
    <col min="34" max="34" width="14.42578125" style="53" customWidth="1"/>
    <col min="35" max="36" width="14.42578125" customWidth="1"/>
    <col min="37" max="37" width="21.28515625" customWidth="1"/>
    <col min="38" max="38" width="15.140625" style="53" customWidth="1"/>
    <col min="39" max="40" width="15.140625" customWidth="1"/>
    <col min="41" max="41" width="21.28515625" customWidth="1"/>
    <col min="42" max="42" width="19.42578125" style="53" customWidth="1"/>
    <col min="43" max="44" width="19.42578125" customWidth="1"/>
    <col min="45" max="45" width="21.28515625" customWidth="1"/>
    <col min="46" max="46" width="17" style="53" customWidth="1"/>
    <col min="47" max="48" width="17" customWidth="1"/>
    <col min="49" max="49" width="21.28515625" customWidth="1"/>
    <col min="50" max="50" width="20" style="74" customWidth="1"/>
    <col min="51" max="51" width="23.5703125" style="68" bestFit="1" customWidth="1"/>
    <col min="52" max="52" width="10" bestFit="1" customWidth="1"/>
    <col min="53" max="53" width="14.28515625" bestFit="1" customWidth="1"/>
  </cols>
  <sheetData>
    <row r="1" spans="1:130" ht="14.45" customHeight="1" x14ac:dyDescent="0.25">
      <c r="A1" s="61" t="s">
        <v>0</v>
      </c>
      <c r="B1" s="62"/>
      <c r="C1" s="62"/>
      <c r="D1" s="63"/>
      <c r="E1" s="174" t="s">
        <v>1</v>
      </c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3" t="s">
        <v>2</v>
      </c>
      <c r="AE1" s="174"/>
      <c r="AF1" s="174"/>
      <c r="AG1" s="174"/>
      <c r="AH1" s="174"/>
      <c r="AI1" s="174"/>
      <c r="AJ1" s="174"/>
      <c r="AK1" s="174"/>
      <c r="AL1" s="174"/>
      <c r="AM1" s="174"/>
      <c r="AN1" s="174"/>
      <c r="AO1" s="174"/>
      <c r="AP1" s="174"/>
      <c r="AQ1" s="174"/>
      <c r="AR1" s="174"/>
      <c r="AS1" s="174"/>
      <c r="AT1" s="174"/>
      <c r="AU1" s="174"/>
      <c r="AV1" s="174"/>
      <c r="AW1" s="174"/>
      <c r="AX1" s="174"/>
      <c r="AY1" s="174"/>
    </row>
    <row r="2" spans="1:130" ht="120" customHeight="1" x14ac:dyDescent="0.25">
      <c r="A2" s="65" t="s">
        <v>3</v>
      </c>
      <c r="B2" t="s">
        <v>4</v>
      </c>
      <c r="C2" t="s">
        <v>5</v>
      </c>
      <c r="D2" s="52" t="s">
        <v>6</v>
      </c>
      <c r="E2" s="1" t="s">
        <v>113</v>
      </c>
      <c r="F2" s="1" t="s">
        <v>114</v>
      </c>
      <c r="G2" s="60" t="s">
        <v>115</v>
      </c>
      <c r="H2" s="1" t="s">
        <v>116</v>
      </c>
      <c r="I2" s="1" t="s">
        <v>117</v>
      </c>
      <c r="J2" s="1" t="s">
        <v>118</v>
      </c>
      <c r="K2" s="59" t="s">
        <v>119</v>
      </c>
      <c r="L2" s="1" t="s">
        <v>120</v>
      </c>
      <c r="M2" s="1" t="s">
        <v>121</v>
      </c>
      <c r="N2" s="59" t="s">
        <v>122</v>
      </c>
      <c r="O2" s="1" t="s">
        <v>123</v>
      </c>
      <c r="P2" s="1" t="s">
        <v>124</v>
      </c>
      <c r="Q2" s="59" t="s">
        <v>125</v>
      </c>
      <c r="R2" s="1" t="s">
        <v>126</v>
      </c>
      <c r="S2" s="1" t="s">
        <v>127</v>
      </c>
      <c r="T2" s="59" t="s">
        <v>128</v>
      </c>
      <c r="U2" s="1" t="s">
        <v>129</v>
      </c>
      <c r="V2" s="1" t="s">
        <v>130</v>
      </c>
      <c r="W2" s="59" t="s">
        <v>131</v>
      </c>
      <c r="X2" s="1" t="s">
        <v>132</v>
      </c>
      <c r="Y2" s="1" t="s">
        <v>133</v>
      </c>
      <c r="Z2" s="59" t="s">
        <v>134</v>
      </c>
      <c r="AA2" s="1" t="s">
        <v>135</v>
      </c>
      <c r="AB2" s="1" t="s">
        <v>136</v>
      </c>
      <c r="AC2" s="70" t="s">
        <v>15</v>
      </c>
      <c r="AD2" s="59" t="s">
        <v>137</v>
      </c>
      <c r="AE2" s="1" t="s">
        <v>138</v>
      </c>
      <c r="AF2" s="1" t="s">
        <v>139</v>
      </c>
      <c r="AG2" s="1" t="s">
        <v>140</v>
      </c>
      <c r="AH2" s="59" t="s">
        <v>141</v>
      </c>
      <c r="AI2" s="1" t="s">
        <v>142</v>
      </c>
      <c r="AJ2" s="1" t="s">
        <v>143</v>
      </c>
      <c r="AK2" s="1" t="s">
        <v>144</v>
      </c>
      <c r="AL2" s="59" t="s">
        <v>145</v>
      </c>
      <c r="AM2" s="1" t="s">
        <v>146</v>
      </c>
      <c r="AN2" s="1" t="s">
        <v>147</v>
      </c>
      <c r="AO2" s="1" t="s">
        <v>148</v>
      </c>
      <c r="AP2" s="59" t="s">
        <v>149</v>
      </c>
      <c r="AQ2" s="1" t="s">
        <v>150</v>
      </c>
      <c r="AR2" s="1" t="s">
        <v>151</v>
      </c>
      <c r="AS2" s="1" t="s">
        <v>152</v>
      </c>
      <c r="AT2" s="59" t="s">
        <v>153</v>
      </c>
      <c r="AU2" s="1" t="s">
        <v>154</v>
      </c>
      <c r="AV2" s="1" t="s">
        <v>155</v>
      </c>
      <c r="AW2" s="1" t="s">
        <v>156</v>
      </c>
      <c r="AX2" s="70" t="s">
        <v>157</v>
      </c>
      <c r="AY2" s="93" t="s">
        <v>27</v>
      </c>
    </row>
    <row r="3" spans="1:130" s="146" customFormat="1" x14ac:dyDescent="0.25">
      <c r="A3" s="158" t="s">
        <v>168</v>
      </c>
      <c r="B3" s="147"/>
      <c r="C3" s="147"/>
      <c r="D3" s="159"/>
      <c r="E3" s="149"/>
      <c r="F3" s="147"/>
      <c r="G3" s="147"/>
      <c r="H3" s="149"/>
      <c r="I3" s="147"/>
      <c r="J3" s="147"/>
      <c r="K3" s="160"/>
      <c r="L3" s="147"/>
      <c r="M3" s="147"/>
      <c r="N3" s="160"/>
      <c r="O3" s="147"/>
      <c r="P3" s="147"/>
      <c r="Q3" s="160"/>
      <c r="R3" s="147"/>
      <c r="S3" s="147"/>
      <c r="T3" s="160"/>
      <c r="U3" s="147"/>
      <c r="V3" s="147"/>
      <c r="W3" s="160"/>
      <c r="X3" s="147"/>
      <c r="Y3" s="147"/>
      <c r="Z3" s="160"/>
      <c r="AA3" s="147"/>
      <c r="AB3" s="147"/>
      <c r="AC3" s="161"/>
      <c r="AD3" s="162"/>
      <c r="AE3" s="147"/>
      <c r="AF3" s="147"/>
      <c r="AG3" s="148"/>
      <c r="AH3" s="160"/>
      <c r="AI3" s="147"/>
      <c r="AJ3" s="147"/>
      <c r="AK3" s="148"/>
      <c r="AL3" s="160"/>
      <c r="AM3" s="147"/>
      <c r="AN3" s="147"/>
      <c r="AO3" s="148"/>
      <c r="AP3" s="160"/>
      <c r="AQ3" s="147"/>
      <c r="AR3" s="147"/>
      <c r="AS3" s="148"/>
      <c r="AT3" s="160"/>
      <c r="AU3" s="147"/>
      <c r="AV3" s="147"/>
      <c r="AW3" s="148"/>
      <c r="AX3" s="163"/>
      <c r="AY3" s="164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</row>
    <row r="4" spans="1:130" s="81" customFormat="1" ht="14.45" customHeight="1" x14ac:dyDescent="0.25">
      <c r="A4" s="80" t="s">
        <v>28</v>
      </c>
      <c r="D4" s="82"/>
      <c r="E4" s="83"/>
      <c r="H4" s="84"/>
      <c r="K4" s="84"/>
      <c r="N4" s="84"/>
      <c r="Q4" s="84"/>
      <c r="T4" s="84"/>
      <c r="W4" s="84"/>
      <c r="Z4" s="84"/>
      <c r="AC4" s="85"/>
      <c r="AD4" s="86"/>
      <c r="AG4" s="87"/>
      <c r="AH4" s="84"/>
      <c r="AK4" s="87"/>
      <c r="AL4" s="84"/>
      <c r="AO4" s="87"/>
      <c r="AP4" s="84"/>
      <c r="AS4" s="87"/>
      <c r="AT4" s="84"/>
      <c r="AW4" s="87"/>
      <c r="AX4" s="88"/>
      <c r="AY4" s="9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</row>
    <row r="5" spans="1:130" ht="14.45" customHeight="1" x14ac:dyDescent="0.25">
      <c r="A5" s="65" t="s">
        <v>29</v>
      </c>
      <c r="B5" t="s">
        <v>30</v>
      </c>
      <c r="C5" t="s">
        <v>31</v>
      </c>
      <c r="E5">
        <f>Tabel2425678910111213141517161819212022232614151819202122[[#This Row],[Coffee vorige maand]]+355</f>
        <v>10371</v>
      </c>
      <c r="F5">
        <f>oktober2025!E5</f>
        <v>10016</v>
      </c>
      <c r="G5">
        <f>Tabel2425678910111213141517161819212022232614151819202122[[#This Row],[Stand Coffee einde maand]]-Tabel2425678910111213141517161819212022232614151819202122[[#This Row],[Coffee vorige maand]]</f>
        <v>355</v>
      </c>
      <c r="H5" s="53">
        <f>Tabel2425678910111213141517161819212022232614151819202122[[#This Row],[Espresso vorige maand]]+225</f>
        <v>4855</v>
      </c>
      <c r="I5">
        <f>oktober2025!H5</f>
        <v>4630</v>
      </c>
      <c r="J5">
        <f>Tabel2425678910111213141517161819212022232614151819202122[[#This Row],[Stand Espresso Einde maand]]-Tabel2425678910111213141517161819212022232614151819202122[[#This Row],[Espresso vorige maand]]</f>
        <v>225</v>
      </c>
      <c r="K5" s="53">
        <f>Tabel2425678910111213141517161819212022232614151819202122[[#This Row],[Latte Macchiato vorige maand]]+21</f>
        <v>2642</v>
      </c>
      <c r="L5">
        <f>oktober2025!K5</f>
        <v>2621</v>
      </c>
      <c r="M5">
        <f>Tabel2425678910111213141517161819212022232614151819202122[[#This Row],[Stand Latte Macchiato einde maand]]-Tabel2425678910111213141517161819212022232614151819202122[[#This Row],[Latte Macchiato vorige maand]]</f>
        <v>21</v>
      </c>
      <c r="N5" s="53">
        <f>Tabel2425678910111213141517161819212022232614151819202122[[#This Row],[Coffee Latte vorige maand]]+45</f>
        <v>1425</v>
      </c>
      <c r="O5">
        <f>oktober2025!N5</f>
        <v>1380</v>
      </c>
      <c r="P5">
        <f>Tabel2425678910111213141517161819212022232614151819202122[[#This Row],[Stand Coffee Latte einde maand]]-Tabel2425678910111213141517161819212022232614151819202122[[#This Row],[Coffee Latte vorige maand]]</f>
        <v>45</v>
      </c>
      <c r="Q5" s="53">
        <f>Tabel2425678910111213141517161819212022232614151819202122[[#This Row],[Hot Water vorige maand]]+265</f>
        <v>8396</v>
      </c>
      <c r="R5">
        <f>oktober2025!Q5</f>
        <v>8131</v>
      </c>
      <c r="S5">
        <f>Tabel2425678910111213141517161819212022232614151819202122[[#This Row],[Stand Hot Water einde maand]]-Tabel2425678910111213141517161819212022232614151819202122[[#This Row],[Hot Water vorige maand]]</f>
        <v>265</v>
      </c>
      <c r="T5" s="53">
        <f>Tabel2425678910111213141517161819212022232614151819202122[[#This Row],[Stand Cappucino vorige maand]]+342</f>
        <v>10712</v>
      </c>
      <c r="U5">
        <f>oktober2025!T5</f>
        <v>10370</v>
      </c>
      <c r="V5">
        <f>Tabel2425678910111213141517161819212022232614151819202122[[#This Row],[Stand Cappucino einde maand]]-Tabel2425678910111213141517161819212022232614151819202122[[#This Row],[Stand Cappucino vorige maand]]</f>
        <v>342</v>
      </c>
      <c r="W5" s="53">
        <f>Tabel2425678910111213141517161819212022232614151819202122[[#This Row],[Stand Cappucino Plantaardig vorige maand]]+5</f>
        <v>233</v>
      </c>
      <c r="X5">
        <f>oktober2025!W5</f>
        <v>228</v>
      </c>
      <c r="Y5">
        <f>Tabel2425678910111213141517161819212022232614151819202122[[#This Row],[Stand Cappucino Plantaardig einde maand]]-Tabel2425678910111213141517161819212022232614151819202122[[#This Row],[Stand Cappucino Plantaardig vorige maand]]</f>
        <v>5</v>
      </c>
      <c r="Z5" s="53">
        <f>Tabel2425678910111213141517161819212022232614151819202122[[#This Row],[Stand Latte Macchiato Plantaardig vorige maand]]+3</f>
        <v>381</v>
      </c>
      <c r="AA5">
        <f>oktober2025!Z5</f>
        <v>378</v>
      </c>
      <c r="AB5">
        <f>Tabel2425678910111213141517161819212022232614151819202122[[#This Row],[Stand Latte Macchiato Plantaardig einde maand]]-Tabel2425678910111213141517161819212022232614151819202122[[#This Row],[Stand Latte Macchiato Plantaardig vorige maand]]</f>
        <v>3</v>
      </c>
      <c r="AC5" s="71">
        <f>Tabel2425678910111213141517161819212022232614151819202122[[#This Row],[Verbruik Stand Latte Macchiato Plantaardig deze maand]]+Tabel2425678910111213141517161819212022232614151819202122[[#This Row],[Verbruik  Cappucino Plantaardig deze maand]]+Tabel2425678910111213141517161819212022232614151819202122[[#This Row],[Verbruik Cappucino deze maand]]+Tabel2425678910111213141517161819212022232614151819202122[[#This Row],[Verbruik Hot Water deze maand]]+Tabel2425678910111213141517161819212022232614151819202122[[#This Row],[Verbruik Coffee Latte deze maand]]+Tabel2425678910111213141517161819212022232614151819202122[[#This Row],[Verbruik Latte Macchiato deze maand]]+Tabel2425678910111213141517161819212022232614151819202122[[#This Row],[Verbruik Espresso deze maand]]+Tabel2425678910111213141517161819212022232614151819202122[[#This Row],[Verbruik Coffee deze maand]]</f>
        <v>1261</v>
      </c>
      <c r="AD5" s="69"/>
      <c r="AE5" s="41"/>
      <c r="AF5" s="5"/>
      <c r="AG5" s="5"/>
      <c r="AH5" s="69"/>
      <c r="AI5" s="41"/>
      <c r="AJ5" s="5"/>
      <c r="AK5" s="5"/>
      <c r="AL5" s="69"/>
      <c r="AM5" s="41"/>
      <c r="AN5" s="5"/>
      <c r="AO5" s="5"/>
      <c r="AP5" s="69"/>
      <c r="AQ5" s="41"/>
      <c r="AR5" s="5"/>
      <c r="AS5" s="5"/>
      <c r="AT5" s="69"/>
      <c r="AU5" s="41"/>
      <c r="AV5" s="5"/>
      <c r="AW5" s="7"/>
      <c r="AX5" s="78"/>
      <c r="AY5" s="95">
        <f>Tabel2425678910111213141517161819212022232614151819202122[[#This Row],[Subtotaal waterbar in consumpties]]+Tabel2425678910111213141517161819212022232614151819202122[[#This Row],[Subtotaal koffieautomaten]]</f>
        <v>1261</v>
      </c>
    </row>
    <row r="6" spans="1:130" ht="14.45" customHeight="1" x14ac:dyDescent="0.25">
      <c r="A6" s="65" t="s">
        <v>32</v>
      </c>
      <c r="B6" t="s">
        <v>33</v>
      </c>
      <c r="C6" t="s">
        <v>31</v>
      </c>
      <c r="E6">
        <v>15601</v>
      </c>
      <c r="F6">
        <f>oktober2025!E6</f>
        <v>15030</v>
      </c>
      <c r="G6">
        <f>Tabel2425678910111213141517161819212022232614151819202122[[#This Row],[Stand Coffee einde maand]]-Tabel2425678910111213141517161819212022232614151819202122[[#This Row],[Coffee vorige maand]]</f>
        <v>571</v>
      </c>
      <c r="H6" s="53">
        <v>4252</v>
      </c>
      <c r="I6">
        <f>oktober2025!H6</f>
        <v>4134</v>
      </c>
      <c r="J6">
        <f>Tabel2425678910111213141517161819212022232614151819202122[[#This Row],[Stand Espresso Einde maand]]-Tabel2425678910111213141517161819212022232614151819202122[[#This Row],[Espresso vorige maand]]</f>
        <v>118</v>
      </c>
      <c r="K6" s="53">
        <v>2901</v>
      </c>
      <c r="L6">
        <f>oktober2025!K6</f>
        <v>2805</v>
      </c>
      <c r="M6">
        <f>Tabel2425678910111213141517161819212022232614151819202122[[#This Row],[Stand Latte Macchiato einde maand]]-Tabel2425678910111213141517161819212022232614151819202122[[#This Row],[Latte Macchiato vorige maand]]</f>
        <v>96</v>
      </c>
      <c r="N6" s="53">
        <v>2243</v>
      </c>
      <c r="O6">
        <f>oktober2025!N6</f>
        <v>2224</v>
      </c>
      <c r="P6">
        <f>Tabel2425678910111213141517161819212022232614151819202122[[#This Row],[Stand Coffee Latte einde maand]]-Tabel2425678910111213141517161819212022232614151819202122[[#This Row],[Coffee Latte vorige maand]]</f>
        <v>19</v>
      </c>
      <c r="Q6" s="53">
        <v>34325</v>
      </c>
      <c r="R6">
        <f>oktober2025!Q6</f>
        <v>32948</v>
      </c>
      <c r="S6">
        <f>Tabel2425678910111213141517161819212022232614151819202122[[#This Row],[Stand Hot Water einde maand]]-Tabel2425678910111213141517161819212022232614151819202122[[#This Row],[Hot Water vorige maand]]</f>
        <v>1377</v>
      </c>
      <c r="T6" s="53">
        <v>13800</v>
      </c>
      <c r="U6">
        <f>oktober2025!T6</f>
        <v>13486</v>
      </c>
      <c r="V6">
        <f>Tabel2425678910111213141517161819212022232614151819202122[[#This Row],[Stand Cappucino einde maand]]-Tabel2425678910111213141517161819212022232614151819202122[[#This Row],[Stand Cappucino vorige maand]]</f>
        <v>314</v>
      </c>
      <c r="W6" s="53">
        <v>2064</v>
      </c>
      <c r="X6">
        <f>oktober2025!W6</f>
        <v>1979</v>
      </c>
      <c r="Y6">
        <f>Tabel2425678910111213141517161819212022232614151819202122[[#This Row],[Stand Cappucino Plantaardig einde maand]]-Tabel2425678910111213141517161819212022232614151819202122[[#This Row],[Stand Cappucino Plantaardig vorige maand]]</f>
        <v>85</v>
      </c>
      <c r="Z6" s="53">
        <v>877</v>
      </c>
      <c r="AA6">
        <f>oktober2025!Z6</f>
        <v>854</v>
      </c>
      <c r="AB6">
        <f>Tabel2425678910111213141517161819212022232614151819202122[[#This Row],[Stand Latte Macchiato Plantaardig einde maand]]-Tabel2425678910111213141517161819212022232614151819202122[[#This Row],[Stand Latte Macchiato Plantaardig vorige maand]]</f>
        <v>23</v>
      </c>
      <c r="AC6" s="71">
        <f>Tabel2425678910111213141517161819212022232614151819202122[[#This Row],[Verbruik Stand Latte Macchiato Plantaardig deze maand]]+Tabel2425678910111213141517161819212022232614151819202122[[#This Row],[Verbruik  Cappucino Plantaardig deze maand]]+Tabel2425678910111213141517161819212022232614151819202122[[#This Row],[Verbruik Cappucino deze maand]]+Tabel2425678910111213141517161819212022232614151819202122[[#This Row],[Verbruik Hot Water deze maand]]+Tabel2425678910111213141517161819212022232614151819202122[[#This Row],[Verbruik Coffee Latte deze maand]]+Tabel2425678910111213141517161819212022232614151819202122[[#This Row],[Verbruik Latte Macchiato deze maand]]+Tabel2425678910111213141517161819212022232614151819202122[[#This Row],[Verbruik Espresso deze maand]]+Tabel2425678910111213141517161819212022232614151819202122[[#This Row],[Verbruik Coffee deze maand]]</f>
        <v>2603</v>
      </c>
      <c r="AD6" s="69"/>
      <c r="AE6" s="41"/>
      <c r="AF6" s="5"/>
      <c r="AG6" s="5"/>
      <c r="AH6" s="69"/>
      <c r="AI6" s="41"/>
      <c r="AJ6" s="5"/>
      <c r="AK6" s="5"/>
      <c r="AL6" s="69"/>
      <c r="AM6" s="41"/>
      <c r="AN6" s="5"/>
      <c r="AO6" s="5"/>
      <c r="AP6" s="69"/>
      <c r="AQ6" s="41"/>
      <c r="AR6" s="5"/>
      <c r="AS6" s="5"/>
      <c r="AT6" s="69"/>
      <c r="AU6" s="41"/>
      <c r="AV6" s="5"/>
      <c r="AW6" s="7"/>
      <c r="AX6" s="78"/>
      <c r="AY6" s="95">
        <f>Tabel2425678910111213141517161819212022232614151819202122[[#This Row],[Subtotaal waterbar in consumpties]]+Tabel2425678910111213141517161819212022232614151819202122[[#This Row],[Subtotaal koffieautomaten]]</f>
        <v>2603</v>
      </c>
    </row>
    <row r="7" spans="1:130" ht="14.45" customHeight="1" x14ac:dyDescent="0.25">
      <c r="A7" s="65" t="s">
        <v>34</v>
      </c>
      <c r="B7" t="s">
        <v>35</v>
      </c>
      <c r="C7" t="s">
        <v>47</v>
      </c>
      <c r="E7">
        <v>15489</v>
      </c>
      <c r="F7">
        <f>oktober2025!E7</f>
        <v>14793</v>
      </c>
      <c r="G7">
        <f>Tabel2425678910111213141517161819212022232614151819202122[[#This Row],[Stand Coffee einde maand]]-Tabel2425678910111213141517161819212022232614151819202122[[#This Row],[Coffee vorige maand]]</f>
        <v>696</v>
      </c>
      <c r="H7" s="53">
        <v>4348</v>
      </c>
      <c r="I7">
        <f>oktober2025!H7</f>
        <v>4124</v>
      </c>
      <c r="J7">
        <f>Tabel2425678910111213141517161819212022232614151819202122[[#This Row],[Stand Espresso Einde maand]]-Tabel2425678910111213141517161819212022232614151819202122[[#This Row],[Espresso vorige maand]]</f>
        <v>224</v>
      </c>
      <c r="K7" s="53">
        <v>3974</v>
      </c>
      <c r="L7">
        <f>oktober2025!K7</f>
        <v>3770</v>
      </c>
      <c r="M7">
        <f>Tabel2425678910111213141517161819212022232614151819202122[[#This Row],[Stand Latte Macchiato einde maand]]-Tabel2425678910111213141517161819212022232614151819202122[[#This Row],[Latte Macchiato vorige maand]]</f>
        <v>204</v>
      </c>
      <c r="N7" s="53">
        <v>1800</v>
      </c>
      <c r="O7">
        <f>oktober2025!N7</f>
        <v>1721</v>
      </c>
      <c r="P7">
        <f>Tabel2425678910111213141517161819212022232614151819202122[[#This Row],[Stand Coffee Latte einde maand]]-Tabel2425678910111213141517161819212022232614151819202122[[#This Row],[Coffee Latte vorige maand]]</f>
        <v>79</v>
      </c>
      <c r="Q7" s="53">
        <v>13747</v>
      </c>
      <c r="R7">
        <f>oktober2025!Q7</f>
        <v>13190</v>
      </c>
      <c r="S7">
        <f>Tabel2425678910111213141517161819212022232614151819202122[[#This Row],[Stand Hot Water einde maand]]-Tabel2425678910111213141517161819212022232614151819202122[[#This Row],[Hot Water vorige maand]]</f>
        <v>557</v>
      </c>
      <c r="T7" s="53">
        <v>14172</v>
      </c>
      <c r="U7">
        <f>oktober2025!T7</f>
        <v>13729</v>
      </c>
      <c r="V7">
        <f>Tabel2425678910111213141517161819212022232614151819202122[[#This Row],[Stand Cappucino einde maand]]-Tabel2425678910111213141517161819212022232614151819202122[[#This Row],[Stand Cappucino vorige maand]]</f>
        <v>443</v>
      </c>
      <c r="W7" s="53">
        <v>1442</v>
      </c>
      <c r="X7">
        <f>oktober2025!W7</f>
        <v>1351</v>
      </c>
      <c r="Y7">
        <f>Tabel2425678910111213141517161819212022232614151819202122[[#This Row],[Stand Cappucino Plantaardig einde maand]]-Tabel2425678910111213141517161819212022232614151819202122[[#This Row],[Stand Cappucino Plantaardig vorige maand]]</f>
        <v>91</v>
      </c>
      <c r="Z7" s="53">
        <v>574</v>
      </c>
      <c r="AA7">
        <f>oktober2025!Z7</f>
        <v>532</v>
      </c>
      <c r="AB7">
        <f>Tabel2425678910111213141517161819212022232614151819202122[[#This Row],[Stand Latte Macchiato Plantaardig einde maand]]-Tabel2425678910111213141517161819212022232614151819202122[[#This Row],[Stand Latte Macchiato Plantaardig vorige maand]]</f>
        <v>42</v>
      </c>
      <c r="AC7" s="71">
        <f>Tabel2425678910111213141517161819212022232614151819202122[[#This Row],[Verbruik Stand Latte Macchiato Plantaardig deze maand]]+Tabel2425678910111213141517161819212022232614151819202122[[#This Row],[Verbruik  Cappucino Plantaardig deze maand]]+Tabel2425678910111213141517161819212022232614151819202122[[#This Row],[Verbruik Cappucino deze maand]]+Tabel2425678910111213141517161819212022232614151819202122[[#This Row],[Verbruik Hot Water deze maand]]+Tabel2425678910111213141517161819212022232614151819202122[[#This Row],[Verbruik Coffee Latte deze maand]]+Tabel2425678910111213141517161819212022232614151819202122[[#This Row],[Verbruik Latte Macchiato deze maand]]+Tabel2425678910111213141517161819212022232614151819202122[[#This Row],[Verbruik Espresso deze maand]]+Tabel2425678910111213141517161819212022232614151819202122[[#This Row],[Verbruik Coffee deze maand]]</f>
        <v>2336</v>
      </c>
      <c r="AD7" s="53">
        <v>603.29999999999995</v>
      </c>
      <c r="AE7">
        <f>oktober2025!AD7</f>
        <v>539.9</v>
      </c>
      <c r="AF7">
        <f>Tabel2425678910111213141517161819212022232614151819202122[[#This Row],[Stand Kamertemp liter einde maand]]-Tabel2425678910111213141517161819212022232614151819202122[[#This Row],[Stand Kamertemp liter vorige maand]]</f>
        <v>63.399999999999977</v>
      </c>
      <c r="AG7" s="2">
        <f>Tabel2425678910111213141517161819212022232614151819202122[[#This Row],[Verbruik Kamertemp liter deze maand]]/0.15</f>
        <v>422.66666666666652</v>
      </c>
      <c r="AH7" s="53">
        <v>1749.3</v>
      </c>
      <c r="AI7">
        <f>oktober2025!AH7</f>
        <v>1578.9</v>
      </c>
      <c r="AJ7">
        <f>Tabel2425678910111213141517161819212022232614151819202122[[#This Row],[Stand Gekoeld liter einde maand]]-Tabel2425678910111213141517161819212022232614151819202122[[#This Row],[Stand Gekoeld liter vorige maand]]</f>
        <v>170.39999999999986</v>
      </c>
      <c r="AK7" s="2">
        <f>Tabel2425678910111213141517161819212022232614151819202122[[#This Row],[Verbruik Gekoeld liter deze maand]]/0.15</f>
        <v>1135.9999999999991</v>
      </c>
      <c r="AL7" s="53">
        <v>856.2</v>
      </c>
      <c r="AM7">
        <f>oktober2025!AL7</f>
        <v>769.7</v>
      </c>
      <c r="AN7">
        <f>Tabel2425678910111213141517161819212022232614151819202122[[#This Row],[Stand Bruisend liter einde maand]]-Tabel2425678910111213141517161819212022232614151819202122[[#This Row],[Stand Bruisend liter vorige maand]]</f>
        <v>86.5</v>
      </c>
      <c r="AO7" s="2">
        <f>Tabel2425678910111213141517161819212022232614151819202122[[#This Row],[Verbruik Bruisend liter deze maand]]/0.15</f>
        <v>576.66666666666674</v>
      </c>
      <c r="AP7" s="53">
        <v>630.4</v>
      </c>
      <c r="AQ7">
        <f>oktober2025!AP7</f>
        <v>589.9</v>
      </c>
      <c r="AR7">
        <f>Tabel2425678910111213141517161819212022232614151819202122[[#This Row],[Stand licht bruisend liter einde maand]]-Tabel2425678910111213141517161819212022232614151819202122[[#This Row],[Stand licht bruisend liter vorige maand]]</f>
        <v>40.5</v>
      </c>
      <c r="AS7" s="2">
        <f>Tabel2425678910111213141517161819212022232614151819202122[[#This Row],[Verbruik licht bruisend liter deze maand]]/0.15</f>
        <v>270</v>
      </c>
      <c r="AT7" s="53">
        <v>2507</v>
      </c>
      <c r="AU7">
        <f>oktober2025!AT7</f>
        <v>2243.1999999999998</v>
      </c>
      <c r="AV7">
        <f>Tabel2425678910111213141517161819212022232614151819202122[[#This Row],[Stand heet water liter einde maand]]-Tabel2425678910111213141517161819212022232614151819202122[[#This Row],[Stand heet water liter vorige maand]]</f>
        <v>263.80000000000018</v>
      </c>
      <c r="AW7" s="2">
        <f>Tabel2425678910111213141517161819212022232614151819202122[[#This Row],[Verbruik heet Water liter deze maand ]]/0.15</f>
        <v>1758.6666666666679</v>
      </c>
      <c r="AX7" s="77">
        <f>Tabel2425678910111213141517161819212022232614151819202122[[#This Row],[Aantal consumpties heet water deze maand]]+Tabel2425678910111213141517161819212022232614151819202122[[#This Row],[Aantal consumpties licht bruisend water deze maand]]+Tabel2425678910111213141517161819212022232614151819202122[[#This Row],[aantal consumpties Bruisend water deze maand]]+Tabel2425678910111213141517161819212022232614151819202122[[#This Row],[Aantal consumpties gekoeld water deze maand]]+Tabel2425678910111213141517161819212022232614151819202122[[#This Row],[Aantal consumpties Kamertemp deze maand]]</f>
        <v>4164</v>
      </c>
      <c r="AY7" s="95">
        <f>Tabel2425678910111213141517161819212022232614151819202122[[#This Row],[Subtotaal waterbar in consumpties]]+Tabel2425678910111213141517161819212022232614151819202122[[#This Row],[Subtotaal koffieautomaten]]</f>
        <v>6500</v>
      </c>
    </row>
    <row r="8" spans="1:130" ht="14.45" customHeight="1" x14ac:dyDescent="0.25">
      <c r="A8" s="65" t="s">
        <v>37</v>
      </c>
      <c r="B8" t="s">
        <v>38</v>
      </c>
      <c r="C8" t="s">
        <v>31</v>
      </c>
      <c r="E8">
        <v>23483</v>
      </c>
      <c r="F8">
        <f>oktober2025!E8</f>
        <v>22771</v>
      </c>
      <c r="G8">
        <f>Tabel2425678910111213141517161819212022232614151819202122[[#This Row],[Stand Coffee einde maand]]-Tabel2425678910111213141517161819212022232614151819202122[[#This Row],[Coffee vorige maand]]</f>
        <v>712</v>
      </c>
      <c r="H8" s="53">
        <v>5036</v>
      </c>
      <c r="I8">
        <f>oktober2025!H8</f>
        <v>4891</v>
      </c>
      <c r="J8">
        <f>Tabel2425678910111213141517161819212022232614151819202122[[#This Row],[Stand Espresso Einde maand]]-Tabel2425678910111213141517161819212022232614151819202122[[#This Row],[Espresso vorige maand]]</f>
        <v>145</v>
      </c>
      <c r="K8" s="53">
        <v>2480</v>
      </c>
      <c r="L8">
        <f>oktober2025!K8</f>
        <v>2447</v>
      </c>
      <c r="M8">
        <f>Tabel2425678910111213141517161819212022232614151819202122[[#This Row],[Stand Latte Macchiato einde maand]]-Tabel2425678910111213141517161819212022232614151819202122[[#This Row],[Latte Macchiato vorige maand]]</f>
        <v>33</v>
      </c>
      <c r="N8" s="53">
        <v>3890</v>
      </c>
      <c r="O8">
        <f>oktober2025!N8</f>
        <v>3700</v>
      </c>
      <c r="P8">
        <f>Tabel2425678910111213141517161819212022232614151819202122[[#This Row],[Stand Coffee Latte einde maand]]-Tabel2425678910111213141517161819212022232614151819202122[[#This Row],[Coffee Latte vorige maand]]</f>
        <v>190</v>
      </c>
      <c r="Q8" s="53">
        <v>52592</v>
      </c>
      <c r="R8">
        <f>oktober2025!Q8</f>
        <v>50773</v>
      </c>
      <c r="S8">
        <f>Tabel2425678910111213141517161819212022232614151819202122[[#This Row],[Stand Hot Water einde maand]]-Tabel2425678910111213141517161819212022232614151819202122[[#This Row],[Hot Water vorige maand]]</f>
        <v>1819</v>
      </c>
      <c r="T8" s="53">
        <v>13507</v>
      </c>
      <c r="U8">
        <f>oktober2025!T8</f>
        <v>13152</v>
      </c>
      <c r="V8">
        <f>Tabel2425678910111213141517161819212022232614151819202122[[#This Row],[Stand Cappucino einde maand]]-Tabel2425678910111213141517161819212022232614151819202122[[#This Row],[Stand Cappucino vorige maand]]</f>
        <v>355</v>
      </c>
      <c r="W8" s="53">
        <v>1344</v>
      </c>
      <c r="X8">
        <f>oktober2025!W8</f>
        <v>1277</v>
      </c>
      <c r="Y8">
        <f>Tabel2425678910111213141517161819212022232614151819202122[[#This Row],[Stand Cappucino Plantaardig einde maand]]-Tabel2425678910111213141517161819212022232614151819202122[[#This Row],[Stand Cappucino Plantaardig vorige maand]]</f>
        <v>67</v>
      </c>
      <c r="Z8" s="53">
        <v>677</v>
      </c>
      <c r="AA8">
        <f>oktober2025!Z8</f>
        <v>656</v>
      </c>
      <c r="AB8">
        <f>Tabel2425678910111213141517161819212022232614151819202122[[#This Row],[Stand Latte Macchiato Plantaardig einde maand]]-Tabel2425678910111213141517161819212022232614151819202122[[#This Row],[Stand Latte Macchiato Plantaardig vorige maand]]</f>
        <v>21</v>
      </c>
      <c r="AC8" s="71">
        <f>Tabel2425678910111213141517161819212022232614151819202122[[#This Row],[Verbruik Stand Latte Macchiato Plantaardig deze maand]]+Tabel2425678910111213141517161819212022232614151819202122[[#This Row],[Verbruik  Cappucino Plantaardig deze maand]]+Tabel2425678910111213141517161819212022232614151819202122[[#This Row],[Verbruik Cappucino deze maand]]+Tabel2425678910111213141517161819212022232614151819202122[[#This Row],[Verbruik Hot Water deze maand]]+Tabel2425678910111213141517161819212022232614151819202122[[#This Row],[Verbruik Coffee Latte deze maand]]+Tabel2425678910111213141517161819212022232614151819202122[[#This Row],[Verbruik Latte Macchiato deze maand]]+Tabel2425678910111213141517161819212022232614151819202122[[#This Row],[Verbruik Espresso deze maand]]+Tabel2425678910111213141517161819212022232614151819202122[[#This Row],[Verbruik Coffee deze maand]]</f>
        <v>3342</v>
      </c>
      <c r="AD8" s="69"/>
      <c r="AE8" s="41"/>
      <c r="AF8" s="5"/>
      <c r="AG8" s="41"/>
      <c r="AH8" s="69"/>
      <c r="AI8" s="41"/>
      <c r="AJ8" s="41"/>
      <c r="AK8" s="41"/>
      <c r="AL8" s="75"/>
      <c r="AM8" s="41"/>
      <c r="AN8" s="41"/>
      <c r="AO8" s="5"/>
      <c r="AP8" s="69"/>
      <c r="AQ8" s="41"/>
      <c r="AR8" s="5"/>
      <c r="AS8" s="41"/>
      <c r="AT8" s="69"/>
      <c r="AU8" s="41"/>
      <c r="AV8" s="41"/>
      <c r="AW8" s="41"/>
      <c r="AX8" s="79"/>
      <c r="AY8" s="95">
        <f>Tabel2425678910111213141517161819212022232614151819202122[[#This Row],[Subtotaal waterbar in consumpties]]+Tabel2425678910111213141517161819212022232614151819202122[[#This Row],[Subtotaal koffieautomaten]]</f>
        <v>3342</v>
      </c>
    </row>
    <row r="9" spans="1:130" ht="14.45" customHeight="1" x14ac:dyDescent="0.25">
      <c r="A9" s="65" t="s">
        <v>39</v>
      </c>
      <c r="B9" t="s">
        <v>40</v>
      </c>
      <c r="C9" t="s">
        <v>31</v>
      </c>
      <c r="E9">
        <v>27681</v>
      </c>
      <c r="F9">
        <f>oktober2025!E9</f>
        <v>27044</v>
      </c>
      <c r="G9">
        <f>Tabel2425678910111213141517161819212022232614151819202122[[#This Row],[Stand Coffee einde maand]]-Tabel2425678910111213141517161819212022232614151819202122[[#This Row],[Coffee vorige maand]]</f>
        <v>637</v>
      </c>
      <c r="H9" s="53">
        <v>4747</v>
      </c>
      <c r="I9">
        <f>oktober2025!H9</f>
        <v>4637</v>
      </c>
      <c r="J9">
        <f>Tabel2425678910111213141517161819212022232614151819202122[[#This Row],[Stand Espresso Einde maand]]-Tabel2425678910111213141517161819212022232614151819202122[[#This Row],[Espresso vorige maand]]</f>
        <v>110</v>
      </c>
      <c r="K9" s="53">
        <v>3148</v>
      </c>
      <c r="L9">
        <f>oktober2025!K9</f>
        <v>3116</v>
      </c>
      <c r="M9">
        <f>Tabel2425678910111213141517161819212022232614151819202122[[#This Row],[Stand Latte Macchiato einde maand]]-Tabel2425678910111213141517161819212022232614151819202122[[#This Row],[Latte Macchiato vorige maand]]</f>
        <v>32</v>
      </c>
      <c r="N9" s="53">
        <v>2450</v>
      </c>
      <c r="O9">
        <f>oktober2025!N9</f>
        <v>2335</v>
      </c>
      <c r="P9">
        <f>Tabel2425678910111213141517161819212022232614151819202122[[#This Row],[Stand Coffee Latte einde maand]]-Tabel2425678910111213141517161819212022232614151819202122[[#This Row],[Coffee Latte vorige maand]]</f>
        <v>115</v>
      </c>
      <c r="Q9" s="53">
        <v>39869</v>
      </c>
      <c r="R9">
        <f>oktober2025!Q9</f>
        <v>38779</v>
      </c>
      <c r="S9">
        <f>Tabel2425678910111213141517161819212022232614151819202122[[#This Row],[Stand Hot Water einde maand]]-Tabel2425678910111213141517161819212022232614151819202122[[#This Row],[Hot Water vorige maand]]</f>
        <v>1090</v>
      </c>
      <c r="T9" s="53">
        <v>21906</v>
      </c>
      <c r="U9">
        <f>oktober2025!T9</f>
        <v>21351</v>
      </c>
      <c r="V9">
        <f>Tabel2425678910111213141517161819212022232614151819202122[[#This Row],[Stand Cappucino einde maand]]-Tabel2425678910111213141517161819212022232614151819202122[[#This Row],[Stand Cappucino vorige maand]]</f>
        <v>555</v>
      </c>
      <c r="W9" s="53">
        <v>830</v>
      </c>
      <c r="X9">
        <f>oktober2025!W9</f>
        <v>819</v>
      </c>
      <c r="Y9">
        <f>Tabel2425678910111213141517161819212022232614151819202122[[#This Row],[Stand Cappucino Plantaardig einde maand]]-Tabel2425678910111213141517161819212022232614151819202122[[#This Row],[Stand Cappucino Plantaardig vorige maand]]</f>
        <v>11</v>
      </c>
      <c r="Z9" s="53">
        <v>235</v>
      </c>
      <c r="AA9">
        <f>oktober2025!Z9</f>
        <v>232</v>
      </c>
      <c r="AB9">
        <f>Tabel2425678910111213141517161819212022232614151819202122[[#This Row],[Stand Latte Macchiato Plantaardig einde maand]]-Tabel2425678910111213141517161819212022232614151819202122[[#This Row],[Stand Latte Macchiato Plantaardig vorige maand]]</f>
        <v>3</v>
      </c>
      <c r="AC9" s="71">
        <f>Tabel2425678910111213141517161819212022232614151819202122[[#This Row],[Verbruik Stand Latte Macchiato Plantaardig deze maand]]+Tabel2425678910111213141517161819212022232614151819202122[[#This Row],[Verbruik  Cappucino Plantaardig deze maand]]+Tabel2425678910111213141517161819212022232614151819202122[[#This Row],[Verbruik Cappucino deze maand]]+Tabel2425678910111213141517161819212022232614151819202122[[#This Row],[Verbruik Hot Water deze maand]]+Tabel2425678910111213141517161819212022232614151819202122[[#This Row],[Verbruik Coffee Latte deze maand]]+Tabel2425678910111213141517161819212022232614151819202122[[#This Row],[Verbruik Latte Macchiato deze maand]]+Tabel2425678910111213141517161819212022232614151819202122[[#This Row],[Verbruik Espresso deze maand]]+Tabel2425678910111213141517161819212022232614151819202122[[#This Row],[Verbruik Coffee deze maand]]</f>
        <v>2553</v>
      </c>
      <c r="AD9" s="69"/>
      <c r="AE9" s="41"/>
      <c r="AF9" s="5"/>
      <c r="AG9" s="41"/>
      <c r="AH9" s="69"/>
      <c r="AI9" s="41"/>
      <c r="AJ9" s="41"/>
      <c r="AK9" s="41"/>
      <c r="AL9" s="75"/>
      <c r="AM9" s="41"/>
      <c r="AN9" s="41"/>
      <c r="AO9" s="5"/>
      <c r="AP9" s="69"/>
      <c r="AQ9" s="41"/>
      <c r="AR9" s="5"/>
      <c r="AS9" s="41"/>
      <c r="AT9" s="69"/>
      <c r="AU9" s="41"/>
      <c r="AV9" s="41"/>
      <c r="AW9" s="41"/>
      <c r="AX9" s="79"/>
      <c r="AY9" s="95">
        <f>Tabel2425678910111213141517161819212022232614151819202122[[#This Row],[Subtotaal waterbar in consumpties]]+Tabel2425678910111213141517161819212022232614151819202122[[#This Row],[Subtotaal koffieautomaten]]</f>
        <v>2553</v>
      </c>
    </row>
    <row r="10" spans="1:130" ht="14.45" customHeight="1" x14ac:dyDescent="0.25">
      <c r="A10" s="65" t="s">
        <v>41</v>
      </c>
      <c r="B10" t="s">
        <v>42</v>
      </c>
      <c r="C10" t="s">
        <v>31</v>
      </c>
      <c r="E10">
        <v>16175</v>
      </c>
      <c r="F10">
        <f>oktober2025!E10</f>
        <v>15757</v>
      </c>
      <c r="G10">
        <f>Tabel2425678910111213141517161819212022232614151819202122[[#This Row],[Stand Coffee einde maand]]-Tabel2425678910111213141517161819212022232614151819202122[[#This Row],[Coffee vorige maand]]</f>
        <v>418</v>
      </c>
      <c r="H10" s="53">
        <v>3643</v>
      </c>
      <c r="I10">
        <f>oktober2025!H10</f>
        <v>3553</v>
      </c>
      <c r="J10">
        <f>Tabel2425678910111213141517161819212022232614151819202122[[#This Row],[Stand Espresso Einde maand]]-Tabel2425678910111213141517161819212022232614151819202122[[#This Row],[Espresso vorige maand]]</f>
        <v>90</v>
      </c>
      <c r="K10" s="53">
        <v>2587</v>
      </c>
      <c r="L10">
        <f>oktober2025!K10</f>
        <v>2528</v>
      </c>
      <c r="M10">
        <f>Tabel2425678910111213141517161819212022232614151819202122[[#This Row],[Stand Latte Macchiato einde maand]]-Tabel2425678910111213141517161819212022232614151819202122[[#This Row],[Latte Macchiato vorige maand]]</f>
        <v>59</v>
      </c>
      <c r="N10" s="53">
        <v>1490</v>
      </c>
      <c r="O10">
        <f>oktober2025!N10</f>
        <v>1467</v>
      </c>
      <c r="P10">
        <f>Tabel2425678910111213141517161819212022232614151819202122[[#This Row],[Stand Coffee Latte einde maand]]-Tabel2425678910111213141517161819212022232614151819202122[[#This Row],[Coffee Latte vorige maand]]</f>
        <v>23</v>
      </c>
      <c r="Q10" s="53">
        <v>45253</v>
      </c>
      <c r="R10">
        <f>oktober2025!Q10</f>
        <v>43817</v>
      </c>
      <c r="S10">
        <f>Tabel2425678910111213141517161819212022232614151819202122[[#This Row],[Stand Hot Water einde maand]]-Tabel2425678910111213141517161819212022232614151819202122[[#This Row],[Hot Water vorige maand]]</f>
        <v>1436</v>
      </c>
      <c r="T10" s="53">
        <v>10859</v>
      </c>
      <c r="U10">
        <f>oktober2025!T10</f>
        <v>10468</v>
      </c>
      <c r="V10">
        <f>Tabel2425678910111213141517161819212022232614151819202122[[#This Row],[Stand Cappucino einde maand]]-Tabel2425678910111213141517161819212022232614151819202122[[#This Row],[Stand Cappucino vorige maand]]</f>
        <v>391</v>
      </c>
      <c r="W10" s="53">
        <v>2338</v>
      </c>
      <c r="X10">
        <f>oktober2025!W10</f>
        <v>2277</v>
      </c>
      <c r="Y10">
        <f>Tabel2425678910111213141517161819212022232614151819202122[[#This Row],[Stand Cappucino Plantaardig einde maand]]-Tabel2425678910111213141517161819212022232614151819202122[[#This Row],[Stand Cappucino Plantaardig vorige maand]]</f>
        <v>61</v>
      </c>
      <c r="Z10" s="53">
        <v>776</v>
      </c>
      <c r="AA10">
        <f>oktober2025!Z10</f>
        <v>767</v>
      </c>
      <c r="AB10">
        <f>Tabel2425678910111213141517161819212022232614151819202122[[#This Row],[Stand Latte Macchiato Plantaardig einde maand]]-Tabel2425678910111213141517161819212022232614151819202122[[#This Row],[Stand Latte Macchiato Plantaardig vorige maand]]</f>
        <v>9</v>
      </c>
      <c r="AC10" s="71">
        <f>Tabel2425678910111213141517161819212022232614151819202122[[#This Row],[Verbruik Stand Latte Macchiato Plantaardig deze maand]]+Tabel2425678910111213141517161819212022232614151819202122[[#This Row],[Verbruik  Cappucino Plantaardig deze maand]]+Tabel2425678910111213141517161819212022232614151819202122[[#This Row],[Verbruik Cappucino deze maand]]+Tabel2425678910111213141517161819212022232614151819202122[[#This Row],[Verbruik Hot Water deze maand]]+Tabel2425678910111213141517161819212022232614151819202122[[#This Row],[Verbruik Coffee Latte deze maand]]+Tabel2425678910111213141517161819212022232614151819202122[[#This Row],[Verbruik Latte Macchiato deze maand]]+Tabel2425678910111213141517161819212022232614151819202122[[#This Row],[Verbruik Espresso deze maand]]+Tabel2425678910111213141517161819212022232614151819202122[[#This Row],[Verbruik Coffee deze maand]]</f>
        <v>2487</v>
      </c>
      <c r="AD10" s="69"/>
      <c r="AE10" s="41"/>
      <c r="AF10" s="5"/>
      <c r="AG10" s="41"/>
      <c r="AH10" s="69"/>
      <c r="AI10" s="41"/>
      <c r="AJ10" s="41"/>
      <c r="AK10" s="41"/>
      <c r="AL10" s="75"/>
      <c r="AM10" s="41"/>
      <c r="AN10" s="41"/>
      <c r="AO10" s="5"/>
      <c r="AP10" s="69"/>
      <c r="AQ10" s="41"/>
      <c r="AR10" s="5"/>
      <c r="AS10" s="41"/>
      <c r="AT10" s="69"/>
      <c r="AU10" s="41"/>
      <c r="AV10" s="41"/>
      <c r="AW10" s="41"/>
      <c r="AX10" s="79"/>
      <c r="AY10" s="95">
        <f>Tabel2425678910111213141517161819212022232614151819202122[[#This Row],[Subtotaal waterbar in consumpties]]+Tabel2425678910111213141517161819212022232614151819202122[[#This Row],[Subtotaal koffieautomaten]]</f>
        <v>2487</v>
      </c>
    </row>
    <row r="11" spans="1:130" ht="14.45" customHeight="1" x14ac:dyDescent="0.25">
      <c r="A11" s="65" t="s">
        <v>43</v>
      </c>
      <c r="B11" t="s">
        <v>44</v>
      </c>
      <c r="C11" t="s">
        <v>31</v>
      </c>
      <c r="E11">
        <v>19824</v>
      </c>
      <c r="F11">
        <f>oktober2025!E11</f>
        <v>19136</v>
      </c>
      <c r="G11">
        <f>Tabel2425678910111213141517161819212022232614151819202122[[#This Row],[Stand Coffee einde maand]]-Tabel2425678910111213141517161819212022232614151819202122[[#This Row],[Coffee vorige maand]]</f>
        <v>688</v>
      </c>
      <c r="H11" s="53">
        <v>4426</v>
      </c>
      <c r="I11">
        <f>oktober2025!H11</f>
        <v>4258</v>
      </c>
      <c r="J11">
        <f>Tabel2425678910111213141517161819212022232614151819202122[[#This Row],[Stand Espresso Einde maand]]-Tabel2425678910111213141517161819212022232614151819202122[[#This Row],[Espresso vorige maand]]</f>
        <v>168</v>
      </c>
      <c r="K11" s="53">
        <v>1026</v>
      </c>
      <c r="L11">
        <f>oktober2025!K11</f>
        <v>1022</v>
      </c>
      <c r="M11">
        <f>Tabel2425678910111213141517161819212022232614151819202122[[#This Row],[Stand Latte Macchiato einde maand]]-Tabel2425678910111213141517161819212022232614151819202122[[#This Row],[Latte Macchiato vorige maand]]</f>
        <v>4</v>
      </c>
      <c r="N11" s="53">
        <v>1401</v>
      </c>
      <c r="O11">
        <f>oktober2025!N11</f>
        <v>1390</v>
      </c>
      <c r="P11">
        <f>Tabel2425678910111213141517161819212022232614151819202122[[#This Row],[Stand Coffee Latte einde maand]]-Tabel2425678910111213141517161819212022232614151819202122[[#This Row],[Coffee Latte vorige maand]]</f>
        <v>11</v>
      </c>
      <c r="Q11" s="53">
        <v>32628</v>
      </c>
      <c r="R11">
        <f>oktober2025!Q11</f>
        <v>31622</v>
      </c>
      <c r="S11">
        <f>Tabel2425678910111213141517161819212022232614151819202122[[#This Row],[Stand Hot Water einde maand]]-Tabel2425678910111213141517161819212022232614151819202122[[#This Row],[Hot Water vorige maand]]</f>
        <v>1006</v>
      </c>
      <c r="T11" s="53">
        <v>10071</v>
      </c>
      <c r="U11">
        <f>oktober2025!T11</f>
        <v>9862</v>
      </c>
      <c r="V11">
        <f>Tabel2425678910111213141517161819212022232614151819202122[[#This Row],[Stand Cappucino einde maand]]-Tabel2425678910111213141517161819212022232614151819202122[[#This Row],[Stand Cappucino vorige maand]]</f>
        <v>209</v>
      </c>
      <c r="W11" s="53">
        <v>1755</v>
      </c>
      <c r="X11">
        <f>oktober2025!W11</f>
        <v>1717</v>
      </c>
      <c r="Y11">
        <f>Tabel2425678910111213141517161819212022232614151819202122[[#This Row],[Stand Cappucino Plantaardig einde maand]]-Tabel2425678910111213141517161819212022232614151819202122[[#This Row],[Stand Cappucino Plantaardig vorige maand]]</f>
        <v>38</v>
      </c>
      <c r="Z11" s="53">
        <v>1442</v>
      </c>
      <c r="AA11">
        <f>oktober2025!Z11</f>
        <v>1432</v>
      </c>
      <c r="AB11">
        <f>Tabel2425678910111213141517161819212022232614151819202122[[#This Row],[Stand Latte Macchiato Plantaardig einde maand]]-Tabel2425678910111213141517161819212022232614151819202122[[#This Row],[Stand Latte Macchiato Plantaardig vorige maand]]</f>
        <v>10</v>
      </c>
      <c r="AC11" s="71">
        <f>Tabel2425678910111213141517161819212022232614151819202122[[#This Row],[Verbruik Stand Latte Macchiato Plantaardig deze maand]]+Tabel2425678910111213141517161819212022232614151819202122[[#This Row],[Verbruik  Cappucino Plantaardig deze maand]]+Tabel2425678910111213141517161819212022232614151819202122[[#This Row],[Verbruik Cappucino deze maand]]+Tabel2425678910111213141517161819212022232614151819202122[[#This Row],[Verbruik Hot Water deze maand]]+Tabel2425678910111213141517161819212022232614151819202122[[#This Row],[Verbruik Coffee Latte deze maand]]+Tabel2425678910111213141517161819212022232614151819202122[[#This Row],[Verbruik Latte Macchiato deze maand]]+Tabel2425678910111213141517161819212022232614151819202122[[#This Row],[Verbruik Espresso deze maand]]+Tabel2425678910111213141517161819212022232614151819202122[[#This Row],[Verbruik Coffee deze maand]]</f>
        <v>2134</v>
      </c>
      <c r="AD11" s="69"/>
      <c r="AE11" s="41"/>
      <c r="AF11" s="5"/>
      <c r="AG11" s="41"/>
      <c r="AH11" s="69"/>
      <c r="AI11" s="41"/>
      <c r="AJ11" s="5"/>
      <c r="AK11" s="41"/>
      <c r="AL11" s="75"/>
      <c r="AM11" s="41"/>
      <c r="AN11" s="5"/>
      <c r="AO11" s="5"/>
      <c r="AP11" s="69"/>
      <c r="AQ11" s="41"/>
      <c r="AR11" s="5"/>
      <c r="AS11" s="41"/>
      <c r="AT11" s="69"/>
      <c r="AU11" s="41"/>
      <c r="AV11" s="5"/>
      <c r="AW11" s="41"/>
      <c r="AX11" s="79"/>
      <c r="AY11" s="95">
        <f>Tabel2425678910111213141517161819212022232614151819202122[[#This Row],[Subtotaal waterbar in consumpties]]+Tabel2425678910111213141517161819212022232614151819202122[[#This Row],[Subtotaal koffieautomaten]]</f>
        <v>2134</v>
      </c>
    </row>
    <row r="12" spans="1:130" ht="14.45" customHeight="1" x14ac:dyDescent="0.25">
      <c r="A12" s="65" t="s">
        <v>45</v>
      </c>
      <c r="B12" t="s">
        <v>46</v>
      </c>
      <c r="C12" t="s">
        <v>47</v>
      </c>
      <c r="E12">
        <v>33856</v>
      </c>
      <c r="F12">
        <f>oktober2025!E12</f>
        <v>32698</v>
      </c>
      <c r="G12">
        <f>Tabel2425678910111213141517161819212022232614151819202122[[#This Row],[Stand Coffee einde maand]]-Tabel2425678910111213141517161819212022232614151819202122[[#This Row],[Coffee vorige maand]]</f>
        <v>1158</v>
      </c>
      <c r="H12" s="53">
        <v>3820</v>
      </c>
      <c r="I12">
        <f>oktober2025!H12</f>
        <v>3632</v>
      </c>
      <c r="J12">
        <f>Tabel2425678910111213141517161819212022232614151819202122[[#This Row],[Stand Espresso Einde maand]]-Tabel2425678910111213141517161819212022232614151819202122[[#This Row],[Espresso vorige maand]]</f>
        <v>188</v>
      </c>
      <c r="K12" s="53">
        <v>1995</v>
      </c>
      <c r="L12">
        <f>oktober2025!K12</f>
        <v>1948</v>
      </c>
      <c r="M12">
        <f>Tabel2425678910111213141517161819212022232614151819202122[[#This Row],[Stand Latte Macchiato einde maand]]-Tabel2425678910111213141517161819212022232614151819202122[[#This Row],[Latte Macchiato vorige maand]]</f>
        <v>47</v>
      </c>
      <c r="N12" s="53">
        <v>1127</v>
      </c>
      <c r="O12">
        <f>oktober2025!N12</f>
        <v>1114</v>
      </c>
      <c r="P12">
        <f>Tabel2425678910111213141517161819212022232614151819202122[[#This Row],[Stand Coffee Latte einde maand]]-Tabel2425678910111213141517161819212022232614151819202122[[#This Row],[Coffee Latte vorige maand]]</f>
        <v>13</v>
      </c>
      <c r="Q12" s="53">
        <v>1</v>
      </c>
      <c r="R12">
        <f>oktober2025!Q12</f>
        <v>1</v>
      </c>
      <c r="S12">
        <f>Tabel2425678910111213141517161819212022232614151819202122[[#This Row],[Stand Hot Water einde maand]]-Tabel2425678910111213141517161819212022232614151819202122[[#This Row],[Hot Water vorige maand]]</f>
        <v>0</v>
      </c>
      <c r="T12" s="53">
        <v>10318</v>
      </c>
      <c r="U12">
        <f>oktober2025!T12</f>
        <v>10000</v>
      </c>
      <c r="V12">
        <f>Tabel2425678910111213141517161819212022232614151819202122[[#This Row],[Stand Cappucino einde maand]]-Tabel2425678910111213141517161819212022232614151819202122[[#This Row],[Stand Cappucino vorige maand]]</f>
        <v>318</v>
      </c>
      <c r="W12" s="53">
        <v>4233</v>
      </c>
      <c r="X12">
        <f>oktober2025!W12</f>
        <v>4157</v>
      </c>
      <c r="Y12">
        <f>Tabel2425678910111213141517161819212022232614151819202122[[#This Row],[Stand Cappucino Plantaardig einde maand]]-Tabel2425678910111213141517161819212022232614151819202122[[#This Row],[Stand Cappucino Plantaardig vorige maand]]</f>
        <v>76</v>
      </c>
      <c r="Z12" s="53">
        <v>883</v>
      </c>
      <c r="AA12">
        <f>oktober2025!Z12</f>
        <v>869</v>
      </c>
      <c r="AB12">
        <f>Tabel2425678910111213141517161819212022232614151819202122[[#This Row],[Stand Latte Macchiato Plantaardig einde maand]]-Tabel2425678910111213141517161819212022232614151819202122[[#This Row],[Stand Latte Macchiato Plantaardig vorige maand]]</f>
        <v>14</v>
      </c>
      <c r="AC12" s="71">
        <f>Tabel2425678910111213141517161819212022232614151819202122[[#This Row],[Verbruik Stand Latte Macchiato Plantaardig deze maand]]+Tabel2425678910111213141517161819212022232614151819202122[[#This Row],[Verbruik  Cappucino Plantaardig deze maand]]+Tabel2425678910111213141517161819212022232614151819202122[[#This Row],[Verbruik Cappucino deze maand]]+Tabel2425678910111213141517161819212022232614151819202122[[#This Row],[Verbruik Hot Water deze maand]]+Tabel2425678910111213141517161819212022232614151819202122[[#This Row],[Verbruik Coffee Latte deze maand]]+Tabel2425678910111213141517161819212022232614151819202122[[#This Row],[Verbruik Latte Macchiato deze maand]]+Tabel2425678910111213141517161819212022232614151819202122[[#This Row],[Verbruik Espresso deze maand]]+Tabel2425678910111213141517161819212022232614151819202122[[#This Row],[Verbruik Coffee deze maand]]</f>
        <v>1814</v>
      </c>
      <c r="AD12" s="53">
        <v>816</v>
      </c>
      <c r="AE12">
        <f>oktober2025!AD12</f>
        <v>791.1</v>
      </c>
      <c r="AF12">
        <f>Tabel2425678910111213141517161819212022232614151819202122[[#This Row],[Stand Kamertemp liter einde maand]]-Tabel2425678910111213141517161819212022232614151819202122[[#This Row],[Stand Kamertemp liter vorige maand]]</f>
        <v>24.899999999999977</v>
      </c>
      <c r="AG12" s="2">
        <f>Tabel2425678910111213141517161819212022232614151819202122[[#This Row],[Verbruik Kamertemp liter deze maand]]/0.15</f>
        <v>165.99999999999986</v>
      </c>
      <c r="AH12" s="53">
        <v>3761.5</v>
      </c>
      <c r="AI12">
        <f>oktober2025!AH12</f>
        <v>3490.9</v>
      </c>
      <c r="AJ12">
        <f>Tabel2425678910111213141517161819212022232614151819202122[[#This Row],[Stand Gekoeld liter einde maand]]-Tabel2425678910111213141517161819212022232614151819202122[[#This Row],[Stand Gekoeld liter vorige maand]]</f>
        <v>270.59999999999991</v>
      </c>
      <c r="AK12" s="2">
        <f>Tabel2425678910111213141517161819212022232614151819202122[[#This Row],[Verbruik Gekoeld liter deze maand]]/0.15</f>
        <v>1803.9999999999995</v>
      </c>
      <c r="AL12" s="53">
        <v>2743.6</v>
      </c>
      <c r="AM12">
        <f>oktober2025!AL12</f>
        <v>2609.4</v>
      </c>
      <c r="AN12">
        <f>Tabel2425678910111213141517161819212022232614151819202122[[#This Row],[Stand Bruisend liter einde maand]]-Tabel2425678910111213141517161819212022232614151819202122[[#This Row],[Stand Bruisend liter vorige maand]]</f>
        <v>134.19999999999982</v>
      </c>
      <c r="AO12" s="2">
        <f>Tabel2425678910111213141517161819212022232614151819202122[[#This Row],[Verbruik Bruisend liter deze maand]]/0.15</f>
        <v>894.66666666666549</v>
      </c>
      <c r="AP12" s="53">
        <v>976.5</v>
      </c>
      <c r="AQ12">
        <f>oktober2025!AP12</f>
        <v>918</v>
      </c>
      <c r="AR12">
        <f>Tabel2425678910111213141517161819212022232614151819202122[[#This Row],[Stand licht bruisend liter einde maand]]-Tabel2425678910111213141517161819212022232614151819202122[[#This Row],[Stand licht bruisend liter vorige maand]]</f>
        <v>58.5</v>
      </c>
      <c r="AS12" s="2">
        <f>Tabel2425678910111213141517161819212022232614151819202122[[#This Row],[Verbruik licht bruisend liter deze maand]]/0.15</f>
        <v>390</v>
      </c>
      <c r="AT12" s="53">
        <v>6540</v>
      </c>
      <c r="AU12">
        <f>oktober2025!AT12</f>
        <v>6188</v>
      </c>
      <c r="AV12">
        <f>Tabel2425678910111213141517161819212022232614151819202122[[#This Row],[Stand heet water liter einde maand]]-Tabel2425678910111213141517161819212022232614151819202122[[#This Row],[Stand heet water liter vorige maand]]</f>
        <v>352</v>
      </c>
      <c r="AW12" s="2">
        <f>Tabel2425678910111213141517161819212022232614151819202122[[#This Row],[Verbruik heet Water liter deze maand ]]/0.15</f>
        <v>2346.666666666667</v>
      </c>
      <c r="AX12" s="77">
        <f>Tabel2425678910111213141517161819212022232614151819202122[[#This Row],[Aantal consumpties heet water deze maand]]+Tabel2425678910111213141517161819212022232614151819202122[[#This Row],[Aantal consumpties licht bruisend water deze maand]]+Tabel2425678910111213141517161819212022232614151819202122[[#This Row],[aantal consumpties Bruisend water deze maand]]+Tabel2425678910111213141517161819212022232614151819202122[[#This Row],[Aantal consumpties gekoeld water deze maand]]+Tabel2425678910111213141517161819212022232614151819202122[[#This Row],[Aantal consumpties Kamertemp deze maand]]</f>
        <v>5601.3333333333321</v>
      </c>
      <c r="AY12" s="95">
        <f>Tabel2425678910111213141517161819212022232614151819202122[[#This Row],[Subtotaal waterbar in consumpties]]+Tabel2425678910111213141517161819212022232614151819202122[[#This Row],[Subtotaal koffieautomaten]]</f>
        <v>7415.3333333333321</v>
      </c>
    </row>
    <row r="13" spans="1:130" ht="14.45" customHeight="1" x14ac:dyDescent="0.25">
      <c r="A13" s="65" t="s">
        <v>48</v>
      </c>
      <c r="B13" t="s">
        <v>49</v>
      </c>
      <c r="C13" t="s">
        <v>31</v>
      </c>
      <c r="E13">
        <v>31619</v>
      </c>
      <c r="F13">
        <f>oktober2025!E13</f>
        <v>30794</v>
      </c>
      <c r="G13">
        <f>Tabel2425678910111213141517161819212022232614151819202122[[#This Row],[Stand Coffee einde maand]]-Tabel2425678910111213141517161819212022232614151819202122[[#This Row],[Coffee vorige maand]]</f>
        <v>825</v>
      </c>
      <c r="H13" s="53">
        <v>9170</v>
      </c>
      <c r="I13">
        <f>oktober2025!H13</f>
        <v>8871</v>
      </c>
      <c r="J13">
        <f>Tabel2425678910111213141517161819212022232614151819202122[[#This Row],[Stand Espresso Einde maand]]-Tabel2425678910111213141517161819212022232614151819202122[[#This Row],[Espresso vorige maand]]</f>
        <v>299</v>
      </c>
      <c r="K13" s="53">
        <v>1638</v>
      </c>
      <c r="L13">
        <f>oktober2025!K13</f>
        <v>1612</v>
      </c>
      <c r="M13">
        <f>Tabel2425678910111213141517161819212022232614151819202122[[#This Row],[Stand Latte Macchiato einde maand]]-Tabel2425678910111213141517161819212022232614151819202122[[#This Row],[Latte Macchiato vorige maand]]</f>
        <v>26</v>
      </c>
      <c r="N13" s="53">
        <v>700</v>
      </c>
      <c r="O13">
        <f>oktober2025!N13</f>
        <v>685</v>
      </c>
      <c r="P13">
        <f>Tabel2425678910111213141517161819212022232614151819202122[[#This Row],[Stand Coffee Latte einde maand]]-Tabel2425678910111213141517161819212022232614151819202122[[#This Row],[Coffee Latte vorige maand]]</f>
        <v>15</v>
      </c>
      <c r="Q13" s="53">
        <v>84444</v>
      </c>
      <c r="R13">
        <f>oktober2025!Q13</f>
        <v>81313</v>
      </c>
      <c r="S13">
        <f>Tabel2425678910111213141517161819212022232614151819202122[[#This Row],[Stand Hot Water einde maand]]-Tabel2425678910111213141517161819212022232614151819202122[[#This Row],[Hot Water vorige maand]]</f>
        <v>3131</v>
      </c>
      <c r="T13" s="53">
        <v>17168</v>
      </c>
      <c r="U13">
        <f>oktober2025!T13</f>
        <v>16643</v>
      </c>
      <c r="V13">
        <f>Tabel2425678910111213141517161819212022232614151819202122[[#This Row],[Stand Cappucino einde maand]]-Tabel2425678910111213141517161819212022232614151819202122[[#This Row],[Stand Cappucino vorige maand]]</f>
        <v>525</v>
      </c>
      <c r="W13" s="53">
        <v>2801</v>
      </c>
      <c r="X13">
        <f>oktober2025!W13</f>
        <v>2767</v>
      </c>
      <c r="Y13">
        <f>Tabel2425678910111213141517161819212022232614151819202122[[#This Row],[Stand Cappucino Plantaardig einde maand]]-Tabel2425678910111213141517161819212022232614151819202122[[#This Row],[Stand Cappucino Plantaardig vorige maand]]</f>
        <v>34</v>
      </c>
      <c r="Z13" s="53">
        <v>1093</v>
      </c>
      <c r="AA13">
        <f>oktober2025!Z13</f>
        <v>1040</v>
      </c>
      <c r="AB13">
        <f>Tabel2425678910111213141517161819212022232614151819202122[[#This Row],[Stand Latte Macchiato Plantaardig einde maand]]-Tabel2425678910111213141517161819212022232614151819202122[[#This Row],[Stand Latte Macchiato Plantaardig vorige maand]]</f>
        <v>53</v>
      </c>
      <c r="AC13" s="71">
        <f>Tabel2425678910111213141517161819212022232614151819202122[[#This Row],[Verbruik Stand Latte Macchiato Plantaardig deze maand]]+Tabel2425678910111213141517161819212022232614151819202122[[#This Row],[Verbruik  Cappucino Plantaardig deze maand]]+Tabel2425678910111213141517161819212022232614151819202122[[#This Row],[Verbruik Cappucino deze maand]]+Tabel2425678910111213141517161819212022232614151819202122[[#This Row],[Verbruik Hot Water deze maand]]+Tabel2425678910111213141517161819212022232614151819202122[[#This Row],[Verbruik Coffee Latte deze maand]]+Tabel2425678910111213141517161819212022232614151819202122[[#This Row],[Verbruik Latte Macchiato deze maand]]+Tabel2425678910111213141517161819212022232614151819202122[[#This Row],[Verbruik Espresso deze maand]]+Tabel2425678910111213141517161819212022232614151819202122[[#This Row],[Verbruik Coffee deze maand]]</f>
        <v>4908</v>
      </c>
      <c r="AD13" s="69"/>
      <c r="AE13" s="41"/>
      <c r="AF13" s="5"/>
      <c r="AG13" s="5"/>
      <c r="AH13" s="75"/>
      <c r="AI13" s="41"/>
      <c r="AJ13" s="5"/>
      <c r="AK13" s="5"/>
      <c r="AL13" s="75"/>
      <c r="AM13" s="41"/>
      <c r="AN13" s="5"/>
      <c r="AO13" s="5"/>
      <c r="AP13" s="75"/>
      <c r="AQ13" s="41"/>
      <c r="AR13" s="5"/>
      <c r="AS13" s="5"/>
      <c r="AT13" s="75"/>
      <c r="AU13" s="41"/>
      <c r="AV13" s="5"/>
      <c r="AW13" s="5"/>
      <c r="AX13" s="79"/>
      <c r="AY13" s="95">
        <f>Tabel2425678910111213141517161819212022232614151819202122[[#This Row],[Subtotaal waterbar in consumpties]]+Tabel2425678910111213141517161819212022232614151819202122[[#This Row],[Subtotaal koffieautomaten]]</f>
        <v>4908</v>
      </c>
    </row>
    <row r="14" spans="1:130" ht="14.45" customHeight="1" x14ac:dyDescent="0.25">
      <c r="A14" s="65" t="s">
        <v>50</v>
      </c>
      <c r="B14" t="s">
        <v>51</v>
      </c>
      <c r="C14" t="s">
        <v>47</v>
      </c>
      <c r="E14">
        <f>Tabel2425678910111213141517161819212022232614151819202122[[#This Row],[Coffee vorige maand]]+825</f>
        <v>26402</v>
      </c>
      <c r="F14">
        <f>oktober2025!E14</f>
        <v>25577</v>
      </c>
      <c r="G14">
        <f>Tabel2425678910111213141517161819212022232614151819202122[[#This Row],[Stand Coffee einde maand]]-Tabel2425678910111213141517161819212022232614151819202122[[#This Row],[Coffee vorige maand]]</f>
        <v>825</v>
      </c>
      <c r="H14" s="53">
        <f>Tabel2425678910111213141517161819212022232614151819202122[[#This Row],[Espresso vorige maand]]+324</f>
        <v>7451</v>
      </c>
      <c r="I14">
        <f>oktober2025!H14</f>
        <v>7127</v>
      </c>
      <c r="J14">
        <f>Tabel2425678910111213141517161819212022232614151819202122[[#This Row],[Stand Espresso Einde maand]]-Tabel2425678910111213141517161819212022232614151819202122[[#This Row],[Espresso vorige maand]]</f>
        <v>324</v>
      </c>
      <c r="K14" s="53">
        <v>2766</v>
      </c>
      <c r="L14">
        <f>oktober2025!K14</f>
        <v>2667</v>
      </c>
      <c r="M14">
        <f>Tabel2425678910111213141517161819212022232614151819202122[[#This Row],[Stand Latte Macchiato einde maand]]-Tabel2425678910111213141517161819212022232614151819202122[[#This Row],[Latte Macchiato vorige maand]]</f>
        <v>99</v>
      </c>
      <c r="N14" s="53">
        <v>1294</v>
      </c>
      <c r="O14">
        <f>oktober2025!N14</f>
        <v>1275</v>
      </c>
      <c r="P14">
        <f>Tabel2425678910111213141517161819212022232614151819202122[[#This Row],[Stand Coffee Latte einde maand]]-Tabel2425678910111213141517161819212022232614151819202122[[#This Row],[Coffee Latte vorige maand]]</f>
        <v>19</v>
      </c>
      <c r="Q14" s="53">
        <v>1</v>
      </c>
      <c r="R14">
        <f>oktober2025!Q14</f>
        <v>1</v>
      </c>
      <c r="S14">
        <f>Tabel2425678910111213141517161819212022232614151819202122[[#This Row],[Stand Hot Water einde maand]]-Tabel2425678910111213141517161819212022232614151819202122[[#This Row],[Hot Water vorige maand]]</f>
        <v>0</v>
      </c>
      <c r="T14" s="53">
        <v>11508</v>
      </c>
      <c r="U14">
        <f>oktober2025!T14</f>
        <v>11204</v>
      </c>
      <c r="V14">
        <f>Tabel2425678910111213141517161819212022232614151819202122[[#This Row],[Stand Cappucino einde maand]]-Tabel2425678910111213141517161819212022232614151819202122[[#This Row],[Stand Cappucino vorige maand]]</f>
        <v>304</v>
      </c>
      <c r="W14" s="53">
        <v>1423</v>
      </c>
      <c r="X14">
        <f>oktober2025!W14</f>
        <v>1377</v>
      </c>
      <c r="Y14">
        <f>Tabel2425678910111213141517161819212022232614151819202122[[#This Row],[Stand Cappucino Plantaardig einde maand]]-Tabel2425678910111213141517161819212022232614151819202122[[#This Row],[Stand Cappucino Plantaardig vorige maand]]</f>
        <v>46</v>
      </c>
      <c r="Z14" s="53">
        <v>824</v>
      </c>
      <c r="AA14">
        <f>oktober2025!Z14</f>
        <v>811</v>
      </c>
      <c r="AB14">
        <f>Tabel2425678910111213141517161819212022232614151819202122[[#This Row],[Stand Latte Macchiato Plantaardig einde maand]]-Tabel2425678910111213141517161819212022232614151819202122[[#This Row],[Stand Latte Macchiato Plantaardig vorige maand]]</f>
        <v>13</v>
      </c>
      <c r="AC14" s="71">
        <f>Tabel2425678910111213141517161819212022232614151819202122[[#This Row],[Verbruik Stand Latte Macchiato Plantaardig deze maand]]+Tabel2425678910111213141517161819212022232614151819202122[[#This Row],[Verbruik  Cappucino Plantaardig deze maand]]+Tabel2425678910111213141517161819212022232614151819202122[[#This Row],[Verbruik Cappucino deze maand]]+Tabel2425678910111213141517161819212022232614151819202122[[#This Row],[Verbruik Hot Water deze maand]]+Tabel2425678910111213141517161819212022232614151819202122[[#This Row],[Verbruik Coffee Latte deze maand]]+Tabel2425678910111213141517161819212022232614151819202122[[#This Row],[Verbruik Latte Macchiato deze maand]]+Tabel2425678910111213141517161819212022232614151819202122[[#This Row],[Verbruik Espresso deze maand]]+Tabel2425678910111213141517161819212022232614151819202122[[#This Row],[Verbruik Coffee deze maand]]</f>
        <v>1630</v>
      </c>
      <c r="AD14" s="53">
        <v>78.2</v>
      </c>
      <c r="AE14">
        <f>oktober2025!AD14</f>
        <v>54.8</v>
      </c>
      <c r="AF14">
        <f>Tabel2425678910111213141517161819212022232614151819202122[[#This Row],[Stand Kamertemp liter einde maand]]-Tabel2425678910111213141517161819212022232614151819202122[[#This Row],[Stand Kamertemp liter vorige maand]]</f>
        <v>23.400000000000006</v>
      </c>
      <c r="AG14" s="2">
        <f>Tabel2425678910111213141517161819212022232614151819202122[[#This Row],[Verbruik Kamertemp liter deze maand]]/0.15</f>
        <v>156.00000000000006</v>
      </c>
      <c r="AH14" s="53">
        <v>571.20000000000005</v>
      </c>
      <c r="AI14">
        <f>oktober2025!AH14</f>
        <v>339.9</v>
      </c>
      <c r="AJ14">
        <f>Tabel2425678910111213141517161819212022232614151819202122[[#This Row],[Stand Gekoeld liter einde maand]]-Tabel2425678910111213141517161819212022232614151819202122[[#This Row],[Stand Gekoeld liter vorige maand]]</f>
        <v>231.30000000000007</v>
      </c>
      <c r="AK14" s="2">
        <f>Tabel2425678910111213141517161819212022232614151819202122[[#This Row],[Verbruik Gekoeld liter deze maand]]/0.15</f>
        <v>1542.0000000000005</v>
      </c>
      <c r="AL14" s="53">
        <v>326.8</v>
      </c>
      <c r="AM14">
        <f>oktober2025!AL14</f>
        <v>190.4</v>
      </c>
      <c r="AN14">
        <f>Tabel2425678910111213141517161819212022232614151819202122[[#This Row],[Stand Bruisend liter einde maand]]-Tabel2425678910111213141517161819212022232614151819202122[[#This Row],[Stand Bruisend liter vorige maand]]</f>
        <v>136.4</v>
      </c>
      <c r="AO14" s="2">
        <f>Tabel2425678910111213141517161819212022232614151819202122[[#This Row],[Verbruik Bruisend liter deze maand]]/0.15</f>
        <v>909.33333333333337</v>
      </c>
      <c r="AP14" s="53">
        <v>179.8</v>
      </c>
      <c r="AQ14">
        <f>oktober2025!AP14</f>
        <v>97.6</v>
      </c>
      <c r="AR14">
        <f>Tabel2425678910111213141517161819212022232614151819202122[[#This Row],[Stand licht bruisend liter einde maand]]-Tabel2425678910111213141517161819212022232614151819202122[[#This Row],[Stand licht bruisend liter vorige maand]]</f>
        <v>82.200000000000017</v>
      </c>
      <c r="AS14" s="2">
        <f>Tabel2425678910111213141517161819212022232614151819202122[[#This Row],[Verbruik licht bruisend liter deze maand]]/0.15</f>
        <v>548.00000000000011</v>
      </c>
      <c r="AT14" s="53">
        <v>1242.5</v>
      </c>
      <c r="AU14">
        <f>oktober2025!AT14</f>
        <v>762.2</v>
      </c>
      <c r="AV14">
        <f>Tabel2425678910111213141517161819212022232614151819202122[[#This Row],[Stand heet water liter einde maand]]-Tabel2425678910111213141517161819212022232614151819202122[[#This Row],[Stand heet water liter vorige maand]]</f>
        <v>480.29999999999995</v>
      </c>
      <c r="AW14" s="2">
        <f>Tabel2425678910111213141517161819212022232614151819202122[[#This Row],[Verbruik heet Water liter deze maand ]]/0.15</f>
        <v>3202</v>
      </c>
      <c r="AX14" s="77">
        <f>Tabel2425678910111213141517161819212022232614151819202122[[#This Row],[Aantal consumpties heet water deze maand]]+Tabel2425678910111213141517161819212022232614151819202122[[#This Row],[Aantal consumpties licht bruisend water deze maand]]+Tabel2425678910111213141517161819212022232614151819202122[[#This Row],[aantal consumpties Bruisend water deze maand]]+Tabel2425678910111213141517161819212022232614151819202122[[#This Row],[Aantal consumpties gekoeld water deze maand]]+Tabel2425678910111213141517161819212022232614151819202122[[#This Row],[Aantal consumpties Kamertemp deze maand]]</f>
        <v>6357.3333333333339</v>
      </c>
      <c r="AY14" s="95">
        <f>Tabel2425678910111213141517161819212022232614151819202122[[#This Row],[Subtotaal waterbar in consumpties]]+Tabel2425678910111213141517161819212022232614151819202122[[#This Row],[Subtotaal koffieautomaten]]</f>
        <v>7987.3333333333339</v>
      </c>
    </row>
    <row r="15" spans="1:130" ht="14.45" customHeight="1" x14ac:dyDescent="0.25">
      <c r="A15" s="65" t="s">
        <v>52</v>
      </c>
      <c r="B15" t="s">
        <v>53</v>
      </c>
      <c r="C15" t="s">
        <v>31</v>
      </c>
      <c r="E15">
        <f>Tabel2425678910111213141517161819212022232614151819202122[[#This Row],[Coffee vorige maand]]+201</f>
        <v>22258</v>
      </c>
      <c r="F15">
        <f>oktober2025!E15</f>
        <v>22057</v>
      </c>
      <c r="G15">
        <f>Tabel2425678910111213141517161819212022232614151819202122[[#This Row],[Stand Coffee einde maand]]-Tabel2425678910111213141517161819212022232614151819202122[[#This Row],[Coffee vorige maand]]</f>
        <v>201</v>
      </c>
      <c r="H15" s="53">
        <f>Tabel2425678910111213141517161819212022232614151819202122[[#This Row],[Espresso vorige maand]]+89</f>
        <v>6082</v>
      </c>
      <c r="I15">
        <f>oktober2025!H15</f>
        <v>5993</v>
      </c>
      <c r="J15">
        <f>Tabel2425678910111213141517161819212022232614151819202122[[#This Row],[Stand Espresso Einde maand]]-Tabel2425678910111213141517161819212022232614151819202122[[#This Row],[Espresso vorige maand]]</f>
        <v>89</v>
      </c>
      <c r="K15" s="53">
        <v>1400</v>
      </c>
      <c r="L15">
        <f>oktober2025!K15</f>
        <v>1323</v>
      </c>
      <c r="M15">
        <f>Tabel2425678910111213141517161819212022232614151819202122[[#This Row],[Stand Latte Macchiato einde maand]]-Tabel2425678910111213141517161819212022232614151819202122[[#This Row],[Latte Macchiato vorige maand]]</f>
        <v>77</v>
      </c>
      <c r="N15" s="53">
        <v>1450</v>
      </c>
      <c r="O15">
        <f>oktober2025!N15</f>
        <v>1408</v>
      </c>
      <c r="P15">
        <f>Tabel2425678910111213141517161819212022232614151819202122[[#This Row],[Stand Coffee Latte einde maand]]-Tabel2425678910111213141517161819212022232614151819202122[[#This Row],[Coffee Latte vorige maand]]</f>
        <v>42</v>
      </c>
      <c r="Q15" s="53">
        <v>42336</v>
      </c>
      <c r="R15">
        <f>oktober2025!Q15</f>
        <v>40634</v>
      </c>
      <c r="S15">
        <f>Tabel2425678910111213141517161819212022232614151819202122[[#This Row],[Stand Hot Water einde maand]]-Tabel2425678910111213141517161819212022232614151819202122[[#This Row],[Hot Water vorige maand]]</f>
        <v>1702</v>
      </c>
      <c r="T15" s="53">
        <v>10043</v>
      </c>
      <c r="U15">
        <f>oktober2025!T15</f>
        <v>9780</v>
      </c>
      <c r="V15">
        <f>Tabel2425678910111213141517161819212022232614151819202122[[#This Row],[Stand Cappucino einde maand]]-Tabel2425678910111213141517161819212022232614151819202122[[#This Row],[Stand Cappucino vorige maand]]</f>
        <v>263</v>
      </c>
      <c r="W15" s="53">
        <v>2082</v>
      </c>
      <c r="X15">
        <f>oktober2025!W15</f>
        <v>2013</v>
      </c>
      <c r="Y15">
        <f>Tabel2425678910111213141517161819212022232614151819202122[[#This Row],[Stand Cappucino Plantaardig einde maand]]-Tabel2425678910111213141517161819212022232614151819202122[[#This Row],[Stand Cappucino Plantaardig vorige maand]]</f>
        <v>69</v>
      </c>
      <c r="Z15" s="53">
        <v>520</v>
      </c>
      <c r="AA15">
        <f>oktober2025!Z15</f>
        <v>499</v>
      </c>
      <c r="AB15">
        <f>Tabel2425678910111213141517161819212022232614151819202122[[#This Row],[Stand Latte Macchiato Plantaardig einde maand]]-Tabel2425678910111213141517161819212022232614151819202122[[#This Row],[Stand Latte Macchiato Plantaardig vorige maand]]</f>
        <v>21</v>
      </c>
      <c r="AC15" s="71">
        <f>Tabel2425678910111213141517161819212022232614151819202122[[#This Row],[Verbruik Stand Latte Macchiato Plantaardig deze maand]]+Tabel2425678910111213141517161819212022232614151819202122[[#This Row],[Verbruik  Cappucino Plantaardig deze maand]]+Tabel2425678910111213141517161819212022232614151819202122[[#This Row],[Verbruik Cappucino deze maand]]+Tabel2425678910111213141517161819212022232614151819202122[[#This Row],[Verbruik Hot Water deze maand]]+Tabel2425678910111213141517161819212022232614151819202122[[#This Row],[Verbruik Coffee Latte deze maand]]+Tabel2425678910111213141517161819212022232614151819202122[[#This Row],[Verbruik Latte Macchiato deze maand]]+Tabel2425678910111213141517161819212022232614151819202122[[#This Row],[Verbruik Espresso deze maand]]+Tabel2425678910111213141517161819212022232614151819202122[[#This Row],[Verbruik Coffee deze maand]]</f>
        <v>2464</v>
      </c>
      <c r="AD15" s="69"/>
      <c r="AE15" s="41"/>
      <c r="AF15" s="5"/>
      <c r="AG15" s="5"/>
      <c r="AH15" s="75"/>
      <c r="AI15" s="41"/>
      <c r="AJ15" s="5"/>
      <c r="AK15" s="5"/>
      <c r="AL15" s="75"/>
      <c r="AM15" s="41"/>
      <c r="AN15" s="5"/>
      <c r="AO15" s="5"/>
      <c r="AP15" s="75"/>
      <c r="AQ15" s="41"/>
      <c r="AR15" s="5"/>
      <c r="AS15" s="5"/>
      <c r="AT15" s="75"/>
      <c r="AU15" s="41"/>
      <c r="AV15" s="5"/>
      <c r="AW15" s="5"/>
      <c r="AX15" s="79"/>
      <c r="AY15" s="95">
        <f>Tabel2425678910111213141517161819212022232614151819202122[[#This Row],[Subtotaal waterbar in consumpties]]+Tabel2425678910111213141517161819212022232614151819202122[[#This Row],[Subtotaal koffieautomaten]]</f>
        <v>2464</v>
      </c>
    </row>
    <row r="16" spans="1:130" ht="14.45" customHeight="1" x14ac:dyDescent="0.25">
      <c r="A16" s="65" t="s">
        <v>54</v>
      </c>
      <c r="B16" t="s">
        <v>55</v>
      </c>
      <c r="C16" t="s">
        <v>47</v>
      </c>
      <c r="E16">
        <v>3937</v>
      </c>
      <c r="F16">
        <f>oktober2025!E16</f>
        <v>3661</v>
      </c>
      <c r="G16">
        <f>Tabel2425678910111213141517161819212022232614151819202122[[#This Row],[Stand Coffee einde maand]]-Tabel2425678910111213141517161819212022232614151819202122[[#This Row],[Coffee vorige maand]]</f>
        <v>276</v>
      </c>
      <c r="H16" s="53">
        <v>4677</v>
      </c>
      <c r="I16">
        <f>oktober2025!H16</f>
        <v>4431</v>
      </c>
      <c r="J16">
        <f>Tabel2425678910111213141517161819212022232614151819202122[[#This Row],[Stand Espresso Einde maand]]-Tabel2425678910111213141517161819212022232614151819202122[[#This Row],[Espresso vorige maand]]</f>
        <v>246</v>
      </c>
      <c r="K16" s="53">
        <v>451</v>
      </c>
      <c r="L16">
        <f>oktober2025!K16</f>
        <v>429</v>
      </c>
      <c r="M16">
        <f>Tabel2425678910111213141517161819212022232614151819202122[[#This Row],[Stand Latte Macchiato einde maand]]-Tabel2425678910111213141517161819212022232614151819202122[[#This Row],[Latte Macchiato vorige maand]]</f>
        <v>22</v>
      </c>
      <c r="N16" s="53">
        <v>201</v>
      </c>
      <c r="O16">
        <f>oktober2025!N16</f>
        <v>197</v>
      </c>
      <c r="P16">
        <f>Tabel2425678910111213141517161819212022232614151819202122[[#This Row],[Stand Coffee Latte einde maand]]-Tabel2425678910111213141517161819212022232614151819202122[[#This Row],[Coffee Latte vorige maand]]</f>
        <v>4</v>
      </c>
      <c r="Q16" s="53">
        <v>1314</v>
      </c>
      <c r="R16">
        <f>oktober2025!Q16</f>
        <v>1236</v>
      </c>
      <c r="S16">
        <f>Tabel2425678910111213141517161819212022232614151819202122[[#This Row],[Stand Hot Water einde maand]]-Tabel2425678910111213141517161819212022232614151819202122[[#This Row],[Hot Water vorige maand]]</f>
        <v>78</v>
      </c>
      <c r="T16" s="53">
        <v>5779</v>
      </c>
      <c r="U16">
        <f>oktober2025!T16</f>
        <v>5445</v>
      </c>
      <c r="V16">
        <f>Tabel2425678910111213141517161819212022232614151819202122[[#This Row],[Stand Cappucino einde maand]]-Tabel2425678910111213141517161819212022232614151819202122[[#This Row],[Stand Cappucino vorige maand]]</f>
        <v>334</v>
      </c>
      <c r="W16" s="53">
        <v>539</v>
      </c>
      <c r="X16">
        <f>oktober2025!W16</f>
        <v>516</v>
      </c>
      <c r="Y16">
        <f>Tabel2425678910111213141517161819212022232614151819202122[[#This Row],[Stand Cappucino Plantaardig einde maand]]-Tabel2425678910111213141517161819212022232614151819202122[[#This Row],[Stand Cappucino Plantaardig vorige maand]]</f>
        <v>23</v>
      </c>
      <c r="Z16" s="53">
        <v>62</v>
      </c>
      <c r="AA16">
        <f>oktober2025!Z16</f>
        <v>59</v>
      </c>
      <c r="AB16">
        <f>Tabel2425678910111213141517161819212022232614151819202122[[#This Row],[Stand Latte Macchiato Plantaardig einde maand]]-Tabel2425678910111213141517161819212022232614151819202122[[#This Row],[Stand Latte Macchiato Plantaardig vorige maand]]</f>
        <v>3</v>
      </c>
      <c r="AC16" s="71">
        <f>Tabel2425678910111213141517161819212022232614151819202122[[#This Row],[Verbruik Stand Latte Macchiato Plantaardig deze maand]]+Tabel2425678910111213141517161819212022232614151819202122[[#This Row],[Verbruik  Cappucino Plantaardig deze maand]]+Tabel2425678910111213141517161819212022232614151819202122[[#This Row],[Verbruik Cappucino deze maand]]+Tabel2425678910111213141517161819212022232614151819202122[[#This Row],[Verbruik Hot Water deze maand]]+Tabel2425678910111213141517161819212022232614151819202122[[#This Row],[Verbruik Coffee Latte deze maand]]+Tabel2425678910111213141517161819212022232614151819202122[[#This Row],[Verbruik Latte Macchiato deze maand]]+Tabel2425678910111213141517161819212022232614151819202122[[#This Row],[Verbruik Espresso deze maand]]+Tabel2425678910111213141517161819212022232614151819202122[[#This Row],[Verbruik Coffee deze maand]]</f>
        <v>986</v>
      </c>
      <c r="AD16" s="53">
        <v>102.6</v>
      </c>
      <c r="AE16">
        <f>oktober2025!AD16</f>
        <v>91.3</v>
      </c>
      <c r="AF16">
        <f>Tabel2425678910111213141517161819212022232614151819202122[[#This Row],[Stand Kamertemp liter einde maand]]-Tabel2425678910111213141517161819212022232614151819202122[[#This Row],[Stand Kamertemp liter vorige maand]]</f>
        <v>11.299999999999997</v>
      </c>
      <c r="AG16" s="2">
        <f>Tabel2425678910111213141517161819212022232614151819202122[[#This Row],[Verbruik Kamertemp liter deze maand]]/0.15</f>
        <v>75.333333333333314</v>
      </c>
      <c r="AH16" s="51">
        <v>1214.4000000000001</v>
      </c>
      <c r="AI16">
        <f>oktober2025!AH16</f>
        <v>1100.5999999999999</v>
      </c>
      <c r="AJ16">
        <f>Tabel2425678910111213141517161819212022232614151819202122[[#This Row],[Stand Gekoeld liter einde maand]]-Tabel2425678910111213141517161819212022232614151819202122[[#This Row],[Stand Gekoeld liter vorige maand]]</f>
        <v>113.80000000000018</v>
      </c>
      <c r="AK16" s="2">
        <f>Tabel2425678910111213141517161819212022232614151819202122[[#This Row],[Verbruik Gekoeld liter deze maand]]/0.15</f>
        <v>758.66666666666788</v>
      </c>
      <c r="AL16" s="51">
        <v>966.5</v>
      </c>
      <c r="AM16">
        <f>oktober2025!AL16</f>
        <v>863.3</v>
      </c>
      <c r="AN16">
        <f>Tabel2425678910111213141517161819212022232614151819202122[[#This Row],[Stand Bruisend liter einde maand]]-Tabel2425678910111213141517161819212022232614151819202122[[#This Row],[Stand Bruisend liter vorige maand]]</f>
        <v>103.20000000000005</v>
      </c>
      <c r="AO16" s="2">
        <f>Tabel2425678910111213141517161819212022232614151819202122[[#This Row],[Verbruik Bruisend liter deze maand]]/0.15</f>
        <v>688.00000000000034</v>
      </c>
      <c r="AP16" s="51">
        <v>173.5</v>
      </c>
      <c r="AQ16">
        <f>oktober2025!AP16</f>
        <v>159.4</v>
      </c>
      <c r="AR16">
        <f>Tabel2425678910111213141517161819212022232614151819202122[[#This Row],[Stand licht bruisend liter einde maand]]-Tabel2425678910111213141517161819212022232614151819202122[[#This Row],[Stand licht bruisend liter vorige maand]]</f>
        <v>14.099999999999994</v>
      </c>
      <c r="AS16" s="2">
        <f>Tabel2425678910111213141517161819212022232614151819202122[[#This Row],[Verbruik licht bruisend liter deze maand]]/0.15</f>
        <v>93.999999999999972</v>
      </c>
      <c r="AT16" s="51">
        <v>2330.9</v>
      </c>
      <c r="AU16">
        <f>oktober2025!AT16</f>
        <v>2028.8</v>
      </c>
      <c r="AV16">
        <f>Tabel2425678910111213141517161819212022232614151819202122[[#This Row],[Stand heet water liter einde maand]]-Tabel2425678910111213141517161819212022232614151819202122[[#This Row],[Stand heet water liter vorige maand]]</f>
        <v>302.10000000000014</v>
      </c>
      <c r="AW16" s="2">
        <f>Tabel2425678910111213141517161819212022232614151819202122[[#This Row],[Verbruik heet Water liter deze maand ]]/0.15</f>
        <v>2014.0000000000009</v>
      </c>
      <c r="AX16" s="77">
        <f>Tabel2425678910111213141517161819212022232614151819202122[[#This Row],[Aantal consumpties heet water deze maand]]+Tabel2425678910111213141517161819212022232614151819202122[[#This Row],[Aantal consumpties licht bruisend water deze maand]]+Tabel2425678910111213141517161819212022232614151819202122[[#This Row],[aantal consumpties Bruisend water deze maand]]+Tabel2425678910111213141517161819212022232614151819202122[[#This Row],[Aantal consumpties gekoeld water deze maand]]+Tabel2425678910111213141517161819212022232614151819202122[[#This Row],[Aantal consumpties Kamertemp deze maand]]</f>
        <v>3630.0000000000027</v>
      </c>
      <c r="AY16" s="95">
        <f>Tabel2425678910111213141517161819212022232614151819202122[[#This Row],[Subtotaal waterbar in consumpties]]+Tabel2425678910111213141517161819212022232614151819202122[[#This Row],[Subtotaal koffieautomaten]]</f>
        <v>4616.0000000000027</v>
      </c>
    </row>
    <row r="17" spans="1:130" ht="14.45" customHeight="1" x14ac:dyDescent="0.25">
      <c r="A17" s="65" t="s">
        <v>56</v>
      </c>
      <c r="B17" t="s">
        <v>57</v>
      </c>
      <c r="C17" t="s">
        <v>31</v>
      </c>
      <c r="E17">
        <v>34536</v>
      </c>
      <c r="F17">
        <f>oktober2025!E17</f>
        <v>33459</v>
      </c>
      <c r="G17">
        <f>Tabel2425678910111213141517161819212022232614151819202122[[#This Row],[Stand Coffee einde maand]]-Tabel2425678910111213141517161819212022232614151819202122[[#This Row],[Coffee vorige maand]]</f>
        <v>1077</v>
      </c>
      <c r="H17" s="53">
        <v>6472</v>
      </c>
      <c r="I17">
        <f>oktober2025!H17</f>
        <v>6323</v>
      </c>
      <c r="J17">
        <f>Tabel2425678910111213141517161819212022232614151819202122[[#This Row],[Stand Espresso Einde maand]]-Tabel2425678910111213141517161819212022232614151819202122[[#This Row],[Espresso vorige maand]]</f>
        <v>149</v>
      </c>
      <c r="K17" s="53">
        <v>892</v>
      </c>
      <c r="L17">
        <f>oktober2025!K17</f>
        <v>882</v>
      </c>
      <c r="M17">
        <f>Tabel2425678910111213141517161819212022232614151819202122[[#This Row],[Stand Latte Macchiato einde maand]]-Tabel2425678910111213141517161819212022232614151819202122[[#This Row],[Latte Macchiato vorige maand]]</f>
        <v>10</v>
      </c>
      <c r="N17" s="53">
        <v>1900</v>
      </c>
      <c r="O17">
        <f>oktober2025!N17</f>
        <v>1857</v>
      </c>
      <c r="P17">
        <f>Tabel2425678910111213141517161819212022232614151819202122[[#This Row],[Stand Coffee Latte einde maand]]-Tabel2425678910111213141517161819212022232614151819202122[[#This Row],[Coffee Latte vorige maand]]</f>
        <v>43</v>
      </c>
      <c r="Q17" s="53">
        <v>55749</v>
      </c>
      <c r="R17">
        <f>oktober2025!Q17</f>
        <v>53582</v>
      </c>
      <c r="S17">
        <f>Tabel2425678910111213141517161819212022232614151819202122[[#This Row],[Stand Hot Water einde maand]]-Tabel2425678910111213141517161819212022232614151819202122[[#This Row],[Hot Water vorige maand]]</f>
        <v>2167</v>
      </c>
      <c r="T17" s="53">
        <v>13012</v>
      </c>
      <c r="U17">
        <f>oktober2025!T17</f>
        <v>12764</v>
      </c>
      <c r="V17">
        <f>Tabel2425678910111213141517161819212022232614151819202122[[#This Row],[Stand Cappucino einde maand]]-Tabel2425678910111213141517161819212022232614151819202122[[#This Row],[Stand Cappucino vorige maand]]</f>
        <v>248</v>
      </c>
      <c r="W17" s="53">
        <v>4005</v>
      </c>
      <c r="X17">
        <f>oktober2025!W17</f>
        <v>3920</v>
      </c>
      <c r="Y17">
        <f>Tabel2425678910111213141517161819212022232614151819202122[[#This Row],[Stand Cappucino Plantaardig einde maand]]-Tabel2425678910111213141517161819212022232614151819202122[[#This Row],[Stand Cappucino Plantaardig vorige maand]]</f>
        <v>85</v>
      </c>
      <c r="Z17" s="53">
        <v>1065</v>
      </c>
      <c r="AA17">
        <f>oktober2025!Z17</f>
        <v>1039</v>
      </c>
      <c r="AB17">
        <f>Tabel2425678910111213141517161819212022232614151819202122[[#This Row],[Stand Latte Macchiato Plantaardig einde maand]]-Tabel2425678910111213141517161819212022232614151819202122[[#This Row],[Stand Latte Macchiato Plantaardig vorige maand]]</f>
        <v>26</v>
      </c>
      <c r="AC17" s="71">
        <f>Tabel2425678910111213141517161819212022232614151819202122[[#This Row],[Verbruik Stand Latte Macchiato Plantaardig deze maand]]+Tabel2425678910111213141517161819212022232614151819202122[[#This Row],[Verbruik  Cappucino Plantaardig deze maand]]+Tabel2425678910111213141517161819212022232614151819202122[[#This Row],[Verbruik Cappucino deze maand]]+Tabel2425678910111213141517161819212022232614151819202122[[#This Row],[Verbruik Hot Water deze maand]]+Tabel2425678910111213141517161819212022232614151819202122[[#This Row],[Verbruik Coffee Latte deze maand]]+Tabel2425678910111213141517161819212022232614151819202122[[#This Row],[Verbruik Latte Macchiato deze maand]]+Tabel2425678910111213141517161819212022232614151819202122[[#This Row],[Verbruik Espresso deze maand]]+Tabel2425678910111213141517161819212022232614151819202122[[#This Row],[Verbruik Coffee deze maand]]</f>
        <v>3805</v>
      </c>
      <c r="AD17" s="69"/>
      <c r="AE17" s="41"/>
      <c r="AF17" s="5"/>
      <c r="AG17" s="5"/>
      <c r="AH17" s="75"/>
      <c r="AI17" s="41"/>
      <c r="AJ17" s="5"/>
      <c r="AK17" s="5"/>
      <c r="AL17" s="75"/>
      <c r="AM17" s="41"/>
      <c r="AN17" s="5"/>
      <c r="AO17" s="5"/>
      <c r="AP17" s="75"/>
      <c r="AQ17" s="41"/>
      <c r="AR17" s="5"/>
      <c r="AS17" s="5"/>
      <c r="AT17" s="75"/>
      <c r="AU17" s="41"/>
      <c r="AV17" s="5"/>
      <c r="AW17" s="5"/>
      <c r="AX17" s="79"/>
      <c r="AY17" s="95">
        <f>Tabel2425678910111213141517161819212022232614151819202122[[#This Row],[Subtotaal waterbar in consumpties]]+Tabel2425678910111213141517161819212022232614151819202122[[#This Row],[Subtotaal koffieautomaten]]</f>
        <v>3805</v>
      </c>
    </row>
    <row r="18" spans="1:130" ht="14.45" customHeight="1" x14ac:dyDescent="0.25">
      <c r="A18" s="65" t="s">
        <v>58</v>
      </c>
      <c r="B18" t="s">
        <v>59</v>
      </c>
      <c r="C18" t="s">
        <v>47</v>
      </c>
      <c r="E18">
        <v>23701</v>
      </c>
      <c r="F18">
        <f>oktober2025!E18</f>
        <v>23168</v>
      </c>
      <c r="G18">
        <f>Tabel2425678910111213141517161819212022232614151819202122[[#This Row],[Stand Coffee einde maand]]-Tabel2425678910111213141517161819212022232614151819202122[[#This Row],[Coffee vorige maand]]</f>
        <v>533</v>
      </c>
      <c r="H18" s="53">
        <v>7218</v>
      </c>
      <c r="I18">
        <f>oktober2025!H18</f>
        <v>6800</v>
      </c>
      <c r="J18">
        <f>Tabel2425678910111213141517161819212022232614151819202122[[#This Row],[Stand Espresso Einde maand]]-Tabel2425678910111213141517161819212022232614151819202122[[#This Row],[Espresso vorige maand]]</f>
        <v>418</v>
      </c>
      <c r="K18" s="53">
        <v>3312</v>
      </c>
      <c r="L18">
        <f>oktober2025!K18</f>
        <v>3215</v>
      </c>
      <c r="M18">
        <f>Tabel2425678910111213141517161819212022232614151819202122[[#This Row],[Stand Latte Macchiato einde maand]]-Tabel2425678910111213141517161819212022232614151819202122[[#This Row],[Latte Macchiato vorige maand]]</f>
        <v>97</v>
      </c>
      <c r="N18" s="53">
        <v>886</v>
      </c>
      <c r="O18">
        <f>oktober2025!N18</f>
        <v>861</v>
      </c>
      <c r="P18">
        <f>Tabel2425678910111213141517161819212022232614151819202122[[#This Row],[Stand Coffee Latte einde maand]]-Tabel2425678910111213141517161819212022232614151819202122[[#This Row],[Coffee Latte vorige maand]]</f>
        <v>25</v>
      </c>
      <c r="Q18" s="53">
        <v>1</v>
      </c>
      <c r="R18">
        <f>oktober2025!Q18</f>
        <v>1</v>
      </c>
      <c r="S18">
        <f>Tabel2425678910111213141517161819212022232614151819202122[[#This Row],[Stand Hot Water einde maand]]-Tabel2425678910111213141517161819212022232614151819202122[[#This Row],[Hot Water vorige maand]]</f>
        <v>0</v>
      </c>
      <c r="T18" s="53">
        <v>13040</v>
      </c>
      <c r="U18">
        <f>oktober2025!T18</f>
        <v>12642</v>
      </c>
      <c r="V18">
        <f>Tabel2425678910111213141517161819212022232614151819202122[[#This Row],[Stand Cappucino einde maand]]-Tabel2425678910111213141517161819212022232614151819202122[[#This Row],[Stand Cappucino vorige maand]]</f>
        <v>398</v>
      </c>
      <c r="W18" s="53">
        <v>4701</v>
      </c>
      <c r="X18">
        <f>oktober2025!W18</f>
        <v>4592</v>
      </c>
      <c r="Y18">
        <f>Tabel2425678910111213141517161819212022232614151819202122[[#This Row],[Stand Cappucino Plantaardig einde maand]]-Tabel2425678910111213141517161819212022232614151819202122[[#This Row],[Stand Cappucino Plantaardig vorige maand]]</f>
        <v>109</v>
      </c>
      <c r="Z18" s="53">
        <v>554</v>
      </c>
      <c r="AA18">
        <f>oktober2025!Z18</f>
        <v>533</v>
      </c>
      <c r="AB18">
        <f>Tabel2425678910111213141517161819212022232614151819202122[[#This Row],[Stand Latte Macchiato Plantaardig einde maand]]-Tabel2425678910111213141517161819212022232614151819202122[[#This Row],[Stand Latte Macchiato Plantaardig vorige maand]]</f>
        <v>21</v>
      </c>
      <c r="AC18" s="71">
        <f>Tabel2425678910111213141517161819212022232614151819202122[[#This Row],[Verbruik Stand Latte Macchiato Plantaardig deze maand]]+Tabel2425678910111213141517161819212022232614151819202122[[#This Row],[Verbruik  Cappucino Plantaardig deze maand]]+Tabel2425678910111213141517161819212022232614151819202122[[#This Row],[Verbruik Cappucino deze maand]]+Tabel2425678910111213141517161819212022232614151819202122[[#This Row],[Verbruik Hot Water deze maand]]+Tabel2425678910111213141517161819212022232614151819202122[[#This Row],[Verbruik Coffee Latte deze maand]]+Tabel2425678910111213141517161819212022232614151819202122[[#This Row],[Verbruik Latte Macchiato deze maand]]+Tabel2425678910111213141517161819212022232614151819202122[[#This Row],[Verbruik Espresso deze maand]]+Tabel2425678910111213141517161819212022232614151819202122[[#This Row],[Verbruik Coffee deze maand]]</f>
        <v>1601</v>
      </c>
      <c r="AD18" s="53">
        <v>778.7</v>
      </c>
      <c r="AE18">
        <f>oktober2025!AD18</f>
        <v>733.5</v>
      </c>
      <c r="AF18">
        <f>Tabel2425678910111213141517161819212022232614151819202122[[#This Row],[Stand Kamertemp liter einde maand]]-Tabel2425678910111213141517161819212022232614151819202122[[#This Row],[Stand Kamertemp liter vorige maand]]</f>
        <v>45.200000000000045</v>
      </c>
      <c r="AG18" s="2">
        <f>Tabel2425678910111213141517161819212022232614151819202122[[#This Row],[Verbruik Kamertemp liter deze maand]]/0.15</f>
        <v>301.33333333333366</v>
      </c>
      <c r="AH18" s="53">
        <v>3489.6</v>
      </c>
      <c r="AI18">
        <f>oktober2025!AH18</f>
        <v>3287.2</v>
      </c>
      <c r="AJ18">
        <f>Tabel2425678910111213141517161819212022232614151819202122[[#This Row],[Stand Gekoeld liter einde maand]]-Tabel2425678910111213141517161819212022232614151819202122[[#This Row],[Stand Gekoeld liter vorige maand]]</f>
        <v>202.40000000000009</v>
      </c>
      <c r="AK18" s="2">
        <f>Tabel2425678910111213141517161819212022232614151819202122[[#This Row],[Verbruik Gekoeld liter deze maand]]/0.15</f>
        <v>1349.3333333333339</v>
      </c>
      <c r="AL18" s="53">
        <v>2656.2</v>
      </c>
      <c r="AM18">
        <f>oktober2025!AL18</f>
        <v>2536.4</v>
      </c>
      <c r="AN18">
        <f>Tabel2425678910111213141517161819212022232614151819202122[[#This Row],[Stand Bruisend liter einde maand]]-Tabel2425678910111213141517161819212022232614151819202122[[#This Row],[Stand Bruisend liter vorige maand]]</f>
        <v>119.79999999999973</v>
      </c>
      <c r="AO18" s="2">
        <f>Tabel2425678910111213141517161819212022232614151819202122[[#This Row],[Verbruik Bruisend liter deze maand]]/0.15</f>
        <v>798.66666666666492</v>
      </c>
      <c r="AP18" s="53">
        <v>1020.5</v>
      </c>
      <c r="AQ18">
        <f>oktober2025!AP18</f>
        <v>962.1</v>
      </c>
      <c r="AR18">
        <f>Tabel2425678910111213141517161819212022232614151819202122[[#This Row],[Stand licht bruisend liter einde maand]]-Tabel2425678910111213141517161819212022232614151819202122[[#This Row],[Stand licht bruisend liter vorige maand]]</f>
        <v>58.399999999999977</v>
      </c>
      <c r="AS18" s="2">
        <f>Tabel2425678910111213141517161819212022232614151819202122[[#This Row],[Verbruik licht bruisend liter deze maand]]/0.15</f>
        <v>389.3333333333332</v>
      </c>
      <c r="AT18" s="53">
        <v>6819.9</v>
      </c>
      <c r="AU18">
        <f>oktober2025!AT18</f>
        <v>6395.4</v>
      </c>
      <c r="AV18">
        <f>Tabel2425678910111213141517161819212022232614151819202122[[#This Row],[Stand heet water liter einde maand]]-Tabel2425678910111213141517161819212022232614151819202122[[#This Row],[Stand heet water liter vorige maand]]</f>
        <v>424.5</v>
      </c>
      <c r="AW18" s="2">
        <f>Tabel2425678910111213141517161819212022232614151819202122[[#This Row],[Verbruik heet Water liter deze maand ]]/0.15</f>
        <v>2830</v>
      </c>
      <c r="AX18" s="77">
        <f>Tabel2425678910111213141517161819212022232614151819202122[[#This Row],[Aantal consumpties heet water deze maand]]+Tabel2425678910111213141517161819212022232614151819202122[[#This Row],[Aantal consumpties licht bruisend water deze maand]]+Tabel2425678910111213141517161819212022232614151819202122[[#This Row],[aantal consumpties Bruisend water deze maand]]+Tabel2425678910111213141517161819212022232614151819202122[[#This Row],[Aantal consumpties gekoeld water deze maand]]+Tabel2425678910111213141517161819212022232614151819202122[[#This Row],[Aantal consumpties Kamertemp deze maand]]</f>
        <v>5668.6666666666661</v>
      </c>
      <c r="AY18" s="95">
        <f>Tabel2425678910111213141517161819212022232614151819202122[[#This Row],[Subtotaal waterbar in consumpties]]+Tabel2425678910111213141517161819212022232614151819202122[[#This Row],[Subtotaal koffieautomaten]]</f>
        <v>7269.6666666666661</v>
      </c>
    </row>
    <row r="19" spans="1:130" ht="14.45" customHeight="1" x14ac:dyDescent="0.25">
      <c r="A19" s="65" t="s">
        <v>60</v>
      </c>
      <c r="B19" t="s">
        <v>61</v>
      </c>
      <c r="C19" t="s">
        <v>31</v>
      </c>
      <c r="E19">
        <v>26478</v>
      </c>
      <c r="F19">
        <f>oktober2025!E19</f>
        <v>25533</v>
      </c>
      <c r="G19">
        <f>Tabel2425678910111213141517161819212022232614151819202122[[#This Row],[Stand Coffee einde maand]]-Tabel2425678910111213141517161819212022232614151819202122[[#This Row],[Coffee vorige maand]]</f>
        <v>945</v>
      </c>
      <c r="H19" s="53">
        <v>5593</v>
      </c>
      <c r="I19">
        <f>oktober2025!H19</f>
        <v>5492</v>
      </c>
      <c r="J19">
        <f>Tabel2425678910111213141517161819212022232614151819202122[[#This Row],[Stand Espresso Einde maand]]-Tabel2425678910111213141517161819212022232614151819202122[[#This Row],[Espresso vorige maand]]</f>
        <v>101</v>
      </c>
      <c r="K19" s="53">
        <v>1996</v>
      </c>
      <c r="L19">
        <f>oktober2025!K19</f>
        <v>1910</v>
      </c>
      <c r="M19">
        <f>Tabel2425678910111213141517161819212022232614151819202122[[#This Row],[Stand Latte Macchiato einde maand]]-Tabel2425678910111213141517161819212022232614151819202122[[#This Row],[Latte Macchiato vorige maand]]</f>
        <v>86</v>
      </c>
      <c r="N19" s="53">
        <v>1153</v>
      </c>
      <c r="O19">
        <f>oktober2025!N19</f>
        <v>1138</v>
      </c>
      <c r="P19">
        <f>Tabel2425678910111213141517161819212022232614151819202122[[#This Row],[Stand Coffee Latte einde maand]]-Tabel2425678910111213141517161819212022232614151819202122[[#This Row],[Coffee Latte vorige maand]]</f>
        <v>15</v>
      </c>
      <c r="Q19" s="53">
        <v>60437</v>
      </c>
      <c r="R19">
        <f>oktober2025!Q19</f>
        <v>58111</v>
      </c>
      <c r="S19">
        <f>Tabel2425678910111213141517161819212022232614151819202122[[#This Row],[Stand Hot Water einde maand]]-Tabel2425678910111213141517161819212022232614151819202122[[#This Row],[Hot Water vorige maand]]</f>
        <v>2326</v>
      </c>
      <c r="T19" s="53">
        <v>13656</v>
      </c>
      <c r="U19">
        <f>oktober2025!T19</f>
        <v>13285</v>
      </c>
      <c r="V19">
        <f>Tabel2425678910111213141517161819212022232614151819202122[[#This Row],[Stand Cappucino einde maand]]-Tabel2425678910111213141517161819212022232614151819202122[[#This Row],[Stand Cappucino vorige maand]]</f>
        <v>371</v>
      </c>
      <c r="W19" s="53">
        <v>2277</v>
      </c>
      <c r="X19">
        <f>oktober2025!W19</f>
        <v>2222</v>
      </c>
      <c r="Y19">
        <f>Tabel2425678910111213141517161819212022232614151819202122[[#This Row],[Stand Cappucino Plantaardig einde maand]]-Tabel2425678910111213141517161819212022232614151819202122[[#This Row],[Stand Cappucino Plantaardig vorige maand]]</f>
        <v>55</v>
      </c>
      <c r="Z19" s="53">
        <v>614</v>
      </c>
      <c r="AA19">
        <f>oktober2025!Z19</f>
        <v>605</v>
      </c>
      <c r="AB19">
        <f>Tabel2425678910111213141517161819212022232614151819202122[[#This Row],[Stand Latte Macchiato Plantaardig einde maand]]-Tabel2425678910111213141517161819212022232614151819202122[[#This Row],[Stand Latte Macchiato Plantaardig vorige maand]]</f>
        <v>9</v>
      </c>
      <c r="AC19" s="71">
        <f>Tabel2425678910111213141517161819212022232614151819202122[[#This Row],[Verbruik Stand Latte Macchiato Plantaardig deze maand]]+Tabel2425678910111213141517161819212022232614151819202122[[#This Row],[Verbruik  Cappucino Plantaardig deze maand]]+Tabel2425678910111213141517161819212022232614151819202122[[#This Row],[Verbruik Cappucino deze maand]]+Tabel2425678910111213141517161819212022232614151819202122[[#This Row],[Verbruik Hot Water deze maand]]+Tabel2425678910111213141517161819212022232614151819202122[[#This Row],[Verbruik Coffee Latte deze maand]]+Tabel2425678910111213141517161819212022232614151819202122[[#This Row],[Verbruik Latte Macchiato deze maand]]+Tabel2425678910111213141517161819212022232614151819202122[[#This Row],[Verbruik Espresso deze maand]]+Tabel2425678910111213141517161819212022232614151819202122[[#This Row],[Verbruik Coffee deze maand]]</f>
        <v>3908</v>
      </c>
      <c r="AD19" s="69"/>
      <c r="AE19" s="41"/>
      <c r="AF19" s="5"/>
      <c r="AG19" s="5"/>
      <c r="AH19" s="75"/>
      <c r="AI19" s="41"/>
      <c r="AJ19" s="5"/>
      <c r="AK19" s="5"/>
      <c r="AL19" s="75"/>
      <c r="AM19" s="41"/>
      <c r="AN19" s="5"/>
      <c r="AO19" s="5"/>
      <c r="AP19" s="75"/>
      <c r="AQ19" s="41"/>
      <c r="AR19" s="5"/>
      <c r="AS19" s="5"/>
      <c r="AT19" s="75"/>
      <c r="AU19" s="41"/>
      <c r="AV19" s="5"/>
      <c r="AW19" s="5"/>
      <c r="AX19" s="79"/>
      <c r="AY19" s="95">
        <f>Tabel2425678910111213141517161819212022232614151819202122[[#This Row],[Subtotaal waterbar in consumpties]]+Tabel2425678910111213141517161819212022232614151819202122[[#This Row],[Subtotaal koffieautomaten]]</f>
        <v>3908</v>
      </c>
    </row>
    <row r="20" spans="1:130" ht="14.45" customHeight="1" x14ac:dyDescent="0.25">
      <c r="A20" s="65" t="s">
        <v>62</v>
      </c>
      <c r="B20" t="s">
        <v>63</v>
      </c>
      <c r="C20" t="s">
        <v>47</v>
      </c>
      <c r="E20">
        <v>11716</v>
      </c>
      <c r="F20">
        <f>oktober2025!E20</f>
        <v>11062</v>
      </c>
      <c r="G20">
        <f>Tabel2425678910111213141517161819212022232614151819202122[[#This Row],[Stand Coffee einde maand]]-Tabel2425678910111213141517161819212022232614151819202122[[#This Row],[Coffee vorige maand]]</f>
        <v>654</v>
      </c>
      <c r="H20" s="53">
        <v>2178</v>
      </c>
      <c r="I20">
        <f>oktober2025!H20</f>
        <v>2060</v>
      </c>
      <c r="J20">
        <f>Tabel2425678910111213141517161819212022232614151819202122[[#This Row],[Stand Espresso Einde maand]]-Tabel2425678910111213141517161819212022232614151819202122[[#This Row],[Espresso vorige maand]]</f>
        <v>118</v>
      </c>
      <c r="K20" s="53">
        <v>443</v>
      </c>
      <c r="L20">
        <f>oktober2025!K20</f>
        <v>422</v>
      </c>
      <c r="M20">
        <f>Tabel2425678910111213141517161819212022232614151819202122[[#This Row],[Stand Latte Macchiato einde maand]]-Tabel2425678910111213141517161819212022232614151819202122[[#This Row],[Latte Macchiato vorige maand]]</f>
        <v>21</v>
      </c>
      <c r="N20" s="53">
        <v>917</v>
      </c>
      <c r="O20">
        <f>oktober2025!N20</f>
        <v>868</v>
      </c>
      <c r="P20">
        <f>Tabel2425678910111213141517161819212022232614151819202122[[#This Row],[Stand Coffee Latte einde maand]]-Tabel2425678910111213141517161819212022232614151819202122[[#This Row],[Coffee Latte vorige maand]]</f>
        <v>49</v>
      </c>
      <c r="Q20" s="53">
        <v>4065</v>
      </c>
      <c r="R20">
        <f>oktober2025!Q20</f>
        <v>3777</v>
      </c>
      <c r="S20">
        <f>Tabel2425678910111213141517161819212022232614151819202122[[#This Row],[Stand Hot Water einde maand]]-Tabel2425678910111213141517161819212022232614151819202122[[#This Row],[Hot Water vorige maand]]</f>
        <v>288</v>
      </c>
      <c r="T20" s="53">
        <v>3746</v>
      </c>
      <c r="U20">
        <f>oktober2025!T20</f>
        <v>3507</v>
      </c>
      <c r="V20">
        <f>Tabel2425678910111213141517161819212022232614151819202122[[#This Row],[Stand Cappucino einde maand]]-Tabel2425678910111213141517161819212022232614151819202122[[#This Row],[Stand Cappucino vorige maand]]</f>
        <v>239</v>
      </c>
      <c r="W20" s="53">
        <v>1140</v>
      </c>
      <c r="X20">
        <f>oktober2025!W20</f>
        <v>1088</v>
      </c>
      <c r="Y20">
        <f>Tabel2425678910111213141517161819212022232614151819202122[[#This Row],[Stand Cappucino Plantaardig einde maand]]-Tabel2425678910111213141517161819212022232614151819202122[[#This Row],[Stand Cappucino Plantaardig vorige maand]]</f>
        <v>52</v>
      </c>
      <c r="Z20" s="53">
        <v>431</v>
      </c>
      <c r="AA20">
        <f>oktober2025!Z20</f>
        <v>394</v>
      </c>
      <c r="AB20">
        <f>Tabel2425678910111213141517161819212022232614151819202122[[#This Row],[Stand Latte Macchiato Plantaardig einde maand]]-Tabel2425678910111213141517161819212022232614151819202122[[#This Row],[Stand Latte Macchiato Plantaardig vorige maand]]</f>
        <v>37</v>
      </c>
      <c r="AC20" s="71">
        <f>Tabel2425678910111213141517161819212022232614151819202122[[#This Row],[Verbruik Stand Latte Macchiato Plantaardig deze maand]]+Tabel2425678910111213141517161819212022232614151819202122[[#This Row],[Verbruik  Cappucino Plantaardig deze maand]]+Tabel2425678910111213141517161819212022232614151819202122[[#This Row],[Verbruik Cappucino deze maand]]+Tabel2425678910111213141517161819212022232614151819202122[[#This Row],[Verbruik Hot Water deze maand]]+Tabel2425678910111213141517161819212022232614151819202122[[#This Row],[Verbruik Coffee Latte deze maand]]+Tabel2425678910111213141517161819212022232614151819202122[[#This Row],[Verbruik Latte Macchiato deze maand]]+Tabel2425678910111213141517161819212022232614151819202122[[#This Row],[Verbruik Espresso deze maand]]+Tabel2425678910111213141517161819212022232614151819202122[[#This Row],[Verbruik Coffee deze maand]]</f>
        <v>1458</v>
      </c>
      <c r="AD20" s="53">
        <v>284.2</v>
      </c>
      <c r="AE20">
        <f>oktober2025!AD20</f>
        <v>268.7</v>
      </c>
      <c r="AF20">
        <f>Tabel2425678910111213141517161819212022232614151819202122[[#This Row],[Stand Kamertemp liter einde maand]]-Tabel2425678910111213141517161819212022232614151819202122[[#This Row],[Stand Kamertemp liter vorige maand]]</f>
        <v>15.5</v>
      </c>
      <c r="AG20" s="2">
        <f>Tabel2425678910111213141517161819212022232614151819202122[[#This Row],[Verbruik Kamertemp liter deze maand]]/0.15</f>
        <v>103.33333333333334</v>
      </c>
      <c r="AH20" s="51">
        <v>2431.9</v>
      </c>
      <c r="AI20">
        <f>oktober2025!AH20</f>
        <v>2310.1</v>
      </c>
      <c r="AJ20">
        <f>Tabel2425678910111213141517161819212022232614151819202122[[#This Row],[Stand Gekoeld liter einde maand]]-Tabel2425678910111213141517161819212022232614151819202122[[#This Row],[Stand Gekoeld liter vorige maand]]</f>
        <v>121.80000000000018</v>
      </c>
      <c r="AK20" s="2">
        <f>Tabel2425678910111213141517161819212022232614151819202122[[#This Row],[Verbruik Gekoeld liter deze maand]]/0.15</f>
        <v>812.00000000000125</v>
      </c>
      <c r="AL20" s="51">
        <v>2780.4</v>
      </c>
      <c r="AM20">
        <f>oktober2025!AL20</f>
        <v>2644.8</v>
      </c>
      <c r="AN20">
        <f>Tabel2425678910111213141517161819212022232614151819202122[[#This Row],[Stand Bruisend liter einde maand]]-Tabel2425678910111213141517161819212022232614151819202122[[#This Row],[Stand Bruisend liter vorige maand]]</f>
        <v>135.59999999999991</v>
      </c>
      <c r="AO20" s="2">
        <f>Tabel2425678910111213141517161819212022232614151819202122[[#This Row],[Verbruik Bruisend liter deze maand]]/0.15</f>
        <v>903.99999999999943</v>
      </c>
      <c r="AP20" s="51">
        <v>724.2</v>
      </c>
      <c r="AQ20">
        <f>oktober2025!AP20</f>
        <v>684.5</v>
      </c>
      <c r="AR20">
        <f>Tabel2425678910111213141517161819212022232614151819202122[[#This Row],[Stand licht bruisend liter einde maand]]-Tabel2425678910111213141517161819212022232614151819202122[[#This Row],[Stand licht bruisend liter vorige maand]]</f>
        <v>39.700000000000045</v>
      </c>
      <c r="AS20" s="2">
        <f>Tabel2425678910111213141517161819212022232614151819202122[[#This Row],[Verbruik licht bruisend liter deze maand]]/0.15</f>
        <v>264.66666666666697</v>
      </c>
      <c r="AT20" s="51">
        <v>6504.8</v>
      </c>
      <c r="AU20">
        <f>oktober2025!AT20</f>
        <v>6175.4</v>
      </c>
      <c r="AV20">
        <f>Tabel2425678910111213141517161819212022232614151819202122[[#This Row],[Stand heet water liter einde maand]]-Tabel2425678910111213141517161819212022232614151819202122[[#This Row],[Stand heet water liter vorige maand]]</f>
        <v>329.40000000000055</v>
      </c>
      <c r="AW20" s="2">
        <f>Tabel2425678910111213141517161819212022232614151819202122[[#This Row],[Verbruik heet Water liter deze maand ]]/0.15</f>
        <v>2196.0000000000036</v>
      </c>
      <c r="AX20" s="77">
        <f>Tabel2425678910111213141517161819212022232614151819202122[[#This Row],[Aantal consumpties heet water deze maand]]+Tabel2425678910111213141517161819212022232614151819202122[[#This Row],[Aantal consumpties licht bruisend water deze maand]]+Tabel2425678910111213141517161819212022232614151819202122[[#This Row],[aantal consumpties Bruisend water deze maand]]+Tabel2425678910111213141517161819212022232614151819202122[[#This Row],[Aantal consumpties gekoeld water deze maand]]+Tabel2425678910111213141517161819212022232614151819202122[[#This Row],[Aantal consumpties Kamertemp deze maand]]</f>
        <v>4280.0000000000045</v>
      </c>
      <c r="AY20" s="95">
        <f>Tabel2425678910111213141517161819212022232614151819202122[[#This Row],[Subtotaal waterbar in consumpties]]+Tabel2425678910111213141517161819212022232614151819202122[[#This Row],[Subtotaal koffieautomaten]]</f>
        <v>5738.0000000000045</v>
      </c>
    </row>
    <row r="21" spans="1:130" ht="14.45" customHeight="1" x14ac:dyDescent="0.25">
      <c r="A21" s="65" t="s">
        <v>64</v>
      </c>
      <c r="B21" t="s">
        <v>65</v>
      </c>
      <c r="C21" t="s">
        <v>31</v>
      </c>
      <c r="E21">
        <f>Tabel2425678910111213141517161819212022232614151819202122[[#This Row],[Coffee vorige maand]]+908</f>
        <v>30205</v>
      </c>
      <c r="F21">
        <f>oktober2025!E21</f>
        <v>29297</v>
      </c>
      <c r="G21">
        <f>Tabel2425678910111213141517161819212022232614151819202122[[#This Row],[Stand Coffee einde maand]]-Tabel2425678910111213141517161819212022232614151819202122[[#This Row],[Coffee vorige maand]]</f>
        <v>908</v>
      </c>
      <c r="H21" s="53">
        <f>Tabel2425678910111213141517161819212022232614151819202122[[#This Row],[Espresso vorige maand]]+421</f>
        <v>9085</v>
      </c>
      <c r="I21">
        <f>oktober2025!H21</f>
        <v>8664</v>
      </c>
      <c r="J21">
        <f>Tabel2425678910111213141517161819212022232614151819202122[[#This Row],[Stand Espresso Einde maand]]-Tabel2425678910111213141517161819212022232614151819202122[[#This Row],[Espresso vorige maand]]</f>
        <v>421</v>
      </c>
      <c r="K21" s="53">
        <v>3311</v>
      </c>
      <c r="L21">
        <f>oktober2025!K21</f>
        <v>3271</v>
      </c>
      <c r="M21">
        <f>Tabel2425678910111213141517161819212022232614151819202122[[#This Row],[Stand Latte Macchiato einde maand]]-Tabel2425678910111213141517161819212022232614151819202122[[#This Row],[Latte Macchiato vorige maand]]</f>
        <v>40</v>
      </c>
      <c r="N21" s="53">
        <v>1401</v>
      </c>
      <c r="O21">
        <f>oktober2025!N21</f>
        <v>1361</v>
      </c>
      <c r="P21">
        <f>Tabel2425678910111213141517161819212022232614151819202122[[#This Row],[Stand Coffee Latte einde maand]]-Tabel2425678910111213141517161819212022232614151819202122[[#This Row],[Coffee Latte vorige maand]]</f>
        <v>40</v>
      </c>
      <c r="Q21" s="53">
        <v>66741</v>
      </c>
      <c r="R21">
        <f>oktober2025!Q21</f>
        <v>64066</v>
      </c>
      <c r="S21">
        <f>Tabel2425678910111213141517161819212022232614151819202122[[#This Row],[Stand Hot Water einde maand]]-Tabel2425678910111213141517161819212022232614151819202122[[#This Row],[Hot Water vorige maand]]</f>
        <v>2675</v>
      </c>
      <c r="T21" s="53">
        <v>18080</v>
      </c>
      <c r="U21">
        <f>oktober2025!T21</f>
        <v>17647</v>
      </c>
      <c r="V21">
        <f>Tabel2425678910111213141517161819212022232614151819202122[[#This Row],[Stand Cappucino einde maand]]-Tabel2425678910111213141517161819212022232614151819202122[[#This Row],[Stand Cappucino vorige maand]]</f>
        <v>433</v>
      </c>
      <c r="W21" s="53">
        <v>3178</v>
      </c>
      <c r="X21">
        <f>oktober2025!W21</f>
        <v>3075</v>
      </c>
      <c r="Y21">
        <f>Tabel2425678910111213141517161819212022232614151819202122[[#This Row],[Stand Cappucino Plantaardig einde maand]]-Tabel2425678910111213141517161819212022232614151819202122[[#This Row],[Stand Cappucino Plantaardig vorige maand]]</f>
        <v>103</v>
      </c>
      <c r="Z21" s="53">
        <v>1016</v>
      </c>
      <c r="AA21">
        <f>oktober2025!Z21</f>
        <v>1003</v>
      </c>
      <c r="AB21">
        <f>Tabel2425678910111213141517161819212022232614151819202122[[#This Row],[Stand Latte Macchiato Plantaardig einde maand]]-Tabel2425678910111213141517161819212022232614151819202122[[#This Row],[Stand Latte Macchiato Plantaardig vorige maand]]</f>
        <v>13</v>
      </c>
      <c r="AC21" s="71">
        <f>Tabel2425678910111213141517161819212022232614151819202122[[#This Row],[Verbruik Stand Latte Macchiato Plantaardig deze maand]]+Tabel2425678910111213141517161819212022232614151819202122[[#This Row],[Verbruik  Cappucino Plantaardig deze maand]]+Tabel2425678910111213141517161819212022232614151819202122[[#This Row],[Verbruik Cappucino deze maand]]+Tabel2425678910111213141517161819212022232614151819202122[[#This Row],[Verbruik Hot Water deze maand]]+Tabel2425678910111213141517161819212022232614151819202122[[#This Row],[Verbruik Coffee Latte deze maand]]+Tabel2425678910111213141517161819212022232614151819202122[[#This Row],[Verbruik Latte Macchiato deze maand]]+Tabel2425678910111213141517161819212022232614151819202122[[#This Row],[Verbruik Espresso deze maand]]+Tabel2425678910111213141517161819212022232614151819202122[[#This Row],[Verbruik Coffee deze maand]]</f>
        <v>4633</v>
      </c>
      <c r="AD21" s="69"/>
      <c r="AE21" s="41"/>
      <c r="AF21" s="5"/>
      <c r="AG21" s="5"/>
      <c r="AH21" s="75"/>
      <c r="AI21" s="41"/>
      <c r="AJ21" s="5"/>
      <c r="AK21" s="5"/>
      <c r="AL21" s="75"/>
      <c r="AM21" s="41"/>
      <c r="AN21" s="5"/>
      <c r="AO21" s="5"/>
      <c r="AP21" s="75"/>
      <c r="AQ21" s="41"/>
      <c r="AR21" s="5"/>
      <c r="AS21" s="5"/>
      <c r="AT21" s="75"/>
      <c r="AU21" s="41"/>
      <c r="AV21" s="5"/>
      <c r="AW21" s="5"/>
      <c r="AX21" s="79"/>
      <c r="AY21" s="95">
        <f>Tabel2425678910111213141517161819212022232614151819202122[[#This Row],[Subtotaal waterbar in consumpties]]+Tabel2425678910111213141517161819212022232614151819202122[[#This Row],[Subtotaal koffieautomaten]]</f>
        <v>4633</v>
      </c>
    </row>
    <row r="22" spans="1:130" ht="14.45" customHeight="1" x14ac:dyDescent="0.25">
      <c r="A22" s="65" t="s">
        <v>66</v>
      </c>
      <c r="B22" t="s">
        <v>67</v>
      </c>
      <c r="C22" t="s">
        <v>31</v>
      </c>
      <c r="E22">
        <f>Tabel2425678910111213141517161819212022232614151819202122[[#This Row],[Coffee vorige maand]]+1300</f>
        <v>36138</v>
      </c>
      <c r="F22">
        <f>oktober2025!E22</f>
        <v>34838</v>
      </c>
      <c r="G22">
        <f>Tabel2425678910111213141517161819212022232614151819202122[[#This Row],[Stand Coffee einde maand]]-Tabel2425678910111213141517161819212022232614151819202122[[#This Row],[Coffee vorige maand]]</f>
        <v>1300</v>
      </c>
      <c r="H22" s="53">
        <f>Tabel2425678910111213141517161819212022232614151819202122[[#This Row],[Espresso vorige maand]]+254</f>
        <v>6539</v>
      </c>
      <c r="I22">
        <f>oktober2025!H22</f>
        <v>6285</v>
      </c>
      <c r="J22">
        <f>Tabel2425678910111213141517161819212022232614151819202122[[#This Row],[Stand Espresso Einde maand]]-Tabel2425678910111213141517161819212022232614151819202122[[#This Row],[Espresso vorige maand]]</f>
        <v>254</v>
      </c>
      <c r="K22" s="53">
        <v>4056</v>
      </c>
      <c r="L22">
        <f>oktober2025!K22</f>
        <v>3957</v>
      </c>
      <c r="M22">
        <f>Tabel2425678910111213141517161819212022232614151819202122[[#This Row],[Stand Latte Macchiato einde maand]]-Tabel2425678910111213141517161819212022232614151819202122[[#This Row],[Latte Macchiato vorige maand]]</f>
        <v>99</v>
      </c>
      <c r="N22" s="53">
        <v>1002</v>
      </c>
      <c r="O22">
        <f>oktober2025!N22</f>
        <v>980</v>
      </c>
      <c r="P22">
        <f>Tabel2425678910111213141517161819212022232614151819202122[[#This Row],[Stand Coffee Latte einde maand]]-Tabel2425678910111213141517161819212022232614151819202122[[#This Row],[Coffee Latte vorige maand]]</f>
        <v>22</v>
      </c>
      <c r="Q22" s="53">
        <v>56949</v>
      </c>
      <c r="R22">
        <f>oktober2025!Q22</f>
        <v>55092</v>
      </c>
      <c r="S22">
        <f>Tabel2425678910111213141517161819212022232614151819202122[[#This Row],[Stand Hot Water einde maand]]-Tabel2425678910111213141517161819212022232614151819202122[[#This Row],[Hot Water vorige maand]]</f>
        <v>1857</v>
      </c>
      <c r="T22" s="53">
        <v>19117</v>
      </c>
      <c r="U22">
        <f>oktober2025!T22</f>
        <v>18638</v>
      </c>
      <c r="V22">
        <f>Tabel2425678910111213141517161819212022232614151819202122[[#This Row],[Stand Cappucino einde maand]]-Tabel2425678910111213141517161819212022232614151819202122[[#This Row],[Stand Cappucino vorige maand]]</f>
        <v>479</v>
      </c>
      <c r="W22" s="53">
        <v>4213</v>
      </c>
      <c r="X22">
        <f>oktober2025!W22</f>
        <v>4090</v>
      </c>
      <c r="Y22">
        <f>Tabel2425678910111213141517161819212022232614151819202122[[#This Row],[Stand Cappucino Plantaardig einde maand]]-Tabel2425678910111213141517161819212022232614151819202122[[#This Row],[Stand Cappucino Plantaardig vorige maand]]</f>
        <v>123</v>
      </c>
      <c r="Z22" s="53">
        <v>786</v>
      </c>
      <c r="AA22">
        <f>oktober2025!Z22</f>
        <v>781</v>
      </c>
      <c r="AB22">
        <f>Tabel2425678910111213141517161819212022232614151819202122[[#This Row],[Stand Latte Macchiato Plantaardig einde maand]]-Tabel2425678910111213141517161819212022232614151819202122[[#This Row],[Stand Latte Macchiato Plantaardig vorige maand]]</f>
        <v>5</v>
      </c>
      <c r="AC22" s="71">
        <f>Tabel2425678910111213141517161819212022232614151819202122[[#This Row],[Verbruik Stand Latte Macchiato Plantaardig deze maand]]+Tabel2425678910111213141517161819212022232614151819202122[[#This Row],[Verbruik  Cappucino Plantaardig deze maand]]+Tabel2425678910111213141517161819212022232614151819202122[[#This Row],[Verbruik Cappucino deze maand]]+Tabel2425678910111213141517161819212022232614151819202122[[#This Row],[Verbruik Hot Water deze maand]]+Tabel2425678910111213141517161819212022232614151819202122[[#This Row],[Verbruik Coffee Latte deze maand]]+Tabel2425678910111213141517161819212022232614151819202122[[#This Row],[Verbruik Latte Macchiato deze maand]]+Tabel2425678910111213141517161819212022232614151819202122[[#This Row],[Verbruik Espresso deze maand]]+Tabel2425678910111213141517161819212022232614151819202122[[#This Row],[Verbruik Coffee deze maand]]</f>
        <v>4139</v>
      </c>
      <c r="AD22" s="69"/>
      <c r="AE22" s="41"/>
      <c r="AF22" s="5"/>
      <c r="AG22" s="5"/>
      <c r="AH22" s="75"/>
      <c r="AI22" s="41"/>
      <c r="AJ22" s="5"/>
      <c r="AK22" s="5"/>
      <c r="AL22" s="75"/>
      <c r="AM22" s="41"/>
      <c r="AN22" s="5"/>
      <c r="AO22" s="5"/>
      <c r="AP22" s="75"/>
      <c r="AQ22" s="41"/>
      <c r="AR22" s="5"/>
      <c r="AS22" s="5"/>
      <c r="AT22" s="75"/>
      <c r="AU22" s="41"/>
      <c r="AV22" s="5"/>
      <c r="AW22" s="5"/>
      <c r="AX22" s="79"/>
      <c r="AY22" s="95">
        <f>Tabel2425678910111213141517161819212022232614151819202122[[#This Row],[Subtotaal waterbar in consumpties]]+Tabel2425678910111213141517161819212022232614151819202122[[#This Row],[Subtotaal koffieautomaten]]</f>
        <v>4139</v>
      </c>
    </row>
    <row r="23" spans="1:130" ht="14.45" customHeight="1" x14ac:dyDescent="0.25">
      <c r="A23" s="65" t="s">
        <v>68</v>
      </c>
      <c r="B23" t="s">
        <v>69</v>
      </c>
      <c r="C23" t="s">
        <v>47</v>
      </c>
      <c r="E23">
        <v>21167</v>
      </c>
      <c r="F23">
        <f>oktober2025!E23</f>
        <v>20430</v>
      </c>
      <c r="G23">
        <f>Tabel2425678910111213141517161819212022232614151819202122[[#This Row],[Stand Coffee einde maand]]-Tabel2425678910111213141517161819212022232614151819202122[[#This Row],[Coffee vorige maand]]</f>
        <v>737</v>
      </c>
      <c r="H23" s="53">
        <v>8415</v>
      </c>
      <c r="I23">
        <f>oktober2025!H23</f>
        <v>8201</v>
      </c>
      <c r="J23">
        <f>Tabel2425678910111213141517161819212022232614151819202122[[#This Row],[Stand Espresso Einde maand]]-Tabel2425678910111213141517161819212022232614151819202122[[#This Row],[Espresso vorige maand]]</f>
        <v>214</v>
      </c>
      <c r="K23" s="53">
        <v>6021</v>
      </c>
      <c r="L23">
        <f>oktober2025!K23</f>
        <v>5902</v>
      </c>
      <c r="M23">
        <f>Tabel2425678910111213141517161819212022232614151819202122[[#This Row],[Stand Latte Macchiato einde maand]]-Tabel2425678910111213141517161819212022232614151819202122[[#This Row],[Latte Macchiato vorige maand]]</f>
        <v>119</v>
      </c>
      <c r="N23" s="53">
        <v>1324</v>
      </c>
      <c r="O23">
        <f>oktober2025!N23</f>
        <v>1238</v>
      </c>
      <c r="P23">
        <f>Tabel2425678910111213141517161819212022232614151819202122[[#This Row],[Stand Coffee Latte einde maand]]-Tabel2425678910111213141517161819212022232614151819202122[[#This Row],[Coffee Latte vorige maand]]</f>
        <v>86</v>
      </c>
      <c r="Q23" s="53">
        <v>1</v>
      </c>
      <c r="R23">
        <f>oktober2025!Q23</f>
        <v>1</v>
      </c>
      <c r="S23">
        <f>Tabel2425678910111213141517161819212022232614151819202122[[#This Row],[Stand Hot Water einde maand]]-Tabel2425678910111213141517161819212022232614151819202122[[#This Row],[Hot Water vorige maand]]</f>
        <v>0</v>
      </c>
      <c r="T23" s="53">
        <v>17015</v>
      </c>
      <c r="U23">
        <f>oktober2025!T23</f>
        <v>16550</v>
      </c>
      <c r="V23">
        <f>Tabel2425678910111213141517161819212022232614151819202122[[#This Row],[Stand Cappucino einde maand]]-Tabel2425678910111213141517161819212022232614151819202122[[#This Row],[Stand Cappucino vorige maand]]</f>
        <v>465</v>
      </c>
      <c r="W23" s="53">
        <v>3278</v>
      </c>
      <c r="X23">
        <f>oktober2025!W23</f>
        <v>3188</v>
      </c>
      <c r="Y23">
        <f>Tabel2425678910111213141517161819212022232614151819202122[[#This Row],[Stand Cappucino Plantaardig einde maand]]-Tabel2425678910111213141517161819212022232614151819202122[[#This Row],[Stand Cappucino Plantaardig vorige maand]]</f>
        <v>90</v>
      </c>
      <c r="Z23" s="53">
        <v>988</v>
      </c>
      <c r="AA23">
        <f>oktober2025!Z23</f>
        <v>946</v>
      </c>
      <c r="AB23">
        <f>Tabel2425678910111213141517161819212022232614151819202122[[#This Row],[Stand Latte Macchiato Plantaardig einde maand]]-Tabel2425678910111213141517161819212022232614151819202122[[#This Row],[Stand Latte Macchiato Plantaardig vorige maand]]</f>
        <v>42</v>
      </c>
      <c r="AC23" s="71">
        <f>Tabel2425678910111213141517161819212022232614151819202122[[#This Row],[Verbruik Stand Latte Macchiato Plantaardig deze maand]]+Tabel2425678910111213141517161819212022232614151819202122[[#This Row],[Verbruik  Cappucino Plantaardig deze maand]]+Tabel2425678910111213141517161819212022232614151819202122[[#This Row],[Verbruik Cappucino deze maand]]+Tabel2425678910111213141517161819212022232614151819202122[[#This Row],[Verbruik Hot Water deze maand]]+Tabel2425678910111213141517161819212022232614151819202122[[#This Row],[Verbruik Coffee Latte deze maand]]+Tabel2425678910111213141517161819212022232614151819202122[[#This Row],[Verbruik Latte Macchiato deze maand]]+Tabel2425678910111213141517161819212022232614151819202122[[#This Row],[Verbruik Espresso deze maand]]+Tabel2425678910111213141517161819212022232614151819202122[[#This Row],[Verbruik Coffee deze maand]]</f>
        <v>1753</v>
      </c>
      <c r="AD23" s="53">
        <v>206.2</v>
      </c>
      <c r="AE23">
        <f>oktober2025!AD23</f>
        <v>179.2</v>
      </c>
      <c r="AF23">
        <f>Tabel2425678910111213141517161819212022232614151819202122[[#This Row],[Stand Kamertemp liter einde maand]]-Tabel2425678910111213141517161819212022232614151819202122[[#This Row],[Stand Kamertemp liter vorige maand]]</f>
        <v>27</v>
      </c>
      <c r="AG23" s="2">
        <f>Tabel2425678910111213141517161819212022232614151819202122[[#This Row],[Verbruik Kamertemp liter deze maand]]/0.15</f>
        <v>180</v>
      </c>
      <c r="AH23" s="53">
        <v>2228.6</v>
      </c>
      <c r="AI23">
        <f>oktober2025!AH23</f>
        <v>2037.6</v>
      </c>
      <c r="AJ23">
        <f>Tabel2425678910111213141517161819212022232614151819202122[[#This Row],[Stand Gekoeld liter einde maand]]-Tabel2425678910111213141517161819212022232614151819202122[[#This Row],[Stand Gekoeld liter vorige maand]]</f>
        <v>191</v>
      </c>
      <c r="AK23" s="2">
        <f>Tabel2425678910111213141517161819212022232614151819202122[[#This Row],[Verbruik Gekoeld liter deze maand]]/0.15</f>
        <v>1273.3333333333335</v>
      </c>
      <c r="AL23" s="53">
        <v>1261</v>
      </c>
      <c r="AM23">
        <f>oktober2025!AL23</f>
        <v>1127.2</v>
      </c>
      <c r="AN23">
        <f>Tabel2425678910111213141517161819212022232614151819202122[[#This Row],[Stand Bruisend liter einde maand]]-Tabel2425678910111213141517161819212022232614151819202122[[#This Row],[Stand Bruisend liter vorige maand]]</f>
        <v>133.79999999999995</v>
      </c>
      <c r="AO23" s="2">
        <f>Tabel2425678910111213141517161819212022232614151819202122[[#This Row],[Verbruik Bruisend liter deze maand]]/0.15</f>
        <v>891.99999999999977</v>
      </c>
      <c r="AP23" s="53">
        <v>218.5</v>
      </c>
      <c r="AQ23">
        <f>oktober2025!AP23</f>
        <v>197.3</v>
      </c>
      <c r="AR23">
        <f>Tabel2425678910111213141517161819212022232614151819202122[[#This Row],[Stand licht bruisend liter einde maand]]-Tabel2425678910111213141517161819212022232614151819202122[[#This Row],[Stand licht bruisend liter vorige maand]]</f>
        <v>21.199999999999989</v>
      </c>
      <c r="AS23" s="2">
        <f>Tabel2425678910111213141517161819212022232614151819202122[[#This Row],[Verbruik licht bruisend liter deze maand]]/0.15</f>
        <v>141.33333333333326</v>
      </c>
      <c r="AT23" s="53">
        <v>4657.5</v>
      </c>
      <c r="AU23">
        <f>oktober2025!AT23</f>
        <v>4124.7</v>
      </c>
      <c r="AV23">
        <f>Tabel2425678910111213141517161819212022232614151819202122[[#This Row],[Stand heet water liter einde maand]]-Tabel2425678910111213141517161819212022232614151819202122[[#This Row],[Stand heet water liter vorige maand]]</f>
        <v>532.80000000000018</v>
      </c>
      <c r="AW23" s="2">
        <f>Tabel2425678910111213141517161819212022232614151819202122[[#This Row],[Verbruik heet Water liter deze maand ]]/0.15</f>
        <v>3552.0000000000014</v>
      </c>
      <c r="AX23" s="77">
        <f>Tabel2425678910111213141517161819212022232614151819202122[[#This Row],[Aantal consumpties heet water deze maand]]+Tabel2425678910111213141517161819212022232614151819202122[[#This Row],[Aantal consumpties licht bruisend water deze maand]]+Tabel2425678910111213141517161819212022232614151819202122[[#This Row],[aantal consumpties Bruisend water deze maand]]+Tabel2425678910111213141517161819212022232614151819202122[[#This Row],[Aantal consumpties gekoeld water deze maand]]+Tabel2425678910111213141517161819212022232614151819202122[[#This Row],[Aantal consumpties Kamertemp deze maand]]</f>
        <v>6038.6666666666679</v>
      </c>
      <c r="AY23" s="95">
        <f>Tabel2425678910111213141517161819212022232614151819202122[[#This Row],[Subtotaal waterbar in consumpties]]+Tabel2425678910111213141517161819212022232614151819202122[[#This Row],[Subtotaal koffieautomaten]]</f>
        <v>7791.6666666666679</v>
      </c>
    </row>
    <row r="24" spans="1:130" ht="14.45" customHeight="1" x14ac:dyDescent="0.25">
      <c r="A24" s="65" t="s">
        <v>70</v>
      </c>
      <c r="B24" t="s">
        <v>71</v>
      </c>
      <c r="C24" t="s">
        <v>31</v>
      </c>
      <c r="E24">
        <f>Tabel2425678910111213141517161819212022232614151819202122[[#This Row],[Coffee vorige maand]]+700</f>
        <v>23372</v>
      </c>
      <c r="F24">
        <f>oktober2025!E24</f>
        <v>22672</v>
      </c>
      <c r="G24">
        <f>Tabel2425678910111213141517161819212022232614151819202122[[#This Row],[Stand Coffee einde maand]]-Tabel2425678910111213141517161819212022232614151819202122[[#This Row],[Coffee vorige maand]]</f>
        <v>700</v>
      </c>
      <c r="H24" s="53">
        <f>Tabel2425678910111213141517161819212022232614151819202122[[#This Row],[Espresso vorige maand]]+99</f>
        <v>3674</v>
      </c>
      <c r="I24">
        <f>oktober2025!H24</f>
        <v>3575</v>
      </c>
      <c r="J24">
        <f>Tabel2425678910111213141517161819212022232614151819202122[[#This Row],[Stand Espresso Einde maand]]-Tabel2425678910111213141517161819212022232614151819202122[[#This Row],[Espresso vorige maand]]</f>
        <v>99</v>
      </c>
      <c r="K24" s="53">
        <f>Tabel2425678910111213141517161819212022232614151819202122[[#This Row],[Latte Macchiato vorige maand]]+15</f>
        <v>1512</v>
      </c>
      <c r="L24">
        <f>oktober2025!K24</f>
        <v>1497</v>
      </c>
      <c r="M24">
        <f>Tabel2425678910111213141517161819212022232614151819202122[[#This Row],[Stand Latte Macchiato einde maand]]-Tabel2425678910111213141517161819212022232614151819202122[[#This Row],[Latte Macchiato vorige maand]]</f>
        <v>15</v>
      </c>
      <c r="N24" s="53">
        <v>2736</v>
      </c>
      <c r="O24">
        <f>oktober2025!N24</f>
        <v>2662</v>
      </c>
      <c r="P24">
        <f>Tabel2425678910111213141517161819212022232614151819202122[[#This Row],[Stand Coffee Latte einde maand]]-Tabel2425678910111213141517161819212022232614151819202122[[#This Row],[Coffee Latte vorige maand]]</f>
        <v>74</v>
      </c>
      <c r="Q24" s="53">
        <v>45443</v>
      </c>
      <c r="R24">
        <f>oktober2025!Q24</f>
        <v>43615</v>
      </c>
      <c r="S24">
        <f>Tabel2425678910111213141517161819212022232614151819202122[[#This Row],[Stand Hot Water einde maand]]-Tabel2425678910111213141517161819212022232614151819202122[[#This Row],[Hot Water vorige maand]]</f>
        <v>1828</v>
      </c>
      <c r="T24" s="53">
        <v>8326</v>
      </c>
      <c r="U24">
        <f>oktober2025!T24</f>
        <v>8062</v>
      </c>
      <c r="V24">
        <f>Tabel2425678910111213141517161819212022232614151819202122[[#This Row],[Stand Cappucino einde maand]]-Tabel2425678910111213141517161819212022232614151819202122[[#This Row],[Stand Cappucino vorige maand]]</f>
        <v>264</v>
      </c>
      <c r="W24" s="53">
        <v>1386</v>
      </c>
      <c r="X24">
        <f>oktober2025!W24</f>
        <v>1371</v>
      </c>
      <c r="Y24">
        <f>Tabel2425678910111213141517161819212022232614151819202122[[#This Row],[Stand Cappucino Plantaardig einde maand]]-Tabel2425678910111213141517161819212022232614151819202122[[#This Row],[Stand Cappucino Plantaardig vorige maand]]</f>
        <v>15</v>
      </c>
      <c r="Z24" s="53">
        <v>2836</v>
      </c>
      <c r="AA24">
        <f>oktober2025!Z24</f>
        <v>2733</v>
      </c>
      <c r="AB24">
        <f>Tabel2425678910111213141517161819212022232614151819202122[[#This Row],[Stand Latte Macchiato Plantaardig einde maand]]-Tabel2425678910111213141517161819212022232614151819202122[[#This Row],[Stand Latte Macchiato Plantaardig vorige maand]]</f>
        <v>103</v>
      </c>
      <c r="AC24" s="71">
        <f>Tabel2425678910111213141517161819212022232614151819202122[[#This Row],[Verbruik Stand Latte Macchiato Plantaardig deze maand]]+Tabel2425678910111213141517161819212022232614151819202122[[#This Row],[Verbruik  Cappucino Plantaardig deze maand]]+Tabel2425678910111213141517161819212022232614151819202122[[#This Row],[Verbruik Cappucino deze maand]]+Tabel2425678910111213141517161819212022232614151819202122[[#This Row],[Verbruik Hot Water deze maand]]+Tabel2425678910111213141517161819212022232614151819202122[[#This Row],[Verbruik Coffee Latte deze maand]]+Tabel2425678910111213141517161819212022232614151819202122[[#This Row],[Verbruik Latte Macchiato deze maand]]+Tabel2425678910111213141517161819212022232614151819202122[[#This Row],[Verbruik Espresso deze maand]]+Tabel2425678910111213141517161819212022232614151819202122[[#This Row],[Verbruik Coffee deze maand]]</f>
        <v>3098</v>
      </c>
      <c r="AD24" s="69"/>
      <c r="AE24" s="41"/>
      <c r="AF24" s="5"/>
      <c r="AG24" s="5"/>
      <c r="AH24" s="75"/>
      <c r="AI24" s="41"/>
      <c r="AJ24" s="5"/>
      <c r="AK24" s="5"/>
      <c r="AL24" s="75"/>
      <c r="AM24" s="41"/>
      <c r="AN24" s="5"/>
      <c r="AO24" s="5"/>
      <c r="AP24" s="75"/>
      <c r="AQ24" s="41"/>
      <c r="AR24" s="5"/>
      <c r="AS24" s="5"/>
      <c r="AT24" s="75"/>
      <c r="AU24" s="41"/>
      <c r="AV24" s="5"/>
      <c r="AW24" s="5"/>
      <c r="AX24" s="79"/>
      <c r="AY24" s="95">
        <f>Tabel2425678910111213141517161819212022232614151819202122[[#This Row],[Subtotaal waterbar in consumpties]]+Tabel2425678910111213141517161819212022232614151819202122[[#This Row],[Subtotaal koffieautomaten]]</f>
        <v>3098</v>
      </c>
    </row>
    <row r="25" spans="1:130" ht="14.45" customHeight="1" x14ac:dyDescent="0.25">
      <c r="A25" s="65" t="s">
        <v>72</v>
      </c>
      <c r="B25" t="s">
        <v>73</v>
      </c>
      <c r="C25" t="s">
        <v>47</v>
      </c>
      <c r="E25">
        <v>16214</v>
      </c>
      <c r="F25">
        <f>oktober2025!E25</f>
        <v>15677</v>
      </c>
      <c r="G25">
        <f>Tabel2425678910111213141517161819212022232614151819202122[[#This Row],[Stand Coffee einde maand]]-Tabel2425678910111213141517161819212022232614151819202122[[#This Row],[Coffee vorige maand]]</f>
        <v>537</v>
      </c>
      <c r="H25" s="53">
        <v>5233</v>
      </c>
      <c r="I25">
        <f>oktober2025!H25</f>
        <v>5081</v>
      </c>
      <c r="J25">
        <f>Tabel2425678910111213141517161819212022232614151819202122[[#This Row],[Stand Espresso Einde maand]]-Tabel2425678910111213141517161819212022232614151819202122[[#This Row],[Espresso vorige maand]]</f>
        <v>152</v>
      </c>
      <c r="K25" s="53">
        <v>2058</v>
      </c>
      <c r="L25">
        <f>oktober2025!K25</f>
        <v>2013</v>
      </c>
      <c r="M25">
        <f>Tabel2425678910111213141517161819212022232614151819202122[[#This Row],[Stand Latte Macchiato einde maand]]-Tabel2425678910111213141517161819212022232614151819202122[[#This Row],[Latte Macchiato vorige maand]]</f>
        <v>45</v>
      </c>
      <c r="N25" s="53">
        <v>1511</v>
      </c>
      <c r="O25">
        <f>oktober2025!N25</f>
        <v>1440</v>
      </c>
      <c r="P25">
        <f>Tabel2425678910111213141517161819212022232614151819202122[[#This Row],[Stand Coffee Latte einde maand]]-Tabel2425678910111213141517161819212022232614151819202122[[#This Row],[Coffee Latte vorige maand]]</f>
        <v>71</v>
      </c>
      <c r="Q25" s="53">
        <v>1</v>
      </c>
      <c r="R25">
        <f>oktober2025!Q25</f>
        <v>1</v>
      </c>
      <c r="S25">
        <f>Tabel2425678910111213141517161819212022232614151819202122[[#This Row],[Stand Hot Water einde maand]]-Tabel2425678910111213141517161819212022232614151819202122[[#This Row],[Hot Water vorige maand]]</f>
        <v>0</v>
      </c>
      <c r="T25" s="53">
        <v>10320</v>
      </c>
      <c r="U25">
        <f>oktober2025!T25</f>
        <v>10105</v>
      </c>
      <c r="V25">
        <f>Tabel2425678910111213141517161819212022232614151819202122[[#This Row],[Stand Cappucino einde maand]]-Tabel2425678910111213141517161819212022232614151819202122[[#This Row],[Stand Cappucino vorige maand]]</f>
        <v>215</v>
      </c>
      <c r="W25" s="53">
        <v>1824</v>
      </c>
      <c r="X25">
        <f>oktober2025!W25</f>
        <v>1824</v>
      </c>
      <c r="Y25">
        <f>Tabel2425678910111213141517161819212022232614151819202122[[#This Row],[Stand Cappucino Plantaardig einde maand]]-Tabel2425678910111213141517161819212022232614151819202122[[#This Row],[Stand Cappucino Plantaardig vorige maand]]</f>
        <v>0</v>
      </c>
      <c r="Z25" s="53">
        <v>586</v>
      </c>
      <c r="AA25">
        <f>oktober2025!Z25</f>
        <v>586</v>
      </c>
      <c r="AB25">
        <f>Tabel2425678910111213141517161819212022232614151819202122[[#This Row],[Stand Latte Macchiato Plantaardig einde maand]]-Tabel2425678910111213141517161819212022232614151819202122[[#This Row],[Stand Latte Macchiato Plantaardig vorige maand]]</f>
        <v>0</v>
      </c>
      <c r="AC25" s="71">
        <f>Tabel2425678910111213141517161819212022232614151819202122[[#This Row],[Verbruik Stand Latte Macchiato Plantaardig deze maand]]+Tabel2425678910111213141517161819212022232614151819202122[[#This Row],[Verbruik  Cappucino Plantaardig deze maand]]+Tabel2425678910111213141517161819212022232614151819202122[[#This Row],[Verbruik Cappucino deze maand]]+Tabel2425678910111213141517161819212022232614151819202122[[#This Row],[Verbruik Hot Water deze maand]]+Tabel2425678910111213141517161819212022232614151819202122[[#This Row],[Verbruik Coffee Latte deze maand]]+Tabel2425678910111213141517161819212022232614151819202122[[#This Row],[Verbruik Latte Macchiato deze maand]]+Tabel2425678910111213141517161819212022232614151819202122[[#This Row],[Verbruik Espresso deze maand]]+Tabel2425678910111213141517161819212022232614151819202122[[#This Row],[Verbruik Coffee deze maand]]</f>
        <v>1020</v>
      </c>
      <c r="AD25" s="53">
        <v>584.1</v>
      </c>
      <c r="AE25">
        <f>oktober2025!AD25</f>
        <v>541.70000000000005</v>
      </c>
      <c r="AF25">
        <f>Tabel2425678910111213141517161819212022232614151819202122[[#This Row],[Stand Kamertemp liter einde maand]]-Tabel2425678910111213141517161819212022232614151819202122[[#This Row],[Stand Kamertemp liter vorige maand]]</f>
        <v>42.399999999999977</v>
      </c>
      <c r="AG25" s="2">
        <f>Tabel2425678910111213141517161819212022232614151819202122[[#This Row],[Verbruik Kamertemp liter deze maand]]/0.15</f>
        <v>282.66666666666652</v>
      </c>
      <c r="AH25" s="53">
        <v>3706</v>
      </c>
      <c r="AI25">
        <f>oktober2025!AH25</f>
        <v>3571.6</v>
      </c>
      <c r="AJ25">
        <f>Tabel2425678910111213141517161819212022232614151819202122[[#This Row],[Stand Gekoeld liter einde maand]]-Tabel2425678910111213141517161819212022232614151819202122[[#This Row],[Stand Gekoeld liter vorige maand]]</f>
        <v>134.40000000000009</v>
      </c>
      <c r="AK25" s="2">
        <f>Tabel2425678910111213141517161819212022232614151819202122[[#This Row],[Verbruik Gekoeld liter deze maand]]/0.15</f>
        <v>896.00000000000068</v>
      </c>
      <c r="AL25" s="53">
        <v>2711.6</v>
      </c>
      <c r="AM25">
        <f>oktober2025!AL25</f>
        <v>2625.4</v>
      </c>
      <c r="AN25">
        <f>Tabel2425678910111213141517161819212022232614151819202122[[#This Row],[Stand Bruisend liter einde maand]]-Tabel2425678910111213141517161819212022232614151819202122[[#This Row],[Stand Bruisend liter vorige maand]]</f>
        <v>86.199999999999818</v>
      </c>
      <c r="AO25" s="2">
        <f>Tabel2425678910111213141517161819212022232614151819202122[[#This Row],[Verbruik Bruisend liter deze maand]]/0.15</f>
        <v>574.66666666666549</v>
      </c>
      <c r="AP25" s="53">
        <v>821.3</v>
      </c>
      <c r="AQ25">
        <f>oktober2025!AP25</f>
        <v>808.1</v>
      </c>
      <c r="AR25">
        <f>Tabel2425678910111213141517161819212022232614151819202122[[#This Row],[Stand licht bruisend liter einde maand]]-Tabel2425678910111213141517161819212022232614151819202122[[#This Row],[Stand licht bruisend liter vorige maand]]</f>
        <v>13.199999999999932</v>
      </c>
      <c r="AS25" s="2">
        <f>Tabel2425678910111213141517161819212022232614151819202122[[#This Row],[Verbruik licht bruisend liter deze maand]]/0.15</f>
        <v>87.999999999999545</v>
      </c>
      <c r="AT25" s="53">
        <v>4256.5</v>
      </c>
      <c r="AU25">
        <f>oktober2025!AT25</f>
        <v>4092.7</v>
      </c>
      <c r="AV25">
        <f>Tabel2425678910111213141517161819212022232614151819202122[[#This Row],[Stand heet water liter einde maand]]-Tabel2425678910111213141517161819212022232614151819202122[[#This Row],[Stand heet water liter vorige maand]]</f>
        <v>163.80000000000018</v>
      </c>
      <c r="AW25" s="2">
        <f>Tabel2425678910111213141517161819212022232614151819202122[[#This Row],[Verbruik heet Water liter deze maand ]]/0.15</f>
        <v>1092.0000000000014</v>
      </c>
      <c r="AX25" s="77">
        <f>Tabel2425678910111213141517161819212022232614151819202122[[#This Row],[Aantal consumpties heet water deze maand]]+Tabel2425678910111213141517161819212022232614151819202122[[#This Row],[Aantal consumpties licht bruisend water deze maand]]+Tabel2425678910111213141517161819212022232614151819202122[[#This Row],[aantal consumpties Bruisend water deze maand]]+Tabel2425678910111213141517161819212022232614151819202122[[#This Row],[Aantal consumpties gekoeld water deze maand]]+Tabel2425678910111213141517161819212022232614151819202122[[#This Row],[Aantal consumpties Kamertemp deze maand]]</f>
        <v>2933.3333333333335</v>
      </c>
      <c r="AY25" s="95">
        <f>Tabel2425678910111213141517161819212022232614151819202122[[#This Row],[Subtotaal waterbar in consumpties]]+Tabel2425678910111213141517161819212022232614151819202122[[#This Row],[Subtotaal koffieautomaten]]</f>
        <v>3953.3333333333335</v>
      </c>
    </row>
    <row r="26" spans="1:130" s="81" customFormat="1" ht="14.45" customHeight="1" x14ac:dyDescent="0.25">
      <c r="A26" s="80" t="s">
        <v>74</v>
      </c>
      <c r="D26" s="82"/>
      <c r="H26" s="86"/>
      <c r="K26" s="86"/>
      <c r="N26" s="86"/>
      <c r="Q26" s="86"/>
      <c r="T26" s="86"/>
      <c r="W26" s="86"/>
      <c r="Z26" s="86"/>
      <c r="AC26" s="85"/>
      <c r="AD26" s="86"/>
      <c r="AG26" s="87"/>
      <c r="AH26" s="86"/>
      <c r="AK26" s="87"/>
      <c r="AL26" s="86"/>
      <c r="AO26" s="87"/>
      <c r="AP26" s="86"/>
      <c r="AS26" s="87"/>
      <c r="AT26" s="86"/>
      <c r="AW26" s="87"/>
      <c r="AX26" s="88"/>
      <c r="AY26" s="94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</row>
    <row r="27" spans="1:130" ht="14.45" customHeight="1" x14ac:dyDescent="0.25">
      <c r="A27" s="65" t="s">
        <v>32</v>
      </c>
      <c r="B27" t="s">
        <v>75</v>
      </c>
      <c r="C27" t="s">
        <v>47</v>
      </c>
      <c r="E27">
        <v>11838</v>
      </c>
      <c r="F27">
        <f>oktober2025!E27</f>
        <v>11383</v>
      </c>
      <c r="G27">
        <f>Tabel2425678910111213141517161819212022232614151819202122[[#This Row],[Stand Coffee einde maand]]-Tabel2425678910111213141517161819212022232614151819202122[[#This Row],[Coffee vorige maand]]</f>
        <v>455</v>
      </c>
      <c r="H27" s="53">
        <v>3144</v>
      </c>
      <c r="I27">
        <f>oktober2025!H27</f>
        <v>3016</v>
      </c>
      <c r="J27">
        <f>Tabel2425678910111213141517161819212022232614151819202122[[#This Row],[Stand Espresso Einde maand]]-Tabel2425678910111213141517161819212022232614151819202122[[#This Row],[Espresso vorige maand]]</f>
        <v>128</v>
      </c>
      <c r="K27" s="53">
        <v>2065</v>
      </c>
      <c r="L27">
        <f>oktober2025!K27</f>
        <v>2016</v>
      </c>
      <c r="M27">
        <f>Tabel2425678910111213141517161819212022232614151819202122[[#This Row],[Stand Latte Macchiato einde maand]]-Tabel2425678910111213141517161819212022232614151819202122[[#This Row],[Latte Macchiato vorige maand]]</f>
        <v>49</v>
      </c>
      <c r="N27" s="53">
        <v>977</v>
      </c>
      <c r="O27">
        <f>oktober2025!N27</f>
        <v>958</v>
      </c>
      <c r="P27">
        <f>Tabel2425678910111213141517161819212022232614151819202122[[#This Row],[Stand Coffee Latte einde maand]]-Tabel2425678910111213141517161819212022232614151819202122[[#This Row],[Coffee Latte vorige maand]]</f>
        <v>19</v>
      </c>
      <c r="Q27" s="53">
        <v>1</v>
      </c>
      <c r="R27">
        <f>oktober2025!Q27</f>
        <v>1</v>
      </c>
      <c r="S27">
        <f>Tabel2425678910111213141517161819212022232614151819202122[[#This Row],[Stand Hot Water einde maand]]-Tabel2425678910111213141517161819212022232614151819202122[[#This Row],[Hot Water vorige maand]]</f>
        <v>0</v>
      </c>
      <c r="T27" s="53">
        <v>7006</v>
      </c>
      <c r="U27">
        <f>oktober2025!T27</f>
        <v>6774</v>
      </c>
      <c r="V27">
        <f>Tabel2425678910111213141517161819212022232614151819202122[[#This Row],[Stand Cappucino einde maand]]-Tabel2425678910111213141517161819212022232614151819202122[[#This Row],[Stand Cappucino vorige maand]]</f>
        <v>232</v>
      </c>
      <c r="W27" s="53">
        <v>1049</v>
      </c>
      <c r="X27">
        <f>oktober2025!W27</f>
        <v>1033</v>
      </c>
      <c r="Y27">
        <f>Tabel2425678910111213141517161819212022232614151819202122[[#This Row],[Stand Cappucino Plantaardig einde maand]]-Tabel2425678910111213141517161819212022232614151819202122[[#This Row],[Stand Cappucino Plantaardig vorige maand]]</f>
        <v>16</v>
      </c>
      <c r="Z27" s="53">
        <v>583</v>
      </c>
      <c r="AA27">
        <f>oktober2025!Z27</f>
        <v>539</v>
      </c>
      <c r="AB27">
        <f>Tabel2425678910111213141517161819212022232614151819202122[[#This Row],[Stand Latte Macchiato Plantaardig einde maand]]-Tabel2425678910111213141517161819212022232614151819202122[[#This Row],[Stand Latte Macchiato Plantaardig vorige maand]]</f>
        <v>44</v>
      </c>
      <c r="AC27" s="71">
        <f>Tabel2425678910111213141517161819212022232614151819202122[[#This Row],[Verbruik Stand Latte Macchiato Plantaardig deze maand]]+Tabel2425678910111213141517161819212022232614151819202122[[#This Row],[Verbruik  Cappucino Plantaardig deze maand]]+Tabel2425678910111213141517161819212022232614151819202122[[#This Row],[Verbruik Cappucino deze maand]]+Tabel2425678910111213141517161819212022232614151819202122[[#This Row],[Verbruik Hot Water deze maand]]+Tabel2425678910111213141517161819212022232614151819202122[[#This Row],[Verbruik Coffee Latte deze maand]]+Tabel2425678910111213141517161819212022232614151819202122[[#This Row],[Verbruik Latte Macchiato deze maand]]+Tabel2425678910111213141517161819212022232614151819202122[[#This Row],[Verbruik Espresso deze maand]]+Tabel2425678910111213141517161819212022232614151819202122[[#This Row],[Verbruik Coffee deze maand]]</f>
        <v>943</v>
      </c>
      <c r="AD27" s="137">
        <v>11.3</v>
      </c>
      <c r="AE27" s="138">
        <v>0</v>
      </c>
      <c r="AF27" s="138">
        <f>Tabel2425678910111213141517161819212022232614151819202122[[#This Row],[Stand Kamertemp liter einde maand]]-Tabel2425678910111213141517161819212022232614151819202122[[#This Row],[Stand Kamertemp liter vorige maand]]</f>
        <v>11.3</v>
      </c>
      <c r="AG27" s="139">
        <f>Tabel2425678910111213141517161819212022232614151819202122[[#This Row],[Verbruik Kamertemp liter deze maand]]/0.15</f>
        <v>75.333333333333343</v>
      </c>
      <c r="AH27" s="137">
        <v>54.9</v>
      </c>
      <c r="AI27" s="138">
        <v>0</v>
      </c>
      <c r="AJ27" s="138">
        <f>Tabel2425678910111213141517161819212022232614151819202122[[#This Row],[Stand Gekoeld liter einde maand]]-Tabel2425678910111213141517161819212022232614151819202122[[#This Row],[Stand Gekoeld liter vorige maand]]</f>
        <v>54.9</v>
      </c>
      <c r="AK27" s="139">
        <f>Tabel2425678910111213141517161819212022232614151819202122[[#This Row],[Verbruik Gekoeld liter deze maand]]/0.15</f>
        <v>366</v>
      </c>
      <c r="AL27" s="137">
        <v>21.1</v>
      </c>
      <c r="AM27" s="138">
        <v>0</v>
      </c>
      <c r="AN27" s="138">
        <f>Tabel2425678910111213141517161819212022232614151819202122[[#This Row],[Stand Bruisend liter einde maand]]-Tabel2425678910111213141517161819212022232614151819202122[[#This Row],[Stand Bruisend liter vorige maand]]</f>
        <v>21.1</v>
      </c>
      <c r="AO27" s="139">
        <f>Tabel2425678910111213141517161819212022232614151819202122[[#This Row],[Verbruik Bruisend liter deze maand]]/0.15</f>
        <v>140.66666666666669</v>
      </c>
      <c r="AP27" s="137">
        <v>15.2</v>
      </c>
      <c r="AQ27" s="138">
        <v>0</v>
      </c>
      <c r="AR27" s="138">
        <f>Tabel2425678910111213141517161819212022232614151819202122[[#This Row],[Stand licht bruisend liter einde maand]]-Tabel2425678910111213141517161819212022232614151819202122[[#This Row],[Stand licht bruisend liter vorige maand]]</f>
        <v>15.2</v>
      </c>
      <c r="AS27" s="139">
        <f>Tabel2425678910111213141517161819212022232614151819202122[[#This Row],[Verbruik licht bruisend liter deze maand]]/0.15</f>
        <v>101.33333333333333</v>
      </c>
      <c r="AT27" s="137">
        <v>125.4</v>
      </c>
      <c r="AU27" s="138">
        <v>0</v>
      </c>
      <c r="AV27" s="138">
        <f>Tabel2425678910111213141517161819212022232614151819202122[[#This Row],[Stand heet water liter einde maand]]-Tabel2425678910111213141517161819212022232614151819202122[[#This Row],[Stand heet water liter vorige maand]]</f>
        <v>125.4</v>
      </c>
      <c r="AW27" s="139">
        <f>Tabel2425678910111213141517161819212022232614151819202122[[#This Row],[Verbruik heet Water liter deze maand ]]/0.15</f>
        <v>836.00000000000011</v>
      </c>
      <c r="AX27" s="140">
        <f>Tabel2425678910111213141517161819212022232614151819202122[[#This Row],[Aantal consumpties heet water deze maand]]+Tabel2425678910111213141517161819212022232614151819202122[[#This Row],[Aantal consumpties licht bruisend water deze maand]]+Tabel2425678910111213141517161819212022232614151819202122[[#This Row],[aantal consumpties Bruisend water deze maand]]+Tabel2425678910111213141517161819212022232614151819202122[[#This Row],[Aantal consumpties gekoeld water deze maand]]+Tabel2425678910111213141517161819212022232614151819202122[[#This Row],[Aantal consumpties Kamertemp deze maand]]</f>
        <v>1519.3333333333335</v>
      </c>
      <c r="AY27" s="95">
        <f>Tabel2425678910111213141517161819212022232614151819202122[[#This Row],[Subtotaal waterbar in consumpties]]+Tabel2425678910111213141517161819212022232614151819202122[[#This Row],[Subtotaal koffieautomaten]]</f>
        <v>2462.3333333333335</v>
      </c>
    </row>
    <row r="28" spans="1:130" ht="14.45" customHeight="1" x14ac:dyDescent="0.25">
      <c r="A28" s="65" t="s">
        <v>39</v>
      </c>
      <c r="B28" t="s">
        <v>163</v>
      </c>
      <c r="C28" t="s">
        <v>31</v>
      </c>
      <c r="E28">
        <v>30791</v>
      </c>
      <c r="F28">
        <f>oktober2025!E28</f>
        <v>30323</v>
      </c>
      <c r="G28">
        <f>Tabel2425678910111213141517161819212022232614151819202122[[#This Row],[Stand Coffee einde maand]]-Tabel2425678910111213141517161819212022232614151819202122[[#This Row],[Coffee vorige maand]]</f>
        <v>468</v>
      </c>
      <c r="H28" s="53">
        <v>7877</v>
      </c>
      <c r="I28">
        <f>oktober2025!H28</f>
        <v>7680</v>
      </c>
      <c r="J28">
        <f>Tabel2425678910111213141517161819212022232614151819202122[[#This Row],[Stand Espresso Einde maand]]-Tabel2425678910111213141517161819212022232614151819202122[[#This Row],[Espresso vorige maand]]</f>
        <v>197</v>
      </c>
      <c r="K28" s="53">
        <v>3731</v>
      </c>
      <c r="L28">
        <f>oktober2025!K28</f>
        <v>3676</v>
      </c>
      <c r="M28">
        <f>Tabel2425678910111213141517161819212022232614151819202122[[#This Row],[Stand Latte Macchiato einde maand]]-Tabel2425678910111213141517161819212022232614151819202122[[#This Row],[Latte Macchiato vorige maand]]</f>
        <v>55</v>
      </c>
      <c r="N28" s="53">
        <v>1683</v>
      </c>
      <c r="O28">
        <f>oktober2025!N28</f>
        <v>1630</v>
      </c>
      <c r="P28">
        <f>Tabel2425678910111213141517161819212022232614151819202122[[#This Row],[Stand Coffee Latte einde maand]]-Tabel2425678910111213141517161819212022232614151819202122[[#This Row],[Coffee Latte vorige maand]]</f>
        <v>53</v>
      </c>
      <c r="Q28" s="53">
        <v>26716</v>
      </c>
      <c r="R28">
        <f>oktober2025!Q28</f>
        <v>26016</v>
      </c>
      <c r="S28">
        <f>Tabel2425678910111213141517161819212022232614151819202122[[#This Row],[Stand Hot Water einde maand]]-Tabel2425678910111213141517161819212022232614151819202122[[#This Row],[Hot Water vorige maand]]</f>
        <v>700</v>
      </c>
      <c r="T28" s="53">
        <v>21629</v>
      </c>
      <c r="U28">
        <f>oktober2025!T28</f>
        <v>21217</v>
      </c>
      <c r="V28">
        <f>Tabel2425678910111213141517161819212022232614151819202122[[#This Row],[Stand Cappucino einde maand]]-Tabel2425678910111213141517161819212022232614151819202122[[#This Row],[Stand Cappucino vorige maand]]</f>
        <v>412</v>
      </c>
      <c r="W28" s="53">
        <v>2617</v>
      </c>
      <c r="X28">
        <f>oktober2025!W28</f>
        <v>2577</v>
      </c>
      <c r="Y28">
        <f>Tabel2425678910111213141517161819212022232614151819202122[[#This Row],[Stand Cappucino Plantaardig einde maand]]-Tabel2425678910111213141517161819212022232614151819202122[[#This Row],[Stand Cappucino Plantaardig vorige maand]]</f>
        <v>40</v>
      </c>
      <c r="Z28" s="53">
        <v>836</v>
      </c>
      <c r="AA28">
        <f>oktober2025!Z28</f>
        <v>812</v>
      </c>
      <c r="AB28">
        <f>Tabel2425678910111213141517161819212022232614151819202122[[#This Row],[Stand Latte Macchiato Plantaardig einde maand]]-Tabel2425678910111213141517161819212022232614151819202122[[#This Row],[Stand Latte Macchiato Plantaardig vorige maand]]</f>
        <v>24</v>
      </c>
      <c r="AC28" s="71">
        <f>Tabel2425678910111213141517161819212022232614151819202122[[#This Row],[Verbruik Stand Latte Macchiato Plantaardig deze maand]]+Tabel2425678910111213141517161819212022232614151819202122[[#This Row],[Verbruik  Cappucino Plantaardig deze maand]]+Tabel2425678910111213141517161819212022232614151819202122[[#This Row],[Verbruik Cappucino deze maand]]+Tabel2425678910111213141517161819212022232614151819202122[[#This Row],[Verbruik Hot Water deze maand]]+Tabel2425678910111213141517161819212022232614151819202122[[#This Row],[Verbruik Coffee Latte deze maand]]+Tabel2425678910111213141517161819212022232614151819202122[[#This Row],[Verbruik Latte Macchiato deze maand]]+Tabel2425678910111213141517161819212022232614151819202122[[#This Row],[Verbruik Espresso deze maand]]+Tabel2425678910111213141517161819212022232614151819202122[[#This Row],[Verbruik Coffee deze maand]]</f>
        <v>1949</v>
      </c>
      <c r="AD28" s="69"/>
      <c r="AE28" s="41"/>
      <c r="AF28" s="5"/>
      <c r="AG28" s="5"/>
      <c r="AH28" s="75"/>
      <c r="AI28" s="41"/>
      <c r="AJ28" s="5"/>
      <c r="AK28" s="5"/>
      <c r="AL28" s="75"/>
      <c r="AM28" s="41"/>
      <c r="AN28" s="5"/>
      <c r="AO28" s="5"/>
      <c r="AP28" s="75"/>
      <c r="AQ28" s="41"/>
      <c r="AR28" s="5"/>
      <c r="AS28" s="5"/>
      <c r="AT28" s="75"/>
      <c r="AU28" s="41"/>
      <c r="AV28" s="5"/>
      <c r="AW28" s="5"/>
      <c r="AX28" s="79"/>
      <c r="AY28" s="95">
        <f>Tabel2425678910111213141517161819212022232614151819202122[[#This Row],[Subtotaal waterbar in consumpties]]+Tabel2425678910111213141517161819212022232614151819202122[[#This Row],[Subtotaal koffieautomaten]]</f>
        <v>1949</v>
      </c>
    </row>
    <row r="29" spans="1:130" ht="14.45" customHeight="1" x14ac:dyDescent="0.25">
      <c r="A29" s="65" t="s">
        <v>39</v>
      </c>
      <c r="B29" t="s">
        <v>77</v>
      </c>
      <c r="C29" t="s">
        <v>36</v>
      </c>
      <c r="E29" s="46"/>
      <c r="F29" s="46"/>
      <c r="G29" s="47"/>
      <c r="H29" s="54"/>
      <c r="I29" s="46"/>
      <c r="J29" s="47"/>
      <c r="K29" s="54"/>
      <c r="L29" s="46"/>
      <c r="M29" s="47"/>
      <c r="N29" s="54"/>
      <c r="O29" s="46"/>
      <c r="P29" s="47"/>
      <c r="Q29" s="54"/>
      <c r="R29" s="46"/>
      <c r="S29" s="47"/>
      <c r="T29" s="54"/>
      <c r="U29" s="46"/>
      <c r="V29" s="47"/>
      <c r="W29" s="54"/>
      <c r="X29" s="46"/>
      <c r="Y29" s="47"/>
      <c r="Z29" s="54"/>
      <c r="AA29" s="46"/>
      <c r="AB29" s="47"/>
      <c r="AC29" s="72"/>
      <c r="AD29" s="53">
        <v>177.7</v>
      </c>
      <c r="AE29">
        <f>oktober2025!AD29</f>
        <v>142.5</v>
      </c>
      <c r="AF29">
        <f>Tabel2425678910111213141517161819212022232614151819202122[[#This Row],[Stand Kamertemp liter einde maand]]-Tabel2425678910111213141517161819212022232614151819202122[[#This Row],[Stand Kamertemp liter vorige maand]]</f>
        <v>35.199999999999989</v>
      </c>
      <c r="AG29" s="2">
        <f>Tabel2425678910111213141517161819212022232614151819202122[[#This Row],[Verbruik Kamertemp liter deze maand]]/0.15</f>
        <v>234.6666666666666</v>
      </c>
      <c r="AH29" s="53">
        <v>1377.8</v>
      </c>
      <c r="AI29">
        <f>oktober2025!AH29</f>
        <v>1200.5999999999999</v>
      </c>
      <c r="AJ29">
        <f>Tabel2425678910111213141517161819212022232614151819202122[[#This Row],[Stand Gekoeld liter einde maand]]-Tabel2425678910111213141517161819212022232614151819202122[[#This Row],[Stand Gekoeld liter vorige maand]]</f>
        <v>177.20000000000005</v>
      </c>
      <c r="AK29" s="2">
        <f>Tabel2425678910111213141517161819212022232614151819202122[[#This Row],[Verbruik Gekoeld liter deze maand]]/0.15</f>
        <v>1181.3333333333337</v>
      </c>
      <c r="AL29" s="53">
        <v>674.9</v>
      </c>
      <c r="AM29">
        <f>oktober2025!AL29</f>
        <v>598.20000000000005</v>
      </c>
      <c r="AN29">
        <f>Tabel2425678910111213141517161819212022232614151819202122[[#This Row],[Stand Bruisend liter einde maand]]-Tabel2425678910111213141517161819212022232614151819202122[[#This Row],[Stand Bruisend liter vorige maand]]</f>
        <v>76.699999999999932</v>
      </c>
      <c r="AO29" s="2">
        <f>Tabel2425678910111213141517161819212022232614151819202122[[#This Row],[Verbruik Bruisend liter deze maand]]/0.15</f>
        <v>511.33333333333292</v>
      </c>
      <c r="AP29" s="53">
        <v>208.1</v>
      </c>
      <c r="AQ29">
        <f>oktober2025!AP29</f>
        <v>182.6</v>
      </c>
      <c r="AR29">
        <f>Tabel2425678910111213141517161819212022232614151819202122[[#This Row],[Stand licht bruisend liter einde maand]]-Tabel2425678910111213141517161819212022232614151819202122[[#This Row],[Stand licht bruisend liter vorige maand]]</f>
        <v>25.5</v>
      </c>
      <c r="AS29" s="2">
        <f>Tabel2425678910111213141517161819212022232614151819202122[[#This Row],[Verbruik licht bruisend liter deze maand]]/0.15</f>
        <v>170</v>
      </c>
      <c r="AT29" s="53">
        <v>588.20000000000005</v>
      </c>
      <c r="AU29">
        <f>oktober2025!AT29</f>
        <v>475</v>
      </c>
      <c r="AV29">
        <f>Tabel2425678910111213141517161819212022232614151819202122[[#This Row],[Stand heet water liter einde maand]]-Tabel2425678910111213141517161819212022232614151819202122[[#This Row],[Stand heet water liter vorige maand]]</f>
        <v>113.20000000000005</v>
      </c>
      <c r="AW29" s="2">
        <f>Tabel2425678910111213141517161819212022232614151819202122[[#This Row],[Verbruik heet Water liter deze maand ]]/0.15</f>
        <v>754.66666666666697</v>
      </c>
      <c r="AX29" s="77">
        <f>Tabel2425678910111213141517161819212022232614151819202122[[#This Row],[Aantal consumpties heet water deze maand]]+Tabel2425678910111213141517161819212022232614151819202122[[#This Row],[Aantal consumpties licht bruisend water deze maand]]+Tabel2425678910111213141517161819212022232614151819202122[[#This Row],[aantal consumpties Bruisend water deze maand]]+Tabel2425678910111213141517161819212022232614151819202122[[#This Row],[Aantal consumpties gekoeld water deze maand]]+Tabel2425678910111213141517161819212022232614151819202122[[#This Row],[Aantal consumpties Kamertemp deze maand]]</f>
        <v>2852.0000000000005</v>
      </c>
      <c r="AY29" s="95">
        <f>Tabel2425678910111213141517161819212022232614151819202122[[#This Row],[Subtotaal waterbar in consumpties]]+Tabel2425678910111213141517161819212022232614151819202122[[#This Row],[Subtotaal koffieautomaten]]</f>
        <v>2852.0000000000005</v>
      </c>
    </row>
    <row r="30" spans="1:130" ht="14.45" customHeight="1" x14ac:dyDescent="0.25">
      <c r="A30" s="65" t="s">
        <v>41</v>
      </c>
      <c r="B30" t="s">
        <v>78</v>
      </c>
      <c r="C30" t="s">
        <v>47</v>
      </c>
      <c r="E30">
        <v>8288</v>
      </c>
      <c r="F30">
        <f>oktober2025!E30</f>
        <v>8006</v>
      </c>
      <c r="G30">
        <f>Tabel2425678910111213141517161819212022232614151819202122[[#This Row],[Stand Coffee einde maand]]-Tabel2425678910111213141517161819212022232614151819202122[[#This Row],[Coffee vorige maand]]</f>
        <v>282</v>
      </c>
      <c r="H30" s="53">
        <v>2297</v>
      </c>
      <c r="I30">
        <f>oktober2025!H30</f>
        <v>2263</v>
      </c>
      <c r="J30">
        <f>Tabel2425678910111213141517161819212022232614151819202122[[#This Row],[Stand Espresso Einde maand]]-Tabel2425678910111213141517161819212022232614151819202122[[#This Row],[Espresso vorige maand]]</f>
        <v>34</v>
      </c>
      <c r="K30" s="53">
        <v>650</v>
      </c>
      <c r="L30">
        <f>oktober2025!K30</f>
        <v>636</v>
      </c>
      <c r="M30">
        <f>Tabel2425678910111213141517161819212022232614151819202122[[#This Row],[Stand Latte Macchiato einde maand]]-Tabel2425678910111213141517161819212022232614151819202122[[#This Row],[Latte Macchiato vorige maand]]</f>
        <v>14</v>
      </c>
      <c r="N30" s="53">
        <v>422</v>
      </c>
      <c r="O30">
        <f>oktober2025!N30</f>
        <v>407</v>
      </c>
      <c r="P30">
        <f>Tabel2425678910111213141517161819212022232614151819202122[[#This Row],[Stand Coffee Latte einde maand]]-Tabel2425678910111213141517161819212022232614151819202122[[#This Row],[Coffee Latte vorige maand]]</f>
        <v>15</v>
      </c>
      <c r="Q30" s="53">
        <v>1</v>
      </c>
      <c r="R30">
        <f>oktober2025!Q30</f>
        <v>1</v>
      </c>
      <c r="S30">
        <f>Tabel2425678910111213141517161819212022232614151819202122[[#This Row],[Stand Hot Water einde maand]]-Tabel2425678910111213141517161819212022232614151819202122[[#This Row],[Hot Water vorige maand]]</f>
        <v>0</v>
      </c>
      <c r="T30" s="53">
        <v>3629</v>
      </c>
      <c r="U30">
        <f>oktober2025!T30</f>
        <v>3522</v>
      </c>
      <c r="V30">
        <f>Tabel2425678910111213141517161819212022232614151819202122[[#This Row],[Stand Cappucino einde maand]]-Tabel2425678910111213141517161819212022232614151819202122[[#This Row],[Stand Cappucino vorige maand]]</f>
        <v>107</v>
      </c>
      <c r="W30" s="53">
        <v>1704</v>
      </c>
      <c r="X30">
        <f>oktober2025!W30</f>
        <v>1685</v>
      </c>
      <c r="Y30">
        <f>Tabel2425678910111213141517161819212022232614151819202122[[#This Row],[Stand Cappucino Plantaardig einde maand]]-Tabel2425678910111213141517161819212022232614151819202122[[#This Row],[Stand Cappucino Plantaardig vorige maand]]</f>
        <v>19</v>
      </c>
      <c r="Z30" s="53">
        <v>1296</v>
      </c>
      <c r="AA30">
        <f>oktober2025!Z30</f>
        <v>1255</v>
      </c>
      <c r="AB30">
        <f>Tabel2425678910111213141517161819212022232614151819202122[[#This Row],[Stand Latte Macchiato Plantaardig einde maand]]-Tabel2425678910111213141517161819212022232614151819202122[[#This Row],[Stand Latte Macchiato Plantaardig vorige maand]]</f>
        <v>41</v>
      </c>
      <c r="AC30" s="71">
        <f>Tabel2425678910111213141517161819212022232614151819202122[[#This Row],[Verbruik Stand Latte Macchiato Plantaardig deze maand]]+Tabel2425678910111213141517161819212022232614151819202122[[#This Row],[Verbruik  Cappucino Plantaardig deze maand]]+Tabel2425678910111213141517161819212022232614151819202122[[#This Row],[Verbruik Cappucino deze maand]]+Tabel2425678910111213141517161819212022232614151819202122[[#This Row],[Verbruik Hot Water deze maand]]+Tabel2425678910111213141517161819212022232614151819202122[[#This Row],[Verbruik Coffee Latte deze maand]]+Tabel2425678910111213141517161819212022232614151819202122[[#This Row],[Verbruik Latte Macchiato deze maand]]+Tabel2425678910111213141517161819212022232614151819202122[[#This Row],[Verbruik Espresso deze maand]]+Tabel2425678910111213141517161819212022232614151819202122[[#This Row],[Verbruik Coffee deze maand]]</f>
        <v>512</v>
      </c>
      <c r="AD30" s="53">
        <v>319.39999999999998</v>
      </c>
      <c r="AE30">
        <f>oktober2025!AD30</f>
        <v>297.60000000000002</v>
      </c>
      <c r="AF30">
        <f>Tabel2425678910111213141517161819212022232614151819202122[[#This Row],[Stand Kamertemp liter einde maand]]-Tabel2425678910111213141517161819212022232614151819202122[[#This Row],[Stand Kamertemp liter vorige maand]]</f>
        <v>21.799999999999955</v>
      </c>
      <c r="AG30" s="2">
        <f>Tabel2425678910111213141517161819212022232614151819202122[[#This Row],[Verbruik Kamertemp liter deze maand]]/0.15</f>
        <v>145.33333333333303</v>
      </c>
      <c r="AH30" s="53">
        <v>2210.1999999999998</v>
      </c>
      <c r="AI30">
        <f>oktober2025!AH30</f>
        <v>2073.9</v>
      </c>
      <c r="AJ30">
        <f>Tabel2425678910111213141517161819212022232614151819202122[[#This Row],[Stand Gekoeld liter einde maand]]-Tabel2425678910111213141517161819212022232614151819202122[[#This Row],[Stand Gekoeld liter vorige maand]]</f>
        <v>136.29999999999973</v>
      </c>
      <c r="AK30" s="2">
        <f>Tabel2425678910111213141517161819212022232614151819202122[[#This Row],[Verbruik Gekoeld liter deze maand]]/0.15</f>
        <v>908.66666666666492</v>
      </c>
      <c r="AL30" s="53">
        <v>1144</v>
      </c>
      <c r="AM30">
        <f>oktober2025!AL30</f>
        <v>1096.8</v>
      </c>
      <c r="AN30">
        <f>Tabel2425678910111213141517161819212022232614151819202122[[#This Row],[Stand Bruisend liter einde maand]]-Tabel2425678910111213141517161819212022232614151819202122[[#This Row],[Stand Bruisend liter vorige maand]]</f>
        <v>47.200000000000045</v>
      </c>
      <c r="AO30" s="2">
        <f>Tabel2425678910111213141517161819212022232614151819202122[[#This Row],[Verbruik Bruisend liter deze maand]]/0.15</f>
        <v>314.66666666666697</v>
      </c>
      <c r="AP30" s="53">
        <v>803.3</v>
      </c>
      <c r="AQ30">
        <f>oktober2025!AP30</f>
        <v>774</v>
      </c>
      <c r="AR30">
        <f>Tabel2425678910111213141517161819212022232614151819202122[[#This Row],[Stand licht bruisend liter einde maand]]-Tabel2425678910111213141517161819212022232614151819202122[[#This Row],[Stand licht bruisend liter vorige maand]]</f>
        <v>29.299999999999955</v>
      </c>
      <c r="AS30" s="2">
        <f>Tabel2425678910111213141517161819212022232614151819202122[[#This Row],[Verbruik licht bruisend liter deze maand]]/0.15</f>
        <v>195.33333333333303</v>
      </c>
      <c r="AT30" s="53">
        <v>5728.8</v>
      </c>
      <c r="AU30">
        <f>oktober2025!AT30</f>
        <v>5342.2</v>
      </c>
      <c r="AV30">
        <f>Tabel2425678910111213141517161819212022232614151819202122[[#This Row],[Stand heet water liter einde maand]]-Tabel2425678910111213141517161819212022232614151819202122[[#This Row],[Stand heet water liter vorige maand]]</f>
        <v>386.60000000000036</v>
      </c>
      <c r="AW30" s="2">
        <f>Tabel2425678910111213141517161819212022232614151819202122[[#This Row],[Verbruik heet Water liter deze maand ]]/0.15</f>
        <v>2577.3333333333358</v>
      </c>
      <c r="AX30" s="77">
        <f>Tabel2425678910111213141517161819212022232614151819202122[[#This Row],[Aantal consumpties heet water deze maand]]+Tabel2425678910111213141517161819212022232614151819202122[[#This Row],[Aantal consumpties licht bruisend water deze maand]]+Tabel2425678910111213141517161819212022232614151819202122[[#This Row],[aantal consumpties Bruisend water deze maand]]+Tabel2425678910111213141517161819212022232614151819202122[[#This Row],[Aantal consumpties gekoeld water deze maand]]+Tabel2425678910111213141517161819212022232614151819202122[[#This Row],[Aantal consumpties Kamertemp deze maand]]</f>
        <v>4141.3333333333339</v>
      </c>
      <c r="AY30" s="95">
        <f>Tabel2425678910111213141517161819212022232614151819202122[[#This Row],[Subtotaal waterbar in consumpties]]+Tabel2425678910111213141517161819212022232614151819202122[[#This Row],[Subtotaal koffieautomaten]]</f>
        <v>4653.3333333333339</v>
      </c>
    </row>
    <row r="31" spans="1:130" ht="14.45" customHeight="1" x14ac:dyDescent="0.25">
      <c r="A31" s="65" t="s">
        <v>43</v>
      </c>
      <c r="B31" t="s">
        <v>79</v>
      </c>
      <c r="C31" t="s">
        <v>31</v>
      </c>
      <c r="E31">
        <v>15405</v>
      </c>
      <c r="F31">
        <f>oktober2025!E31</f>
        <v>14916</v>
      </c>
      <c r="G31">
        <f>Tabel2425678910111213141517161819212022232614151819202122[[#This Row],[Stand Coffee einde maand]]-Tabel2425678910111213141517161819212022232614151819202122[[#This Row],[Coffee vorige maand]]</f>
        <v>489</v>
      </c>
      <c r="H31" s="53">
        <v>6963</v>
      </c>
      <c r="I31">
        <f>oktober2025!H31</f>
        <v>6678</v>
      </c>
      <c r="J31">
        <f>Tabel2425678910111213141517161819212022232614151819202122[[#This Row],[Stand Espresso Einde maand]]-Tabel2425678910111213141517161819212022232614151819202122[[#This Row],[Espresso vorige maand]]</f>
        <v>285</v>
      </c>
      <c r="K31" s="53">
        <v>937</v>
      </c>
      <c r="L31">
        <f>oktober2025!K31</f>
        <v>922</v>
      </c>
      <c r="M31">
        <f>Tabel2425678910111213141517161819212022232614151819202122[[#This Row],[Stand Latte Macchiato einde maand]]-Tabel2425678910111213141517161819212022232614151819202122[[#This Row],[Latte Macchiato vorige maand]]</f>
        <v>15</v>
      </c>
      <c r="N31" s="53">
        <v>170</v>
      </c>
      <c r="O31">
        <f>oktober2025!N31</f>
        <v>168</v>
      </c>
      <c r="P31">
        <f>Tabel2425678910111213141517161819212022232614151819202122[[#This Row],[Stand Coffee Latte einde maand]]-Tabel2425678910111213141517161819212022232614151819202122[[#This Row],[Coffee Latte vorige maand]]</f>
        <v>2</v>
      </c>
      <c r="Q31" s="53">
        <v>13440</v>
      </c>
      <c r="R31">
        <f>oktober2025!Q31</f>
        <v>12962</v>
      </c>
      <c r="S31">
        <f>Tabel2425678910111213141517161819212022232614151819202122[[#This Row],[Stand Hot Water einde maand]]-Tabel2425678910111213141517161819212022232614151819202122[[#This Row],[Hot Water vorige maand]]</f>
        <v>478</v>
      </c>
      <c r="T31" s="53">
        <v>8813</v>
      </c>
      <c r="U31">
        <f>oktober2025!T31</f>
        <v>8523</v>
      </c>
      <c r="V31">
        <f>Tabel2425678910111213141517161819212022232614151819202122[[#This Row],[Stand Cappucino einde maand]]-Tabel2425678910111213141517161819212022232614151819202122[[#This Row],[Stand Cappucino vorige maand]]</f>
        <v>290</v>
      </c>
      <c r="W31" s="53">
        <v>585</v>
      </c>
      <c r="X31">
        <f>oktober2025!W31</f>
        <v>585</v>
      </c>
      <c r="Y31">
        <f>Tabel2425678910111213141517161819212022232614151819202122[[#This Row],[Stand Cappucino Plantaardig einde maand]]-Tabel2425678910111213141517161819212022232614151819202122[[#This Row],[Stand Cappucino Plantaardig vorige maand]]</f>
        <v>0</v>
      </c>
      <c r="Z31" s="53">
        <v>137</v>
      </c>
      <c r="AA31">
        <f>oktober2025!Z31</f>
        <v>136</v>
      </c>
      <c r="AB31">
        <f>Tabel2425678910111213141517161819212022232614151819202122[[#This Row],[Stand Latte Macchiato Plantaardig einde maand]]-Tabel2425678910111213141517161819212022232614151819202122[[#This Row],[Stand Latte Macchiato Plantaardig vorige maand]]</f>
        <v>1</v>
      </c>
      <c r="AC31" s="71">
        <f>Tabel2425678910111213141517161819212022232614151819202122[[#This Row],[Verbruik Stand Latte Macchiato Plantaardig deze maand]]+Tabel2425678910111213141517161819212022232614151819202122[[#This Row],[Verbruik  Cappucino Plantaardig deze maand]]+Tabel2425678910111213141517161819212022232614151819202122[[#This Row],[Verbruik Cappucino deze maand]]+Tabel2425678910111213141517161819212022232614151819202122[[#This Row],[Verbruik Hot Water deze maand]]+Tabel2425678910111213141517161819212022232614151819202122[[#This Row],[Verbruik Coffee Latte deze maand]]+Tabel2425678910111213141517161819212022232614151819202122[[#This Row],[Verbruik Latte Macchiato deze maand]]+Tabel2425678910111213141517161819212022232614151819202122[[#This Row],[Verbruik Espresso deze maand]]+Tabel2425678910111213141517161819212022232614151819202122[[#This Row],[Verbruik Coffee deze maand]]</f>
        <v>1560</v>
      </c>
      <c r="AD31" s="69"/>
      <c r="AE31" s="41"/>
      <c r="AF31" s="5"/>
      <c r="AG31" s="5"/>
      <c r="AH31" s="75"/>
      <c r="AI31" s="41"/>
      <c r="AJ31" s="5"/>
      <c r="AK31" s="5"/>
      <c r="AL31" s="75"/>
      <c r="AM31" s="41"/>
      <c r="AN31" s="5"/>
      <c r="AO31" s="5"/>
      <c r="AP31" s="75"/>
      <c r="AQ31" s="41"/>
      <c r="AR31" s="5"/>
      <c r="AS31" s="5"/>
      <c r="AT31" s="75"/>
      <c r="AU31" s="41"/>
      <c r="AV31" s="5"/>
      <c r="AW31" s="5"/>
      <c r="AX31" s="79"/>
      <c r="AY31" s="95">
        <f>Tabel2425678910111213141517161819212022232614151819202122[[#This Row],[Subtotaal waterbar in consumpties]]+Tabel2425678910111213141517161819212022232614151819202122[[#This Row],[Subtotaal koffieautomaten]]</f>
        <v>1560</v>
      </c>
    </row>
    <row r="32" spans="1:130" ht="14.45" customHeight="1" x14ac:dyDescent="0.25">
      <c r="A32" s="65" t="s">
        <v>45</v>
      </c>
      <c r="B32" t="s">
        <v>80</v>
      </c>
      <c r="C32" t="s">
        <v>36</v>
      </c>
      <c r="E32" s="46"/>
      <c r="F32" s="46"/>
      <c r="G32" s="47"/>
      <c r="H32" s="54"/>
      <c r="I32" s="46"/>
      <c r="J32" s="47"/>
      <c r="K32" s="54"/>
      <c r="L32" s="46"/>
      <c r="M32" s="47"/>
      <c r="N32" s="54"/>
      <c r="O32" s="46"/>
      <c r="P32" s="47"/>
      <c r="Q32" s="54"/>
      <c r="R32" s="46"/>
      <c r="S32" s="47"/>
      <c r="T32" s="54"/>
      <c r="U32" s="46"/>
      <c r="V32" s="47"/>
      <c r="W32" s="54"/>
      <c r="X32" s="46"/>
      <c r="Y32" s="47"/>
      <c r="Z32" s="54"/>
      <c r="AA32" s="46"/>
      <c r="AB32" s="47"/>
      <c r="AC32" s="72"/>
      <c r="AD32" s="53">
        <v>47</v>
      </c>
      <c r="AE32">
        <f>oktober2025!AD32</f>
        <v>38.700000000000003</v>
      </c>
      <c r="AF32">
        <f>Tabel2425678910111213141517161819212022232614151819202122[[#This Row],[Stand Kamertemp liter einde maand]]-Tabel2425678910111213141517161819212022232614151819202122[[#This Row],[Stand Kamertemp liter vorige maand]]</f>
        <v>8.2999999999999972</v>
      </c>
      <c r="AG32" s="2">
        <f>Tabel2425678910111213141517161819212022232614151819202122[[#This Row],[Verbruik Kamertemp liter deze maand]]/0.15</f>
        <v>55.333333333333314</v>
      </c>
      <c r="AH32" s="53">
        <v>330.6</v>
      </c>
      <c r="AI32">
        <f>oktober2025!AH32</f>
        <v>274.89999999999998</v>
      </c>
      <c r="AJ32">
        <f>Tabel2425678910111213141517161819212022232614151819202122[[#This Row],[Stand Gekoeld liter einde maand]]-Tabel2425678910111213141517161819212022232614151819202122[[#This Row],[Stand Gekoeld liter vorige maand]]</f>
        <v>55.700000000000045</v>
      </c>
      <c r="AK32" s="2">
        <f>Tabel2425678910111213141517161819212022232614151819202122[[#This Row],[Verbruik Gekoeld liter deze maand]]/0.15</f>
        <v>371.33333333333366</v>
      </c>
      <c r="AL32" s="53">
        <v>183</v>
      </c>
      <c r="AM32">
        <f>oktober2025!AL32</f>
        <v>145.9</v>
      </c>
      <c r="AN32">
        <f>Tabel2425678910111213141517161819212022232614151819202122[[#This Row],[Stand Bruisend liter einde maand]]-Tabel2425678910111213141517161819212022232614151819202122[[#This Row],[Stand Bruisend liter vorige maand]]</f>
        <v>37.099999999999994</v>
      </c>
      <c r="AO32" s="2">
        <f>Tabel2425678910111213141517161819212022232614151819202122[[#This Row],[Verbruik Bruisend liter deze maand]]/0.15</f>
        <v>247.33333333333331</v>
      </c>
      <c r="AP32" s="53">
        <v>48.5</v>
      </c>
      <c r="AQ32">
        <f>oktober2025!AP32</f>
        <v>40.200000000000003</v>
      </c>
      <c r="AR32">
        <f>Tabel2425678910111213141517161819212022232614151819202122[[#This Row],[Stand licht bruisend liter einde maand]]-Tabel2425678910111213141517161819212022232614151819202122[[#This Row],[Stand licht bruisend liter vorige maand]]</f>
        <v>8.2999999999999972</v>
      </c>
      <c r="AS32" s="2">
        <f>Tabel2425678910111213141517161819212022232614151819202122[[#This Row],[Verbruik licht bruisend liter deze maand]]/0.15</f>
        <v>55.333333333333314</v>
      </c>
      <c r="AT32" s="53">
        <v>649.29999999999995</v>
      </c>
      <c r="AU32">
        <f>oktober2025!AT32</f>
        <v>502.4</v>
      </c>
      <c r="AV32">
        <f>Tabel2425678910111213141517161819212022232614151819202122[[#This Row],[Stand heet water liter einde maand]]-Tabel2425678910111213141517161819212022232614151819202122[[#This Row],[Stand heet water liter vorige maand]]</f>
        <v>146.89999999999998</v>
      </c>
      <c r="AW32" s="2">
        <f>Tabel2425678910111213141517161819212022232614151819202122[[#This Row],[Verbruik heet Water liter deze maand ]]/0.15</f>
        <v>979.33333333333326</v>
      </c>
      <c r="AX32" s="77">
        <f>Tabel2425678910111213141517161819212022232614151819202122[[#This Row],[Aantal consumpties heet water deze maand]]+Tabel2425678910111213141517161819212022232614151819202122[[#This Row],[Aantal consumpties licht bruisend water deze maand]]+Tabel2425678910111213141517161819212022232614151819202122[[#This Row],[aantal consumpties Bruisend water deze maand]]+Tabel2425678910111213141517161819212022232614151819202122[[#This Row],[Aantal consumpties gekoeld water deze maand]]+Tabel2425678910111213141517161819212022232614151819202122[[#This Row],[Aantal consumpties Kamertemp deze maand]]</f>
        <v>1708.6666666666667</v>
      </c>
      <c r="AY32" s="95">
        <f>Tabel2425678910111213141517161819212022232614151819202122[[#This Row],[Subtotaal waterbar in consumpties]]+Tabel2425678910111213141517161819212022232614151819202122[[#This Row],[Subtotaal koffieautomaten]]</f>
        <v>1708.6666666666667</v>
      </c>
    </row>
    <row r="33" spans="1:130" ht="14.45" customHeight="1" x14ac:dyDescent="0.25">
      <c r="A33" s="65" t="s">
        <v>48</v>
      </c>
      <c r="B33" t="s">
        <v>81</v>
      </c>
      <c r="C33" t="s">
        <v>31</v>
      </c>
      <c r="E33">
        <v>14554</v>
      </c>
      <c r="F33">
        <f>oktober2025!E33</f>
        <v>13994</v>
      </c>
      <c r="G33">
        <f>Tabel2425678910111213141517161819212022232614151819202122[[#This Row],[Stand Coffee einde maand]]-Tabel2425678910111213141517161819212022232614151819202122[[#This Row],[Coffee vorige maand]]</f>
        <v>560</v>
      </c>
      <c r="H33" s="53">
        <v>924</v>
      </c>
      <c r="I33">
        <f>oktober2025!H33</f>
        <v>755</v>
      </c>
      <c r="J33">
        <f>Tabel2425678910111213141517161819212022232614151819202122[[#This Row],[Stand Espresso Einde maand]]-Tabel2425678910111213141517161819212022232614151819202122[[#This Row],[Espresso vorige maand]]</f>
        <v>169</v>
      </c>
      <c r="K33" s="53">
        <v>752</v>
      </c>
      <c r="L33">
        <f>oktober2025!K33</f>
        <v>751</v>
      </c>
      <c r="M33">
        <f>Tabel2425678910111213141517161819212022232614151819202122[[#This Row],[Stand Latte Macchiato einde maand]]-Tabel2425678910111213141517161819212022232614151819202122[[#This Row],[Latte Macchiato vorige maand]]</f>
        <v>1</v>
      </c>
      <c r="N33" s="53">
        <v>462</v>
      </c>
      <c r="O33">
        <f>oktober2025!N33</f>
        <v>455</v>
      </c>
      <c r="P33">
        <f>Tabel2425678910111213141517161819212022232614151819202122[[#This Row],[Stand Coffee Latte einde maand]]-Tabel2425678910111213141517161819212022232614151819202122[[#This Row],[Coffee Latte vorige maand]]</f>
        <v>7</v>
      </c>
      <c r="Q33" s="53">
        <v>30439</v>
      </c>
      <c r="R33">
        <f>oktober2025!Q33</f>
        <v>29574</v>
      </c>
      <c r="S33">
        <f>Tabel2425678910111213141517161819212022232614151819202122[[#This Row],[Stand Hot Water einde maand]]-Tabel2425678910111213141517161819212022232614151819202122[[#This Row],[Hot Water vorige maand]]</f>
        <v>865</v>
      </c>
      <c r="T33" s="53">
        <v>4822</v>
      </c>
      <c r="U33">
        <f>oktober2025!T33</f>
        <v>4752</v>
      </c>
      <c r="V33">
        <f>Tabel2425678910111213141517161819212022232614151819202122[[#This Row],[Stand Cappucino einde maand]]-Tabel2425678910111213141517161819212022232614151819202122[[#This Row],[Stand Cappucino vorige maand]]</f>
        <v>70</v>
      </c>
      <c r="W33" s="53">
        <v>446</v>
      </c>
      <c r="X33">
        <f>oktober2025!W33</f>
        <v>443</v>
      </c>
      <c r="Y33">
        <f>Tabel2425678910111213141517161819212022232614151819202122[[#This Row],[Stand Cappucino Plantaardig einde maand]]-Tabel2425678910111213141517161819212022232614151819202122[[#This Row],[Stand Cappucino Plantaardig vorige maand]]</f>
        <v>3</v>
      </c>
      <c r="Z33" s="53">
        <v>79</v>
      </c>
      <c r="AA33">
        <f>oktober2025!Z33</f>
        <v>77</v>
      </c>
      <c r="AB33">
        <f>Tabel2425678910111213141517161819212022232614151819202122[[#This Row],[Stand Latte Macchiato Plantaardig einde maand]]-Tabel2425678910111213141517161819212022232614151819202122[[#This Row],[Stand Latte Macchiato Plantaardig vorige maand]]</f>
        <v>2</v>
      </c>
      <c r="AC33" s="71">
        <f>Tabel2425678910111213141517161819212022232614151819202122[[#This Row],[Verbruik Stand Latte Macchiato Plantaardig deze maand]]+Tabel2425678910111213141517161819212022232614151819202122[[#This Row],[Verbruik  Cappucino Plantaardig deze maand]]+Tabel2425678910111213141517161819212022232614151819202122[[#This Row],[Verbruik Cappucino deze maand]]+Tabel2425678910111213141517161819212022232614151819202122[[#This Row],[Verbruik Hot Water deze maand]]+Tabel2425678910111213141517161819212022232614151819202122[[#This Row],[Verbruik Coffee Latte deze maand]]+Tabel2425678910111213141517161819212022232614151819202122[[#This Row],[Verbruik Latte Macchiato deze maand]]+Tabel2425678910111213141517161819212022232614151819202122[[#This Row],[Verbruik Espresso deze maand]]+Tabel2425678910111213141517161819212022232614151819202122[[#This Row],[Verbruik Coffee deze maand]]</f>
        <v>1677</v>
      </c>
      <c r="AD33" s="69"/>
      <c r="AE33" s="41"/>
      <c r="AF33" s="5"/>
      <c r="AG33" s="5"/>
      <c r="AH33" s="75"/>
      <c r="AI33" s="41"/>
      <c r="AJ33" s="5"/>
      <c r="AK33" s="5"/>
      <c r="AL33" s="75"/>
      <c r="AM33" s="41"/>
      <c r="AN33" s="5"/>
      <c r="AO33" s="5"/>
      <c r="AP33" s="75"/>
      <c r="AQ33" s="41"/>
      <c r="AR33" s="5"/>
      <c r="AS33" s="5"/>
      <c r="AT33" s="75"/>
      <c r="AU33" s="41"/>
      <c r="AV33" s="5"/>
      <c r="AW33" s="5"/>
      <c r="AX33" s="79"/>
      <c r="AY33" s="95">
        <f>Tabel2425678910111213141517161819212022232614151819202122[[#This Row],[Subtotaal waterbar in consumpties]]+Tabel2425678910111213141517161819212022232614151819202122[[#This Row],[Subtotaal koffieautomaten]]</f>
        <v>1677</v>
      </c>
    </row>
    <row r="34" spans="1:130" ht="14.45" customHeight="1" x14ac:dyDescent="0.25">
      <c r="A34" s="65" t="s">
        <v>50</v>
      </c>
      <c r="B34" t="s">
        <v>82</v>
      </c>
      <c r="C34" t="s">
        <v>47</v>
      </c>
      <c r="E34">
        <v>9835</v>
      </c>
      <c r="F34">
        <f>oktober2025!E34</f>
        <v>9470</v>
      </c>
      <c r="G34">
        <f>Tabel2425678910111213141517161819212022232614151819202122[[#This Row],[Stand Coffee einde maand]]-Tabel2425678910111213141517161819212022232614151819202122[[#This Row],[Coffee vorige maand]]</f>
        <v>365</v>
      </c>
      <c r="H34" s="53">
        <v>1816</v>
      </c>
      <c r="I34">
        <f>oktober2025!H34</f>
        <v>1761</v>
      </c>
      <c r="J34">
        <f>Tabel2425678910111213141517161819212022232614151819202122[[#This Row],[Stand Espresso Einde maand]]-Tabel2425678910111213141517161819212022232614151819202122[[#This Row],[Espresso vorige maand]]</f>
        <v>55</v>
      </c>
      <c r="K34" s="53">
        <v>2606</v>
      </c>
      <c r="L34">
        <f>oktober2025!K34</f>
        <v>2507</v>
      </c>
      <c r="M34">
        <f>Tabel2425678910111213141517161819212022232614151819202122[[#This Row],[Stand Latte Macchiato einde maand]]-Tabel2425678910111213141517161819212022232614151819202122[[#This Row],[Latte Macchiato vorige maand]]</f>
        <v>99</v>
      </c>
      <c r="N34" s="53">
        <v>2778</v>
      </c>
      <c r="O34">
        <f>oktober2025!N34</f>
        <v>2663</v>
      </c>
      <c r="P34">
        <f>Tabel2425678910111213141517161819212022232614151819202122[[#This Row],[Stand Coffee Latte einde maand]]-Tabel2425678910111213141517161819212022232614151819202122[[#This Row],[Coffee Latte vorige maand]]</f>
        <v>115</v>
      </c>
      <c r="Q34" s="53">
        <v>1</v>
      </c>
      <c r="R34">
        <f>oktober2025!Q34</f>
        <v>1</v>
      </c>
      <c r="S34">
        <f>Tabel2425678910111213141517161819212022232614151819202122[[#This Row],[Stand Hot Water einde maand]]-Tabel2425678910111213141517161819212022232614151819202122[[#This Row],[Hot Water vorige maand]]</f>
        <v>0</v>
      </c>
      <c r="T34" s="53">
        <v>5013</v>
      </c>
      <c r="U34">
        <f>oktober2025!T34</f>
        <v>4913</v>
      </c>
      <c r="V34">
        <f>Tabel2425678910111213141517161819212022232614151819202122[[#This Row],[Stand Cappucino einde maand]]-Tabel2425678910111213141517161819212022232614151819202122[[#This Row],[Stand Cappucino vorige maand]]</f>
        <v>100</v>
      </c>
      <c r="W34" s="53">
        <v>1131</v>
      </c>
      <c r="X34">
        <f>oktober2025!W34</f>
        <v>1074</v>
      </c>
      <c r="Y34">
        <f>Tabel2425678910111213141517161819212022232614151819202122[[#This Row],[Stand Cappucino Plantaardig einde maand]]-Tabel2425678910111213141517161819212022232614151819202122[[#This Row],[Stand Cappucino Plantaardig vorige maand]]</f>
        <v>57</v>
      </c>
      <c r="Z34" s="53">
        <v>117</v>
      </c>
      <c r="AA34">
        <f>oktober2025!Z34</f>
        <v>112</v>
      </c>
      <c r="AB34">
        <f>Tabel2425678910111213141517161819212022232614151819202122[[#This Row],[Stand Latte Macchiato Plantaardig einde maand]]-Tabel2425678910111213141517161819212022232614151819202122[[#This Row],[Stand Latte Macchiato Plantaardig vorige maand]]</f>
        <v>5</v>
      </c>
      <c r="AC34" s="71">
        <f>Tabel2425678910111213141517161819212022232614151819202122[[#This Row],[Verbruik Stand Latte Macchiato Plantaardig deze maand]]+Tabel2425678910111213141517161819212022232614151819202122[[#This Row],[Verbruik  Cappucino Plantaardig deze maand]]+Tabel2425678910111213141517161819212022232614151819202122[[#This Row],[Verbruik Cappucino deze maand]]+Tabel2425678910111213141517161819212022232614151819202122[[#This Row],[Verbruik Hot Water deze maand]]+Tabel2425678910111213141517161819212022232614151819202122[[#This Row],[Verbruik Coffee Latte deze maand]]+Tabel2425678910111213141517161819212022232614151819202122[[#This Row],[Verbruik Latte Macchiato deze maand]]+Tabel2425678910111213141517161819212022232614151819202122[[#This Row],[Verbruik Espresso deze maand]]+Tabel2425678910111213141517161819212022232614151819202122[[#This Row],[Verbruik Coffee deze maand]]</f>
        <v>796</v>
      </c>
      <c r="AD34" s="53">
        <v>112.5</v>
      </c>
      <c r="AE34">
        <f>oktober2025!AD34</f>
        <v>107.8</v>
      </c>
      <c r="AF34">
        <f>Tabel2425678910111213141517161819212022232614151819202122[[#This Row],[Stand Kamertemp liter einde maand]]-Tabel2425678910111213141517161819212022232614151819202122[[#This Row],[Stand Kamertemp liter vorige maand]]</f>
        <v>4.7000000000000028</v>
      </c>
      <c r="AG34" s="2">
        <f>Tabel2425678910111213141517161819212022232614151819202122[[#This Row],[Verbruik Kamertemp liter deze maand]]/0.15</f>
        <v>31.333333333333353</v>
      </c>
      <c r="AH34" s="53">
        <v>640.70000000000005</v>
      </c>
      <c r="AI34">
        <f>oktober2025!AH34</f>
        <v>557.6</v>
      </c>
      <c r="AJ34">
        <f>Tabel2425678910111213141517161819212022232614151819202122[[#This Row],[Stand Gekoeld liter einde maand]]-Tabel2425678910111213141517161819212022232614151819202122[[#This Row],[Stand Gekoeld liter vorige maand]]</f>
        <v>83.100000000000023</v>
      </c>
      <c r="AK34" s="2">
        <f>Tabel2425678910111213141517161819212022232614151819202122[[#This Row],[Verbruik Gekoeld liter deze maand]]/0.15</f>
        <v>554.00000000000023</v>
      </c>
      <c r="AL34" s="53">
        <v>443.3</v>
      </c>
      <c r="AM34">
        <f>oktober2025!AL34</f>
        <v>404.6</v>
      </c>
      <c r="AN34">
        <f>Tabel2425678910111213141517161819212022232614151819202122[[#This Row],[Stand Bruisend liter einde maand]]-Tabel2425678910111213141517161819212022232614151819202122[[#This Row],[Stand Bruisend liter vorige maand]]</f>
        <v>38.699999999999989</v>
      </c>
      <c r="AO34" s="2">
        <f>Tabel2425678910111213141517161819212022232614151819202122[[#This Row],[Verbruik Bruisend liter deze maand]]/0.15</f>
        <v>257.99999999999994</v>
      </c>
      <c r="AP34" s="53">
        <v>185.7</v>
      </c>
      <c r="AQ34">
        <f>oktober2025!AP34</f>
        <v>162.6</v>
      </c>
      <c r="AR34">
        <f>Tabel2425678910111213141517161819212022232614151819202122[[#This Row],[Stand licht bruisend liter einde maand]]-Tabel2425678910111213141517161819212022232614151819202122[[#This Row],[Stand licht bruisend liter vorige maand]]</f>
        <v>23.099999999999994</v>
      </c>
      <c r="AS34" s="2">
        <f>Tabel2425678910111213141517161819212022232614151819202122[[#This Row],[Verbruik licht bruisend liter deze maand]]/0.15</f>
        <v>153.99999999999997</v>
      </c>
      <c r="AT34" s="53">
        <v>2223.5</v>
      </c>
      <c r="AU34">
        <f>oktober2025!AT34</f>
        <v>2011.9</v>
      </c>
      <c r="AV34">
        <f>Tabel2425678910111213141517161819212022232614151819202122[[#This Row],[Stand heet water liter einde maand]]-Tabel2425678910111213141517161819212022232614151819202122[[#This Row],[Stand heet water liter vorige maand]]</f>
        <v>211.59999999999991</v>
      </c>
      <c r="AW34" s="2">
        <f>Tabel2425678910111213141517161819212022232614151819202122[[#This Row],[Verbruik heet Water liter deze maand ]]/0.15</f>
        <v>1410.6666666666661</v>
      </c>
      <c r="AX34" s="77">
        <f>Tabel2425678910111213141517161819212022232614151819202122[[#This Row],[Aantal consumpties heet water deze maand]]+Tabel2425678910111213141517161819212022232614151819202122[[#This Row],[Aantal consumpties licht bruisend water deze maand]]+Tabel2425678910111213141517161819212022232614151819202122[[#This Row],[aantal consumpties Bruisend water deze maand]]+Tabel2425678910111213141517161819212022232614151819202122[[#This Row],[Aantal consumpties gekoeld water deze maand]]+Tabel2425678910111213141517161819212022232614151819202122[[#This Row],[Aantal consumpties Kamertemp deze maand]]</f>
        <v>2407.9999999999995</v>
      </c>
      <c r="AY34" s="95">
        <f>Tabel2425678910111213141517161819212022232614151819202122[[#This Row],[Subtotaal waterbar in consumpties]]+Tabel2425678910111213141517161819212022232614151819202122[[#This Row],[Subtotaal koffieautomaten]]</f>
        <v>3203.9999999999995</v>
      </c>
    </row>
    <row r="35" spans="1:130" ht="14.45" customHeight="1" x14ac:dyDescent="0.25">
      <c r="A35" s="65" t="s">
        <v>52</v>
      </c>
      <c r="B35" t="s">
        <v>83</v>
      </c>
      <c r="C35" t="s">
        <v>47</v>
      </c>
      <c r="E35">
        <v>10163</v>
      </c>
      <c r="F35">
        <f>oktober2025!E35</f>
        <v>9829</v>
      </c>
      <c r="G35">
        <f>Tabel2425678910111213141517161819212022232614151819202122[[#This Row],[Stand Coffee einde maand]]-Tabel2425678910111213141517161819212022232614151819202122[[#This Row],[Coffee vorige maand]]</f>
        <v>334</v>
      </c>
      <c r="H35" s="53">
        <v>3744</v>
      </c>
      <c r="I35">
        <f>oktober2025!H35</f>
        <v>3667</v>
      </c>
      <c r="J35">
        <f>Tabel2425678910111213141517161819212022232614151819202122[[#This Row],[Stand Espresso Einde maand]]-Tabel2425678910111213141517161819212022232614151819202122[[#This Row],[Espresso vorige maand]]</f>
        <v>77</v>
      </c>
      <c r="K35" s="53">
        <v>1757</v>
      </c>
      <c r="L35">
        <f>oktober2025!K35</f>
        <v>1719</v>
      </c>
      <c r="M35">
        <f>Tabel2425678910111213141517161819212022232614151819202122[[#This Row],[Stand Latte Macchiato einde maand]]-Tabel2425678910111213141517161819212022232614151819202122[[#This Row],[Latte Macchiato vorige maand]]</f>
        <v>38</v>
      </c>
      <c r="N35" s="53">
        <v>291</v>
      </c>
      <c r="O35">
        <f>oktober2025!N35</f>
        <v>289</v>
      </c>
      <c r="P35">
        <f>Tabel2425678910111213141517161819212022232614151819202122[[#This Row],[Stand Coffee Latte einde maand]]-Tabel2425678910111213141517161819212022232614151819202122[[#This Row],[Coffee Latte vorige maand]]</f>
        <v>2</v>
      </c>
      <c r="Q35" s="53">
        <v>1</v>
      </c>
      <c r="R35">
        <f>oktober2025!Q35</f>
        <v>1</v>
      </c>
      <c r="S35">
        <f>Tabel2425678910111213141517161819212022232614151819202122[[#This Row],[Stand Hot Water einde maand]]-Tabel2425678910111213141517161819212022232614151819202122[[#This Row],[Hot Water vorige maand]]</f>
        <v>0</v>
      </c>
      <c r="T35" s="53">
        <v>4324</v>
      </c>
      <c r="U35">
        <f>oktober2025!T35</f>
        <v>4190</v>
      </c>
      <c r="V35">
        <f>Tabel2425678910111213141517161819212022232614151819202122[[#This Row],[Stand Cappucino einde maand]]-Tabel2425678910111213141517161819212022232614151819202122[[#This Row],[Stand Cappucino vorige maand]]</f>
        <v>134</v>
      </c>
      <c r="W35" s="53">
        <v>1213</v>
      </c>
      <c r="X35">
        <f>oktober2025!W35</f>
        <v>1185</v>
      </c>
      <c r="Y35">
        <f>Tabel2425678910111213141517161819212022232614151819202122[[#This Row],[Stand Cappucino Plantaardig einde maand]]-Tabel2425678910111213141517161819212022232614151819202122[[#This Row],[Stand Cappucino Plantaardig vorige maand]]</f>
        <v>28</v>
      </c>
      <c r="Z35" s="53">
        <v>664</v>
      </c>
      <c r="AA35">
        <f>oktober2025!Z35</f>
        <v>648</v>
      </c>
      <c r="AB35">
        <f>Tabel2425678910111213141517161819212022232614151819202122[[#This Row],[Stand Latte Macchiato Plantaardig einde maand]]-Tabel2425678910111213141517161819212022232614151819202122[[#This Row],[Stand Latte Macchiato Plantaardig vorige maand]]</f>
        <v>16</v>
      </c>
      <c r="AC35" s="71">
        <f>Tabel2425678910111213141517161819212022232614151819202122[[#This Row],[Verbruik Stand Latte Macchiato Plantaardig deze maand]]+Tabel2425678910111213141517161819212022232614151819202122[[#This Row],[Verbruik  Cappucino Plantaardig deze maand]]+Tabel2425678910111213141517161819212022232614151819202122[[#This Row],[Verbruik Cappucino deze maand]]+Tabel2425678910111213141517161819212022232614151819202122[[#This Row],[Verbruik Hot Water deze maand]]+Tabel2425678910111213141517161819212022232614151819202122[[#This Row],[Verbruik Coffee Latte deze maand]]+Tabel2425678910111213141517161819212022232614151819202122[[#This Row],[Verbruik Latte Macchiato deze maand]]+Tabel2425678910111213141517161819212022232614151819202122[[#This Row],[Verbruik Espresso deze maand]]+Tabel2425678910111213141517161819212022232614151819202122[[#This Row],[Verbruik Coffee deze maand]]</f>
        <v>629</v>
      </c>
      <c r="AD35" s="53">
        <v>41.5</v>
      </c>
      <c r="AE35">
        <f>oktober2025!AD35</f>
        <v>26.7</v>
      </c>
      <c r="AF35">
        <f>Tabel2425678910111213141517161819212022232614151819202122[[#This Row],[Stand Kamertemp liter einde maand]]-Tabel2425678910111213141517161819212022232614151819202122[[#This Row],[Stand Kamertemp liter vorige maand]]</f>
        <v>14.8</v>
      </c>
      <c r="AG35" s="2">
        <f>Tabel2425678910111213141517161819212022232614151819202122[[#This Row],[Verbruik Kamertemp liter deze maand]]/0.15</f>
        <v>98.666666666666671</v>
      </c>
      <c r="AH35" s="53">
        <v>84</v>
      </c>
      <c r="AI35">
        <f>oktober2025!AH35</f>
        <v>51.8</v>
      </c>
      <c r="AJ35">
        <f>Tabel2425678910111213141517161819212022232614151819202122[[#This Row],[Stand Gekoeld liter einde maand]]-Tabel2425678910111213141517161819212022232614151819202122[[#This Row],[Stand Gekoeld liter vorige maand]]</f>
        <v>32.200000000000003</v>
      </c>
      <c r="AK35" s="2">
        <f>Tabel2425678910111213141517161819212022232614151819202122[[#This Row],[Verbruik Gekoeld liter deze maand]]/0.15</f>
        <v>214.66666666666669</v>
      </c>
      <c r="AL35" s="53">
        <v>69.2</v>
      </c>
      <c r="AM35">
        <f>oktober2025!AL35</f>
        <v>38.200000000000003</v>
      </c>
      <c r="AN35">
        <f>Tabel2425678910111213141517161819212022232614151819202122[[#This Row],[Stand Bruisend liter einde maand]]-Tabel2425678910111213141517161819212022232614151819202122[[#This Row],[Stand Bruisend liter vorige maand]]</f>
        <v>31</v>
      </c>
      <c r="AO35" s="2">
        <f>Tabel2425678910111213141517161819212022232614151819202122[[#This Row],[Verbruik Bruisend liter deze maand]]/0.15</f>
        <v>206.66666666666669</v>
      </c>
      <c r="AP35" s="53">
        <v>45.1</v>
      </c>
      <c r="AQ35">
        <f>oktober2025!AP35</f>
        <v>30.3</v>
      </c>
      <c r="AR35">
        <f>Tabel2425678910111213141517161819212022232614151819202122[[#This Row],[Stand licht bruisend liter einde maand]]-Tabel2425678910111213141517161819212022232614151819202122[[#This Row],[Stand licht bruisend liter vorige maand]]</f>
        <v>14.8</v>
      </c>
      <c r="AS35" s="2">
        <f>Tabel2425678910111213141517161819212022232614151819202122[[#This Row],[Verbruik licht bruisend liter deze maand]]/0.15</f>
        <v>98.666666666666671</v>
      </c>
      <c r="AT35" s="53">
        <v>754.5</v>
      </c>
      <c r="AU35">
        <f>oktober2025!AT35</f>
        <v>446.6</v>
      </c>
      <c r="AV35">
        <f>Tabel2425678910111213141517161819212022232614151819202122[[#This Row],[Stand heet water liter einde maand]]-Tabel2425678910111213141517161819212022232614151819202122[[#This Row],[Stand heet water liter vorige maand]]</f>
        <v>307.89999999999998</v>
      </c>
      <c r="AW35" s="2">
        <f>Tabel2425678910111213141517161819212022232614151819202122[[#This Row],[Verbruik heet Water liter deze maand ]]/0.15</f>
        <v>2052.6666666666665</v>
      </c>
      <c r="AX35" s="77">
        <f>Tabel2425678910111213141517161819212022232614151819202122[[#This Row],[Aantal consumpties heet water deze maand]]+Tabel2425678910111213141517161819212022232614151819202122[[#This Row],[Aantal consumpties licht bruisend water deze maand]]+Tabel2425678910111213141517161819212022232614151819202122[[#This Row],[aantal consumpties Bruisend water deze maand]]+Tabel2425678910111213141517161819212022232614151819202122[[#This Row],[Aantal consumpties gekoeld water deze maand]]+Tabel2425678910111213141517161819212022232614151819202122[[#This Row],[Aantal consumpties Kamertemp deze maand]]</f>
        <v>2671.3333333333326</v>
      </c>
      <c r="AY35" s="95">
        <f>Tabel2425678910111213141517161819212022232614151819202122[[#This Row],[Subtotaal waterbar in consumpties]]+Tabel2425678910111213141517161819212022232614151819202122[[#This Row],[Subtotaal koffieautomaten]]</f>
        <v>3300.3333333333326</v>
      </c>
    </row>
    <row r="36" spans="1:130" ht="14.45" customHeight="1" x14ac:dyDescent="0.25">
      <c r="A36" s="65" t="s">
        <v>54</v>
      </c>
      <c r="B36" t="s">
        <v>84</v>
      </c>
      <c r="C36" t="s">
        <v>31</v>
      </c>
      <c r="E36">
        <v>16992</v>
      </c>
      <c r="F36">
        <f>oktober2025!E36</f>
        <v>16257</v>
      </c>
      <c r="G36">
        <f>Tabel2425678910111213141517161819212022232614151819202122[[#This Row],[Stand Coffee einde maand]]-Tabel2425678910111213141517161819212022232614151819202122[[#This Row],[Coffee vorige maand]]</f>
        <v>735</v>
      </c>
      <c r="H36" s="53">
        <v>3012</v>
      </c>
      <c r="I36">
        <f>oktober2025!H36</f>
        <v>2850</v>
      </c>
      <c r="J36">
        <f>Tabel2425678910111213141517161819212022232614151819202122[[#This Row],[Stand Espresso Einde maand]]-Tabel2425678910111213141517161819212022232614151819202122[[#This Row],[Espresso vorige maand]]</f>
        <v>162</v>
      </c>
      <c r="K36" s="53">
        <v>1489</v>
      </c>
      <c r="L36">
        <f>oktober2025!K36</f>
        <v>1451</v>
      </c>
      <c r="M36">
        <f>Tabel2425678910111213141517161819212022232614151819202122[[#This Row],[Stand Latte Macchiato einde maand]]-Tabel2425678910111213141517161819212022232614151819202122[[#This Row],[Latte Macchiato vorige maand]]</f>
        <v>38</v>
      </c>
      <c r="N36" s="53">
        <v>581</v>
      </c>
      <c r="O36">
        <f>oktober2025!N36</f>
        <v>551</v>
      </c>
      <c r="P36">
        <f>Tabel2425678910111213141517161819212022232614151819202122[[#This Row],[Stand Coffee Latte einde maand]]-Tabel2425678910111213141517161819212022232614151819202122[[#This Row],[Coffee Latte vorige maand]]</f>
        <v>30</v>
      </c>
      <c r="Q36" s="53">
        <v>23841</v>
      </c>
      <c r="R36">
        <f>oktober2025!Q36</f>
        <v>22944</v>
      </c>
      <c r="S36">
        <f>Tabel2425678910111213141517161819212022232614151819202122[[#This Row],[Stand Hot Water einde maand]]-Tabel2425678910111213141517161819212022232614151819202122[[#This Row],[Hot Water vorige maand]]</f>
        <v>897</v>
      </c>
      <c r="T36" s="53">
        <v>5816</v>
      </c>
      <c r="U36">
        <f>oktober2025!T36</f>
        <v>5549</v>
      </c>
      <c r="V36">
        <f>Tabel2425678910111213141517161819212022232614151819202122[[#This Row],[Stand Cappucino einde maand]]-Tabel2425678910111213141517161819212022232614151819202122[[#This Row],[Stand Cappucino vorige maand]]</f>
        <v>267</v>
      </c>
      <c r="W36" s="53">
        <v>753</v>
      </c>
      <c r="X36">
        <f>oktober2025!W36</f>
        <v>717</v>
      </c>
      <c r="Y36">
        <f>Tabel2425678910111213141517161819212022232614151819202122[[#This Row],[Stand Cappucino Plantaardig einde maand]]-Tabel2425678910111213141517161819212022232614151819202122[[#This Row],[Stand Cappucino Plantaardig vorige maand]]</f>
        <v>36</v>
      </c>
      <c r="Z36" s="53">
        <v>1214</v>
      </c>
      <c r="AA36">
        <f>oktober2025!Z36</f>
        <v>1159</v>
      </c>
      <c r="AB36">
        <f>Tabel2425678910111213141517161819212022232614151819202122[[#This Row],[Stand Latte Macchiato Plantaardig einde maand]]-Tabel2425678910111213141517161819212022232614151819202122[[#This Row],[Stand Latte Macchiato Plantaardig vorige maand]]</f>
        <v>55</v>
      </c>
      <c r="AC36" s="71">
        <f>Tabel2425678910111213141517161819212022232614151819202122[[#This Row],[Verbruik Stand Latte Macchiato Plantaardig deze maand]]+Tabel2425678910111213141517161819212022232614151819202122[[#This Row],[Verbruik  Cappucino Plantaardig deze maand]]+Tabel2425678910111213141517161819212022232614151819202122[[#This Row],[Verbruik Cappucino deze maand]]+Tabel2425678910111213141517161819212022232614151819202122[[#This Row],[Verbruik Hot Water deze maand]]+Tabel2425678910111213141517161819212022232614151819202122[[#This Row],[Verbruik Coffee Latte deze maand]]+Tabel2425678910111213141517161819212022232614151819202122[[#This Row],[Verbruik Latte Macchiato deze maand]]+Tabel2425678910111213141517161819212022232614151819202122[[#This Row],[Verbruik Espresso deze maand]]+Tabel2425678910111213141517161819212022232614151819202122[[#This Row],[Verbruik Coffee deze maand]]</f>
        <v>2220</v>
      </c>
      <c r="AD36" s="69"/>
      <c r="AE36" s="41"/>
      <c r="AF36" s="5"/>
      <c r="AG36" s="5"/>
      <c r="AH36" s="75"/>
      <c r="AI36" s="41"/>
      <c r="AJ36" s="5"/>
      <c r="AK36" s="5"/>
      <c r="AL36" s="75"/>
      <c r="AM36" s="41"/>
      <c r="AN36" s="5"/>
      <c r="AO36" s="5"/>
      <c r="AP36" s="75"/>
      <c r="AQ36" s="41"/>
      <c r="AR36" s="5"/>
      <c r="AS36" s="5"/>
      <c r="AT36" s="75"/>
      <c r="AU36" s="41"/>
      <c r="AV36" s="5"/>
      <c r="AW36" s="5"/>
      <c r="AX36" s="79"/>
      <c r="AY36" s="95">
        <f>Tabel2425678910111213141517161819212022232614151819202122[[#This Row],[Subtotaal waterbar in consumpties]]+Tabel2425678910111213141517161819212022232614151819202122[[#This Row],[Subtotaal koffieautomaten]]</f>
        <v>2220</v>
      </c>
    </row>
    <row r="37" spans="1:130" ht="14.45" customHeight="1" x14ac:dyDescent="0.25">
      <c r="A37" s="65" t="s">
        <v>56</v>
      </c>
      <c r="B37" t="s">
        <v>85</v>
      </c>
      <c r="C37" t="s">
        <v>36</v>
      </c>
      <c r="E37" s="46"/>
      <c r="F37" s="46"/>
      <c r="G37" s="47"/>
      <c r="H37" s="54"/>
      <c r="I37" s="46"/>
      <c r="J37" s="47"/>
      <c r="K37" s="54"/>
      <c r="L37" s="46"/>
      <c r="M37" s="47"/>
      <c r="N37" s="54"/>
      <c r="O37" s="46"/>
      <c r="P37" s="47"/>
      <c r="Q37" s="54"/>
      <c r="R37" s="46"/>
      <c r="S37" s="47"/>
      <c r="T37" s="54"/>
      <c r="U37" s="46"/>
      <c r="V37" s="47"/>
      <c r="W37" s="54"/>
      <c r="X37" s="46"/>
      <c r="Y37" s="47"/>
      <c r="Z37" s="54"/>
      <c r="AA37" s="46"/>
      <c r="AB37" s="47"/>
      <c r="AC37" s="72"/>
      <c r="AD37" s="53">
        <v>220.9</v>
      </c>
      <c r="AE37">
        <f>oktober2025!AD37</f>
        <v>209.5</v>
      </c>
      <c r="AF37">
        <f>Tabel2425678910111213141517161819212022232614151819202122[[#This Row],[Stand Kamertemp liter einde maand]]-Tabel2425678910111213141517161819212022232614151819202122[[#This Row],[Stand Kamertemp liter vorige maand]]</f>
        <v>11.400000000000006</v>
      </c>
      <c r="AG37" s="2">
        <f>Tabel2425678910111213141517161819212022232614151819202122[[#This Row],[Verbruik Kamertemp liter deze maand]]/0.15</f>
        <v>76.000000000000043</v>
      </c>
      <c r="AH37" s="53">
        <v>1059.3</v>
      </c>
      <c r="AI37">
        <f>oktober2025!AH37</f>
        <v>1024.5999999999999</v>
      </c>
      <c r="AJ37">
        <f>Tabel2425678910111213141517161819212022232614151819202122[[#This Row],[Stand Gekoeld liter einde maand]]-Tabel2425678910111213141517161819212022232614151819202122[[#This Row],[Stand Gekoeld liter vorige maand]]</f>
        <v>34.700000000000045</v>
      </c>
      <c r="AK37" s="2">
        <f>Tabel2425678910111213141517161819212022232614151819202122[[#This Row],[Verbruik Gekoeld liter deze maand]]/0.15</f>
        <v>231.33333333333366</v>
      </c>
      <c r="AL37" s="53">
        <v>894.3</v>
      </c>
      <c r="AM37">
        <f>oktober2025!AL37</f>
        <v>831.2</v>
      </c>
      <c r="AN37">
        <f>Tabel2425678910111213141517161819212022232614151819202122[[#This Row],[Stand Bruisend liter einde maand]]-Tabel2425678910111213141517161819212022232614151819202122[[#This Row],[Stand Bruisend liter vorige maand]]</f>
        <v>63.099999999999909</v>
      </c>
      <c r="AO37" s="2">
        <f>Tabel2425678910111213141517161819212022232614151819202122[[#This Row],[Verbruik Bruisend liter deze maand]]/0.15</f>
        <v>420.66666666666606</v>
      </c>
      <c r="AP37" s="53">
        <v>477.6</v>
      </c>
      <c r="AQ37">
        <f>oktober2025!AP37</f>
        <v>445.6</v>
      </c>
      <c r="AR37">
        <f>Tabel2425678910111213141517161819212022232614151819202122[[#This Row],[Stand licht bruisend liter einde maand]]-Tabel2425678910111213141517161819212022232614151819202122[[#This Row],[Stand licht bruisend liter vorige maand]]</f>
        <v>32</v>
      </c>
      <c r="AS37" s="2">
        <f>Tabel2425678910111213141517161819212022232614151819202122[[#This Row],[Verbruik licht bruisend liter deze maand]]/0.15</f>
        <v>213.33333333333334</v>
      </c>
      <c r="AT37" s="53">
        <v>3185.2</v>
      </c>
      <c r="AU37">
        <f>oktober2025!AT37</f>
        <v>2991.7</v>
      </c>
      <c r="AV37">
        <f>Tabel2425678910111213141517161819212022232614151819202122[[#This Row],[Stand heet water liter einde maand]]-Tabel2425678910111213141517161819212022232614151819202122[[#This Row],[Stand heet water liter vorige maand]]</f>
        <v>193.5</v>
      </c>
      <c r="AW37" s="2">
        <f>Tabel2425678910111213141517161819212022232614151819202122[[#This Row],[Verbruik heet Water liter deze maand ]]/0.15</f>
        <v>1290</v>
      </c>
      <c r="AX37" s="77">
        <f>Tabel2425678910111213141517161819212022232614151819202122[[#This Row],[Aantal consumpties heet water deze maand]]+Tabel2425678910111213141517161819212022232614151819202122[[#This Row],[Aantal consumpties licht bruisend water deze maand]]+Tabel2425678910111213141517161819212022232614151819202122[[#This Row],[aantal consumpties Bruisend water deze maand]]+Tabel2425678910111213141517161819212022232614151819202122[[#This Row],[Aantal consumpties gekoeld water deze maand]]+Tabel2425678910111213141517161819212022232614151819202122[[#This Row],[Aantal consumpties Kamertemp deze maand]]</f>
        <v>2231.333333333333</v>
      </c>
      <c r="AY37" s="95">
        <f>Tabel2425678910111213141517161819212022232614151819202122[[#This Row],[Subtotaal waterbar in consumpties]]+Tabel2425678910111213141517161819212022232614151819202122[[#This Row],[Subtotaal koffieautomaten]]</f>
        <v>2231.333333333333</v>
      </c>
    </row>
    <row r="38" spans="1:130" ht="14.45" customHeight="1" x14ac:dyDescent="0.25">
      <c r="A38" s="65" t="s">
        <v>58</v>
      </c>
      <c r="B38" t="s">
        <v>86</v>
      </c>
      <c r="C38" t="s">
        <v>47</v>
      </c>
      <c r="E38">
        <v>15159</v>
      </c>
      <c r="F38">
        <f>oktober2025!E38</f>
        <v>14661</v>
      </c>
      <c r="G38">
        <f>Tabel2425678910111213141517161819212022232614151819202122[[#This Row],[Stand Coffee einde maand]]-Tabel2425678910111213141517161819212022232614151819202122[[#This Row],[Coffee vorige maand]]</f>
        <v>498</v>
      </c>
      <c r="H38" s="53">
        <v>4408</v>
      </c>
      <c r="I38">
        <f>oktober2025!H38</f>
        <v>4236</v>
      </c>
      <c r="J38">
        <f>Tabel2425678910111213141517161819212022232614151819202122[[#This Row],[Stand Espresso Einde maand]]-Tabel2425678910111213141517161819212022232614151819202122[[#This Row],[Espresso vorige maand]]</f>
        <v>172</v>
      </c>
      <c r="K38" s="53">
        <v>2666</v>
      </c>
      <c r="L38">
        <f>oktober2025!K38</f>
        <v>2562</v>
      </c>
      <c r="M38">
        <f>Tabel2425678910111213141517161819212022232614151819202122[[#This Row],[Stand Latte Macchiato einde maand]]-Tabel2425678910111213141517161819212022232614151819202122[[#This Row],[Latte Macchiato vorige maand]]</f>
        <v>104</v>
      </c>
      <c r="N38" s="53">
        <v>1225</v>
      </c>
      <c r="O38">
        <f>oktober2025!N38</f>
        <v>1193</v>
      </c>
      <c r="P38">
        <f>Tabel2425678910111213141517161819212022232614151819202122[[#This Row],[Stand Coffee Latte einde maand]]-Tabel2425678910111213141517161819212022232614151819202122[[#This Row],[Coffee Latte vorige maand]]</f>
        <v>32</v>
      </c>
      <c r="Q38" s="53">
        <v>1947</v>
      </c>
      <c r="R38">
        <f>oktober2025!Q38</f>
        <v>1811</v>
      </c>
      <c r="S38">
        <f>Tabel2425678910111213141517161819212022232614151819202122[[#This Row],[Stand Hot Water einde maand]]-Tabel2425678910111213141517161819212022232614151819202122[[#This Row],[Hot Water vorige maand]]</f>
        <v>136</v>
      </c>
      <c r="T38" s="53">
        <v>7527</v>
      </c>
      <c r="U38">
        <f>oktober2025!T38</f>
        <v>7343</v>
      </c>
      <c r="V38">
        <f>Tabel2425678910111213141517161819212022232614151819202122[[#This Row],[Stand Cappucino einde maand]]-Tabel2425678910111213141517161819212022232614151819202122[[#This Row],[Stand Cappucino vorige maand]]</f>
        <v>184</v>
      </c>
      <c r="W38" s="53">
        <v>1127</v>
      </c>
      <c r="X38">
        <f>oktober2025!W38</f>
        <v>1113</v>
      </c>
      <c r="Y38">
        <f>Tabel2425678910111213141517161819212022232614151819202122[[#This Row],[Stand Cappucino Plantaardig einde maand]]-Tabel2425678910111213141517161819212022232614151819202122[[#This Row],[Stand Cappucino Plantaardig vorige maand]]</f>
        <v>14</v>
      </c>
      <c r="Z38" s="53">
        <v>870</v>
      </c>
      <c r="AA38">
        <f>oktober2025!Z38</f>
        <v>850</v>
      </c>
      <c r="AB38">
        <f>Tabel2425678910111213141517161819212022232614151819202122[[#This Row],[Stand Latte Macchiato Plantaardig einde maand]]-Tabel2425678910111213141517161819212022232614151819202122[[#This Row],[Stand Latte Macchiato Plantaardig vorige maand]]</f>
        <v>20</v>
      </c>
      <c r="AC38" s="71">
        <f>Tabel2425678910111213141517161819212022232614151819202122[[#This Row],[Verbruik Stand Latte Macchiato Plantaardig deze maand]]+Tabel2425678910111213141517161819212022232614151819202122[[#This Row],[Verbruik  Cappucino Plantaardig deze maand]]+Tabel2425678910111213141517161819212022232614151819202122[[#This Row],[Verbruik Cappucino deze maand]]+Tabel2425678910111213141517161819212022232614151819202122[[#This Row],[Verbruik Hot Water deze maand]]+Tabel2425678910111213141517161819212022232614151819202122[[#This Row],[Verbruik Coffee Latte deze maand]]+Tabel2425678910111213141517161819212022232614151819202122[[#This Row],[Verbruik Latte Macchiato deze maand]]+Tabel2425678910111213141517161819212022232614151819202122[[#This Row],[Verbruik Espresso deze maand]]+Tabel2425678910111213141517161819212022232614151819202122[[#This Row],[Verbruik Coffee deze maand]]</f>
        <v>1160</v>
      </c>
      <c r="AD38" s="53">
        <v>198.3</v>
      </c>
      <c r="AE38">
        <f>oktober2025!AD38</f>
        <v>180.4</v>
      </c>
      <c r="AF38">
        <f>Tabel2425678910111213141517161819212022232614151819202122[[#This Row],[Stand Kamertemp liter einde maand]]-Tabel2425678910111213141517161819212022232614151819202122[[#This Row],[Stand Kamertemp liter vorige maand]]</f>
        <v>17.900000000000006</v>
      </c>
      <c r="AG38" s="2">
        <f>Tabel2425678910111213141517161819212022232614151819202122[[#This Row],[Verbruik Kamertemp liter deze maand]]/0.15</f>
        <v>119.33333333333337</v>
      </c>
      <c r="AH38" s="53">
        <v>945.2</v>
      </c>
      <c r="AI38">
        <f>oktober2025!AH38</f>
        <v>886.8</v>
      </c>
      <c r="AJ38">
        <f>Tabel2425678910111213141517161819212022232614151819202122[[#This Row],[Stand Gekoeld liter einde maand]]-Tabel2425678910111213141517161819212022232614151819202122[[#This Row],[Stand Gekoeld liter vorige maand]]</f>
        <v>58.400000000000091</v>
      </c>
      <c r="AK38" s="2">
        <f>Tabel2425678910111213141517161819212022232614151819202122[[#This Row],[Verbruik Gekoeld liter deze maand]]/0.15</f>
        <v>389.33333333333394</v>
      </c>
      <c r="AL38" s="53">
        <v>823</v>
      </c>
      <c r="AM38">
        <f>oktober2025!AL38</f>
        <v>762.8</v>
      </c>
      <c r="AN38">
        <f>Tabel2425678910111213141517161819212022232614151819202122[[#This Row],[Stand Bruisend liter einde maand]]-Tabel2425678910111213141517161819212022232614151819202122[[#This Row],[Stand Bruisend liter vorige maand]]</f>
        <v>60.200000000000045</v>
      </c>
      <c r="AO38" s="2">
        <f>Tabel2425678910111213141517161819212022232614151819202122[[#This Row],[Verbruik Bruisend liter deze maand]]/0.15</f>
        <v>401.33333333333366</v>
      </c>
      <c r="AP38" s="53">
        <v>243.6</v>
      </c>
      <c r="AQ38">
        <f>oktober2025!AP38</f>
        <v>201</v>
      </c>
      <c r="AR38">
        <f>Tabel2425678910111213141517161819212022232614151819202122[[#This Row],[Stand licht bruisend liter einde maand]]-Tabel2425678910111213141517161819212022232614151819202122[[#This Row],[Stand licht bruisend liter vorige maand]]</f>
        <v>42.599999999999994</v>
      </c>
      <c r="AS38" s="2">
        <f>Tabel2425678910111213141517161819212022232614151819202122[[#This Row],[Verbruik licht bruisend liter deze maand]]/0.15</f>
        <v>284</v>
      </c>
      <c r="AT38" s="53">
        <v>2918.8</v>
      </c>
      <c r="AU38">
        <f>oktober2025!AT38</f>
        <v>2693.8</v>
      </c>
      <c r="AV38">
        <f>Tabel2425678910111213141517161819212022232614151819202122[[#This Row],[Stand heet water liter einde maand]]-Tabel2425678910111213141517161819212022232614151819202122[[#This Row],[Stand heet water liter vorige maand]]</f>
        <v>225</v>
      </c>
      <c r="AW38" s="2">
        <f>Tabel2425678910111213141517161819212022232614151819202122[[#This Row],[Verbruik heet Water liter deze maand ]]/0.15</f>
        <v>1500</v>
      </c>
      <c r="AX38" s="77">
        <f>Tabel2425678910111213141517161819212022232614151819202122[[#This Row],[Aantal consumpties heet water deze maand]]+Tabel2425678910111213141517161819212022232614151819202122[[#This Row],[Aantal consumpties licht bruisend water deze maand]]+Tabel2425678910111213141517161819212022232614151819202122[[#This Row],[aantal consumpties Bruisend water deze maand]]+Tabel2425678910111213141517161819212022232614151819202122[[#This Row],[Aantal consumpties gekoeld water deze maand]]+Tabel2425678910111213141517161819212022232614151819202122[[#This Row],[Aantal consumpties Kamertemp deze maand]]</f>
        <v>2694.0000000000009</v>
      </c>
      <c r="AY38" s="95">
        <f>Tabel2425678910111213141517161819212022232614151819202122[[#This Row],[Subtotaal waterbar in consumpties]]+Tabel2425678910111213141517161819212022232614151819202122[[#This Row],[Subtotaal koffieautomaten]]</f>
        <v>3854.0000000000009</v>
      </c>
    </row>
    <row r="39" spans="1:130" ht="14.45" customHeight="1" x14ac:dyDescent="0.25">
      <c r="A39" s="65" t="s">
        <v>60</v>
      </c>
      <c r="B39" t="s">
        <v>87</v>
      </c>
      <c r="C39" t="s">
        <v>31</v>
      </c>
      <c r="E39">
        <v>8457</v>
      </c>
      <c r="F39">
        <f>oktober2025!E39</f>
        <v>8258</v>
      </c>
      <c r="G39">
        <f>Tabel2425678910111213141517161819212022232614151819202122[[#This Row],[Stand Coffee einde maand]]-Tabel2425678910111213141517161819212022232614151819202122[[#This Row],[Coffee vorige maand]]</f>
        <v>199</v>
      </c>
      <c r="H39" s="53">
        <v>1169</v>
      </c>
      <c r="I39">
        <f>oktober2025!H39</f>
        <v>1155</v>
      </c>
      <c r="J39">
        <f>Tabel2425678910111213141517161819212022232614151819202122[[#This Row],[Stand Espresso Einde maand]]-Tabel2425678910111213141517161819212022232614151819202122[[#This Row],[Espresso vorige maand]]</f>
        <v>14</v>
      </c>
      <c r="K39" s="53">
        <v>765</v>
      </c>
      <c r="L39">
        <f>oktober2025!K39</f>
        <v>757</v>
      </c>
      <c r="M39">
        <f>Tabel2425678910111213141517161819212022232614151819202122[[#This Row],[Stand Latte Macchiato einde maand]]-Tabel2425678910111213141517161819212022232614151819202122[[#This Row],[Latte Macchiato vorige maand]]</f>
        <v>8</v>
      </c>
      <c r="N39" s="53">
        <v>956</v>
      </c>
      <c r="O39">
        <f>oktober2025!N39</f>
        <v>942</v>
      </c>
      <c r="P39">
        <f>Tabel2425678910111213141517161819212022232614151819202122[[#This Row],[Stand Coffee Latte einde maand]]-Tabel2425678910111213141517161819212022232614151819202122[[#This Row],[Coffee Latte vorige maand]]</f>
        <v>14</v>
      </c>
      <c r="Q39" s="53">
        <v>22231</v>
      </c>
      <c r="R39">
        <f>oktober2025!Q39</f>
        <v>21540</v>
      </c>
      <c r="S39">
        <f>Tabel2425678910111213141517161819212022232614151819202122[[#This Row],[Stand Hot Water einde maand]]-Tabel2425678910111213141517161819212022232614151819202122[[#This Row],[Hot Water vorige maand]]</f>
        <v>691</v>
      </c>
      <c r="T39" s="53">
        <v>5124</v>
      </c>
      <c r="U39">
        <f>oktober2025!T39</f>
        <v>5013</v>
      </c>
      <c r="V39">
        <f>Tabel2425678910111213141517161819212022232614151819202122[[#This Row],[Stand Cappucino einde maand]]-Tabel2425678910111213141517161819212022232614151819202122[[#This Row],[Stand Cappucino vorige maand]]</f>
        <v>111</v>
      </c>
      <c r="W39" s="53">
        <v>415</v>
      </c>
      <c r="X39">
        <f>oktober2025!W39</f>
        <v>403</v>
      </c>
      <c r="Y39">
        <f>Tabel2425678910111213141517161819212022232614151819202122[[#This Row],[Stand Cappucino Plantaardig einde maand]]-Tabel2425678910111213141517161819212022232614151819202122[[#This Row],[Stand Cappucino Plantaardig vorige maand]]</f>
        <v>12</v>
      </c>
      <c r="Z39" s="53">
        <v>257</v>
      </c>
      <c r="AA39">
        <f>oktober2025!Z39</f>
        <v>255</v>
      </c>
      <c r="AB39">
        <f>Tabel2425678910111213141517161819212022232614151819202122[[#This Row],[Stand Latte Macchiato Plantaardig einde maand]]-Tabel2425678910111213141517161819212022232614151819202122[[#This Row],[Stand Latte Macchiato Plantaardig vorige maand]]</f>
        <v>2</v>
      </c>
      <c r="AC39" s="71">
        <f>Tabel2425678910111213141517161819212022232614151819202122[[#This Row],[Verbruik Stand Latte Macchiato Plantaardig deze maand]]+Tabel2425678910111213141517161819212022232614151819202122[[#This Row],[Verbruik  Cappucino Plantaardig deze maand]]+Tabel2425678910111213141517161819212022232614151819202122[[#This Row],[Verbruik Cappucino deze maand]]+Tabel2425678910111213141517161819212022232614151819202122[[#This Row],[Verbruik Hot Water deze maand]]+Tabel2425678910111213141517161819212022232614151819202122[[#This Row],[Verbruik Coffee Latte deze maand]]+Tabel2425678910111213141517161819212022232614151819202122[[#This Row],[Verbruik Latte Macchiato deze maand]]+Tabel2425678910111213141517161819212022232614151819202122[[#This Row],[Verbruik Espresso deze maand]]+Tabel2425678910111213141517161819212022232614151819202122[[#This Row],[Verbruik Coffee deze maand]]</f>
        <v>1051</v>
      </c>
      <c r="AD39" s="69"/>
      <c r="AE39" s="41"/>
      <c r="AF39" s="5"/>
      <c r="AG39" s="5"/>
      <c r="AH39" s="75"/>
      <c r="AI39" s="41"/>
      <c r="AJ39" s="5"/>
      <c r="AK39" s="5"/>
      <c r="AL39" s="75"/>
      <c r="AM39" s="41"/>
      <c r="AN39" s="5"/>
      <c r="AO39" s="5"/>
      <c r="AP39" s="75"/>
      <c r="AQ39" s="41"/>
      <c r="AR39" s="5"/>
      <c r="AS39" s="5"/>
      <c r="AT39" s="75"/>
      <c r="AU39" s="41"/>
      <c r="AV39" s="5"/>
      <c r="AW39" s="5"/>
      <c r="AX39" s="79"/>
      <c r="AY39" s="95">
        <f>Tabel2425678910111213141517161819212022232614151819202122[[#This Row],[Subtotaal waterbar in consumpties]]+Tabel2425678910111213141517161819212022232614151819202122[[#This Row],[Subtotaal koffieautomaten]]</f>
        <v>1051</v>
      </c>
    </row>
    <row r="40" spans="1:130" s="81" customFormat="1" ht="14.45" customHeight="1" x14ac:dyDescent="0.25">
      <c r="A40" s="80" t="s">
        <v>88</v>
      </c>
      <c r="D40" s="82"/>
      <c r="H40" s="86"/>
      <c r="K40" s="86"/>
      <c r="N40" s="86"/>
      <c r="Q40" s="86"/>
      <c r="T40" s="86"/>
      <c r="W40" s="86"/>
      <c r="Z40" s="86"/>
      <c r="AC40" s="85"/>
      <c r="AD40" s="86"/>
      <c r="AG40" s="87"/>
      <c r="AH40" s="86"/>
      <c r="AK40" s="87"/>
      <c r="AL40" s="86"/>
      <c r="AO40" s="87"/>
      <c r="AP40" s="86"/>
      <c r="AS40" s="87"/>
      <c r="AT40" s="86"/>
      <c r="AW40" s="87"/>
      <c r="AX40" s="88"/>
      <c r="AY40" s="94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</row>
    <row r="41" spans="1:130" ht="14.45" customHeight="1" x14ac:dyDescent="0.25">
      <c r="A41" s="65" t="s">
        <v>39</v>
      </c>
      <c r="B41" t="s">
        <v>89</v>
      </c>
      <c r="C41" t="s">
        <v>47</v>
      </c>
      <c r="E41">
        <v>12742</v>
      </c>
      <c r="F41">
        <f>oktober2025!E41</f>
        <v>12157</v>
      </c>
      <c r="G41" s="40">
        <f>Tabel2425678910111213141517161819212022232614151819202122[[#This Row],[Stand Coffee einde maand]]-Tabel2425678910111213141517161819212022232614151819202122[[#This Row],[Coffee vorige maand]]</f>
        <v>585</v>
      </c>
      <c r="H41" s="53">
        <v>3386</v>
      </c>
      <c r="I41">
        <f>oktober2025!H41</f>
        <v>3138</v>
      </c>
      <c r="J41" s="40">
        <f>Tabel2425678910111213141517161819212022232614151819202122[[#This Row],[Stand Espresso Einde maand]]-Tabel2425678910111213141517161819212022232614151819202122[[#This Row],[Espresso vorige maand]]</f>
        <v>248</v>
      </c>
      <c r="K41" s="53">
        <v>1754</v>
      </c>
      <c r="L41">
        <f>oktober2025!K41</f>
        <v>1655</v>
      </c>
      <c r="M41" s="40">
        <f>Tabel2425678910111213141517161819212022232614151819202122[[#This Row],[Stand Latte Macchiato einde maand]]-Tabel2425678910111213141517161819212022232614151819202122[[#This Row],[Latte Macchiato vorige maand]]</f>
        <v>99</v>
      </c>
      <c r="N41" s="53">
        <v>772</v>
      </c>
      <c r="O41">
        <f>oktober2025!N41</f>
        <v>751</v>
      </c>
      <c r="P41" s="40">
        <f>Tabel2425678910111213141517161819212022232614151819202122[[#This Row],[Stand Coffee Latte einde maand]]-Tabel2425678910111213141517161819212022232614151819202122[[#This Row],[Coffee Latte vorige maand]]</f>
        <v>21</v>
      </c>
      <c r="Q41" s="53">
        <v>5053</v>
      </c>
      <c r="R41">
        <f>oktober2025!Q41</f>
        <v>4890</v>
      </c>
      <c r="S41" s="40">
        <f>Tabel2425678910111213141517161819212022232614151819202122[[#This Row],[Stand Hot Water einde maand]]-Tabel2425678910111213141517161819212022232614151819202122[[#This Row],[Hot Water vorige maand]]</f>
        <v>163</v>
      </c>
      <c r="T41" s="53">
        <v>8725</v>
      </c>
      <c r="U41">
        <f>oktober2025!T41</f>
        <v>8452</v>
      </c>
      <c r="V41" s="40">
        <f>Tabel2425678910111213141517161819212022232614151819202122[[#This Row],[Stand Cappucino einde maand]]-Tabel2425678910111213141517161819212022232614151819202122[[#This Row],[Stand Cappucino vorige maand]]</f>
        <v>273</v>
      </c>
      <c r="W41" s="53">
        <v>809</v>
      </c>
      <c r="X41">
        <f>oktober2025!W41</f>
        <v>757</v>
      </c>
      <c r="Y41" s="40">
        <f>Tabel2425678910111213141517161819212022232614151819202122[[#This Row],[Stand Cappucino Plantaardig einde maand]]-Tabel2425678910111213141517161819212022232614151819202122[[#This Row],[Stand Cappucino Plantaardig vorige maand]]</f>
        <v>52</v>
      </c>
      <c r="Z41" s="53">
        <v>255</v>
      </c>
      <c r="AA41">
        <f>oktober2025!Z41</f>
        <v>241</v>
      </c>
      <c r="AB41" s="40">
        <f>Tabel2425678910111213141517161819212022232614151819202122[[#This Row],[Stand Latte Macchiato Plantaardig einde maand]]-Tabel2425678910111213141517161819212022232614151819202122[[#This Row],[Stand Latte Macchiato Plantaardig vorige maand]]</f>
        <v>14</v>
      </c>
      <c r="AC41" s="73">
        <f>Tabel2425678910111213141517161819212022232614151819202122[[#This Row],[Verbruik Stand Latte Macchiato Plantaardig deze maand]]+Tabel2425678910111213141517161819212022232614151819202122[[#This Row],[Verbruik  Cappucino Plantaardig deze maand]]+Tabel2425678910111213141517161819212022232614151819202122[[#This Row],[Verbruik Cappucino deze maand]]+Tabel2425678910111213141517161819212022232614151819202122[[#This Row],[Verbruik Hot Water deze maand]]+Tabel2425678910111213141517161819212022232614151819202122[[#This Row],[Verbruik Coffee Latte deze maand]]+Tabel2425678910111213141517161819212022232614151819202122[[#This Row],[Verbruik Latte Macchiato deze maand]]+Tabel2425678910111213141517161819212022232614151819202122[[#This Row],[Verbruik Espresso deze maand]]+Tabel2425678910111213141517161819212022232614151819202122[[#This Row],[Verbruik Coffee deze maand]]</f>
        <v>1455</v>
      </c>
      <c r="AD41" s="53">
        <v>274.8</v>
      </c>
      <c r="AE41">
        <f>oktober2025!AD41</f>
        <v>259.8</v>
      </c>
      <c r="AF41">
        <f>Tabel2425678910111213141517161819212022232614151819202122[[#This Row],[Stand Kamertemp liter einde maand]]-Tabel2425678910111213141517161819212022232614151819202122[[#This Row],[Stand Kamertemp liter vorige maand]]</f>
        <v>15</v>
      </c>
      <c r="AG41" s="2">
        <f>Tabel2425678910111213141517161819212022232614151819202122[[#This Row],[Verbruik Kamertemp liter deze maand]]/0.15</f>
        <v>100</v>
      </c>
      <c r="AH41" s="53">
        <v>2091.3000000000002</v>
      </c>
      <c r="AI41">
        <f>oktober2025!AH41</f>
        <v>1946.1</v>
      </c>
      <c r="AJ41">
        <f>Tabel2425678910111213141517161819212022232614151819202122[[#This Row],[Stand Gekoeld liter einde maand]]-Tabel2425678910111213141517161819212022232614151819202122[[#This Row],[Stand Gekoeld liter vorige maand]]</f>
        <v>145.20000000000027</v>
      </c>
      <c r="AK41" s="2">
        <f>Tabel2425678910111213141517161819212022232614151819202122[[#This Row],[Verbruik Gekoeld liter deze maand]]/0.15</f>
        <v>968.00000000000182</v>
      </c>
      <c r="AL41" s="53">
        <v>865.5</v>
      </c>
      <c r="AM41">
        <f>oktober2025!AL41</f>
        <v>825.6</v>
      </c>
      <c r="AN41">
        <f>Tabel2425678910111213141517161819212022232614151819202122[[#This Row],[Stand Bruisend liter einde maand]]-Tabel2425678910111213141517161819212022232614151819202122[[#This Row],[Stand Bruisend liter vorige maand]]</f>
        <v>39.899999999999977</v>
      </c>
      <c r="AO41" s="2">
        <f>Tabel2425678910111213141517161819212022232614151819202122[[#This Row],[Verbruik Bruisend liter deze maand]]/0.15</f>
        <v>265.99999999999989</v>
      </c>
      <c r="AP41" s="53">
        <v>310.5</v>
      </c>
      <c r="AQ41">
        <f>oktober2025!AP41</f>
        <v>296.5</v>
      </c>
      <c r="AR41">
        <f>Tabel2425678910111213141517161819212022232614151819202122[[#This Row],[Stand licht bruisend liter einde maand]]-Tabel2425678910111213141517161819212022232614151819202122[[#This Row],[Stand licht bruisend liter vorige maand]]</f>
        <v>14</v>
      </c>
      <c r="AS41" s="2">
        <f>Tabel2425678910111213141517161819212022232614151819202122[[#This Row],[Verbruik licht bruisend liter deze maand]]/0.15</f>
        <v>93.333333333333343</v>
      </c>
      <c r="AT41" s="53">
        <v>918.7</v>
      </c>
      <c r="AU41">
        <f>oktober2025!AT41</f>
        <v>835.8</v>
      </c>
      <c r="AV41">
        <f>Tabel2425678910111213141517161819212022232614151819202122[[#This Row],[Stand heet water liter einde maand]]-Tabel2425678910111213141517161819212022232614151819202122[[#This Row],[Stand heet water liter vorige maand]]</f>
        <v>82.900000000000091</v>
      </c>
      <c r="AW41" s="2">
        <f>Tabel2425678910111213141517161819212022232614151819202122[[#This Row],[Verbruik heet Water liter deze maand ]]/0.15</f>
        <v>552.66666666666731</v>
      </c>
      <c r="AX41" s="77">
        <f>Tabel2425678910111213141517161819212022232614151819202122[[#This Row],[Aantal consumpties heet water deze maand]]+Tabel2425678910111213141517161819212022232614151819202122[[#This Row],[Aantal consumpties licht bruisend water deze maand]]+Tabel2425678910111213141517161819212022232614151819202122[[#This Row],[aantal consumpties Bruisend water deze maand]]+Tabel2425678910111213141517161819212022232614151819202122[[#This Row],[Aantal consumpties gekoeld water deze maand]]+Tabel2425678910111213141517161819212022232614151819202122[[#This Row],[Aantal consumpties Kamertemp deze maand]]</f>
        <v>1980.0000000000023</v>
      </c>
      <c r="AY41" s="95">
        <f>Tabel2425678910111213141517161819212022232614151819202122[[#This Row],[Subtotaal waterbar in consumpties]]+Tabel2425678910111213141517161819212022232614151819202122[[#This Row],[Subtotaal koffieautomaten]]</f>
        <v>3435.0000000000023</v>
      </c>
    </row>
    <row r="42" spans="1:130" ht="14.45" customHeight="1" x14ac:dyDescent="0.25">
      <c r="A42" s="65" t="s">
        <v>41</v>
      </c>
      <c r="B42" t="s">
        <v>90</v>
      </c>
      <c r="C42" t="s">
        <v>31</v>
      </c>
      <c r="E42">
        <v>16235</v>
      </c>
      <c r="F42">
        <f>oktober2025!E42</f>
        <v>15674</v>
      </c>
      <c r="G42">
        <f>Tabel2425678910111213141517161819212022232614151819202122[[#This Row],[Stand Coffee einde maand]]-Tabel2425678910111213141517161819212022232614151819202122[[#This Row],[Coffee vorige maand]]</f>
        <v>561</v>
      </c>
      <c r="H42" s="53">
        <v>5281</v>
      </c>
      <c r="I42">
        <f>oktober2025!H42</f>
        <v>5132</v>
      </c>
      <c r="J42">
        <f>Tabel2425678910111213141517161819212022232614151819202122[[#This Row],[Stand Espresso Einde maand]]-Tabel2425678910111213141517161819212022232614151819202122[[#This Row],[Espresso vorige maand]]</f>
        <v>149</v>
      </c>
      <c r="K42" s="53">
        <v>1336</v>
      </c>
      <c r="L42">
        <f>oktober2025!K42</f>
        <v>1302</v>
      </c>
      <c r="M42">
        <f>Tabel2425678910111213141517161819212022232614151819202122[[#This Row],[Stand Latte Macchiato einde maand]]-Tabel2425678910111213141517161819212022232614151819202122[[#This Row],[Latte Macchiato vorige maand]]</f>
        <v>34</v>
      </c>
      <c r="N42" s="53">
        <v>2873</v>
      </c>
      <c r="O42">
        <f>oktober2025!N42</f>
        <v>2735</v>
      </c>
      <c r="P42">
        <f>Tabel2425678910111213141517161819212022232614151819202122[[#This Row],[Stand Coffee Latte einde maand]]-Tabel2425678910111213141517161819212022232614151819202122[[#This Row],[Coffee Latte vorige maand]]</f>
        <v>138</v>
      </c>
      <c r="Q42" s="53">
        <v>47848</v>
      </c>
      <c r="R42">
        <f>oktober2025!Q42</f>
        <v>46587</v>
      </c>
      <c r="S42">
        <f>Tabel2425678910111213141517161819212022232614151819202122[[#This Row],[Stand Hot Water einde maand]]-Tabel2425678910111213141517161819212022232614151819202122[[#This Row],[Hot Water vorige maand]]</f>
        <v>1261</v>
      </c>
      <c r="T42" s="53">
        <v>7550</v>
      </c>
      <c r="U42">
        <f>oktober2025!T42</f>
        <v>7263</v>
      </c>
      <c r="V42">
        <f>Tabel2425678910111213141517161819212022232614151819202122[[#This Row],[Stand Cappucino einde maand]]-Tabel2425678910111213141517161819212022232614151819202122[[#This Row],[Stand Cappucino vorige maand]]</f>
        <v>287</v>
      </c>
      <c r="W42" s="53">
        <v>611</v>
      </c>
      <c r="X42">
        <f>oktober2025!W42</f>
        <v>568</v>
      </c>
      <c r="Y42">
        <f>Tabel2425678910111213141517161819212022232614151819202122[[#This Row],[Stand Cappucino Plantaardig einde maand]]-Tabel2425678910111213141517161819212022232614151819202122[[#This Row],[Stand Cappucino Plantaardig vorige maand]]</f>
        <v>43</v>
      </c>
      <c r="Z42" s="53">
        <v>608</v>
      </c>
      <c r="AA42">
        <f>oktober2025!Z42</f>
        <v>587</v>
      </c>
      <c r="AB42">
        <f>Tabel2425678910111213141517161819212022232614151819202122[[#This Row],[Stand Latte Macchiato Plantaardig einde maand]]-Tabel2425678910111213141517161819212022232614151819202122[[#This Row],[Stand Latte Macchiato Plantaardig vorige maand]]</f>
        <v>21</v>
      </c>
      <c r="AC42" s="71">
        <f>Tabel2425678910111213141517161819212022232614151819202122[[#This Row],[Verbruik Stand Latte Macchiato Plantaardig deze maand]]+Tabel2425678910111213141517161819212022232614151819202122[[#This Row],[Verbruik  Cappucino Plantaardig deze maand]]+Tabel2425678910111213141517161819212022232614151819202122[[#This Row],[Verbruik Cappucino deze maand]]+Tabel2425678910111213141517161819212022232614151819202122[[#This Row],[Verbruik Hot Water deze maand]]+Tabel2425678910111213141517161819212022232614151819202122[[#This Row],[Verbruik Coffee Latte deze maand]]+Tabel2425678910111213141517161819212022232614151819202122[[#This Row],[Verbruik Latte Macchiato deze maand]]+Tabel2425678910111213141517161819212022232614151819202122[[#This Row],[Verbruik Espresso deze maand]]+Tabel2425678910111213141517161819212022232614151819202122[[#This Row],[Verbruik Coffee deze maand]]</f>
        <v>2494</v>
      </c>
      <c r="AD42" s="69"/>
      <c r="AE42" s="41"/>
      <c r="AF42" s="5"/>
      <c r="AG42" s="5"/>
      <c r="AH42" s="75"/>
      <c r="AI42" s="41"/>
      <c r="AJ42" s="5"/>
      <c r="AK42" s="5"/>
      <c r="AL42" s="75"/>
      <c r="AM42" s="41"/>
      <c r="AN42" s="5"/>
      <c r="AO42" s="5"/>
      <c r="AP42" s="75"/>
      <c r="AQ42" s="41"/>
      <c r="AR42" s="5"/>
      <c r="AS42" s="5"/>
      <c r="AT42" s="75"/>
      <c r="AU42" s="41"/>
      <c r="AV42" s="5"/>
      <c r="AW42" s="5"/>
      <c r="AX42" s="79"/>
      <c r="AY42" s="95">
        <f>Tabel2425678910111213141517161819212022232614151819202122[[#This Row],[Subtotaal waterbar in consumpties]]+Tabel2425678910111213141517161819212022232614151819202122[[#This Row],[Subtotaal koffieautomaten]]</f>
        <v>2494</v>
      </c>
    </row>
    <row r="43" spans="1:130" ht="14.45" customHeight="1" x14ac:dyDescent="0.25">
      <c r="A43" s="65" t="s">
        <v>43</v>
      </c>
      <c r="B43" t="s">
        <v>91</v>
      </c>
      <c r="C43" t="s">
        <v>47</v>
      </c>
      <c r="E43">
        <v>18872</v>
      </c>
      <c r="F43">
        <f>oktober2025!E43</f>
        <v>18299</v>
      </c>
      <c r="G43">
        <f>Tabel2425678910111213141517161819212022232614151819202122[[#This Row],[Stand Coffee einde maand]]-Tabel2425678910111213141517161819212022232614151819202122[[#This Row],[Coffee vorige maand]]</f>
        <v>573</v>
      </c>
      <c r="H43" s="53">
        <v>4339</v>
      </c>
      <c r="I43">
        <f>oktober2025!H43</f>
        <v>4047</v>
      </c>
      <c r="J43">
        <f>Tabel2425678910111213141517161819212022232614151819202122[[#This Row],[Stand Espresso Einde maand]]-Tabel2425678910111213141517161819212022232614151819202122[[#This Row],[Espresso vorige maand]]</f>
        <v>292</v>
      </c>
      <c r="K43" s="53">
        <v>981</v>
      </c>
      <c r="L43">
        <f>oktober2025!K43</f>
        <v>953</v>
      </c>
      <c r="M43">
        <f>Tabel2425678910111213141517161819212022232614151819202122[[#This Row],[Stand Latte Macchiato einde maand]]-Tabel2425678910111213141517161819212022232614151819202122[[#This Row],[Latte Macchiato vorige maand]]</f>
        <v>28</v>
      </c>
      <c r="N43" s="53">
        <v>1442</v>
      </c>
      <c r="O43">
        <f>oktober2025!N43</f>
        <v>1403</v>
      </c>
      <c r="P43">
        <f>Tabel2425678910111213141517161819212022232614151819202122[[#This Row],[Stand Coffee Latte einde maand]]-Tabel2425678910111213141517161819212022232614151819202122[[#This Row],[Coffee Latte vorige maand]]</f>
        <v>39</v>
      </c>
      <c r="Q43" s="53">
        <v>1784</v>
      </c>
      <c r="R43">
        <f>oktober2025!Q43</f>
        <v>1759</v>
      </c>
      <c r="S43">
        <f>Tabel2425678910111213141517161819212022232614151819202122[[#This Row],[Stand Hot Water einde maand]]-Tabel2425678910111213141517161819212022232614151819202122[[#This Row],[Hot Water vorige maand]]</f>
        <v>25</v>
      </c>
      <c r="T43" s="53">
        <v>5698</v>
      </c>
      <c r="U43">
        <f>oktober2025!T43</f>
        <v>5504</v>
      </c>
      <c r="V43">
        <f>Tabel2425678910111213141517161819212022232614151819202122[[#This Row],[Stand Cappucino einde maand]]-Tabel2425678910111213141517161819212022232614151819202122[[#This Row],[Stand Cappucino vorige maand]]</f>
        <v>194</v>
      </c>
      <c r="W43" s="53">
        <v>3795</v>
      </c>
      <c r="X43">
        <f>oktober2025!W43</f>
        <v>3747</v>
      </c>
      <c r="Y43">
        <f>Tabel2425678910111213141517161819212022232614151819202122[[#This Row],[Stand Cappucino Plantaardig einde maand]]-Tabel2425678910111213141517161819212022232614151819202122[[#This Row],[Stand Cappucino Plantaardig vorige maand]]</f>
        <v>48</v>
      </c>
      <c r="Z43" s="53">
        <v>494</v>
      </c>
      <c r="AA43">
        <f>oktober2025!Z43</f>
        <v>479</v>
      </c>
      <c r="AB43">
        <f>Tabel2425678910111213141517161819212022232614151819202122[[#This Row],[Stand Latte Macchiato Plantaardig einde maand]]-Tabel2425678910111213141517161819212022232614151819202122[[#This Row],[Stand Latte Macchiato Plantaardig vorige maand]]</f>
        <v>15</v>
      </c>
      <c r="AC43" s="71">
        <f>Tabel2425678910111213141517161819212022232614151819202122[[#This Row],[Verbruik Stand Latte Macchiato Plantaardig deze maand]]+Tabel2425678910111213141517161819212022232614151819202122[[#This Row],[Verbruik  Cappucino Plantaardig deze maand]]+Tabel2425678910111213141517161819212022232614151819202122[[#This Row],[Verbruik Cappucino deze maand]]+Tabel2425678910111213141517161819212022232614151819202122[[#This Row],[Verbruik Hot Water deze maand]]+Tabel2425678910111213141517161819212022232614151819202122[[#This Row],[Verbruik Coffee Latte deze maand]]+Tabel2425678910111213141517161819212022232614151819202122[[#This Row],[Verbruik Latte Macchiato deze maand]]+Tabel2425678910111213141517161819212022232614151819202122[[#This Row],[Verbruik Espresso deze maand]]+Tabel2425678910111213141517161819212022232614151819202122[[#This Row],[Verbruik Coffee deze maand]]</f>
        <v>1214</v>
      </c>
      <c r="AD43" s="53">
        <v>358.4</v>
      </c>
      <c r="AE43">
        <f>oktober2025!AD43</f>
        <v>348.1</v>
      </c>
      <c r="AF43">
        <f>Tabel2425678910111213141517161819212022232614151819202122[[#This Row],[Stand Kamertemp liter einde maand]]-Tabel2425678910111213141517161819212022232614151819202122[[#This Row],[Stand Kamertemp liter vorige maand]]</f>
        <v>10.299999999999955</v>
      </c>
      <c r="AG43" s="2">
        <f>Tabel2425678910111213141517161819212022232614151819202122[[#This Row],[Verbruik Kamertemp liter deze maand]]/0.15</f>
        <v>68.666666666666373</v>
      </c>
      <c r="AH43" s="53">
        <v>2603.6999999999998</v>
      </c>
      <c r="AI43">
        <f>oktober2025!AH43</f>
        <v>2464.1</v>
      </c>
      <c r="AJ43">
        <f>Tabel2425678910111213141517161819212022232614151819202122[[#This Row],[Stand Gekoeld liter einde maand]]-Tabel2425678910111213141517161819212022232614151819202122[[#This Row],[Stand Gekoeld liter vorige maand]]</f>
        <v>139.59999999999991</v>
      </c>
      <c r="AK43" s="2">
        <f>Tabel2425678910111213141517161819212022232614151819202122[[#This Row],[Verbruik Gekoeld liter deze maand]]/0.15</f>
        <v>930.66666666666606</v>
      </c>
      <c r="AL43" s="53">
        <v>1810.2</v>
      </c>
      <c r="AM43">
        <f>oktober2025!AL43</f>
        <v>1710.6</v>
      </c>
      <c r="AN43">
        <f>Tabel2425678910111213141517161819212022232614151819202122[[#This Row],[Stand Bruisend liter einde maand]]-Tabel2425678910111213141517161819212022232614151819202122[[#This Row],[Stand Bruisend liter vorige maand]]</f>
        <v>99.600000000000136</v>
      </c>
      <c r="AO43" s="2">
        <f>Tabel2425678910111213141517161819212022232614151819202122[[#This Row],[Verbruik Bruisend liter deze maand]]/0.15</f>
        <v>664.00000000000091</v>
      </c>
      <c r="AP43" s="53">
        <v>682.8</v>
      </c>
      <c r="AQ43">
        <f>oktober2025!AP43</f>
        <v>643.20000000000005</v>
      </c>
      <c r="AR43">
        <f>Tabel2425678910111213141517161819212022232614151819202122[[#This Row],[Stand licht bruisend liter einde maand]]-Tabel2425678910111213141517161819212022232614151819202122[[#This Row],[Stand licht bruisend liter vorige maand]]</f>
        <v>39.599999999999909</v>
      </c>
      <c r="AS43" s="2">
        <f>Tabel2425678910111213141517161819212022232614151819202122[[#This Row],[Verbruik licht bruisend liter deze maand]]/0.15</f>
        <v>263.99999999999943</v>
      </c>
      <c r="AT43" s="53">
        <v>6856.1</v>
      </c>
      <c r="AU43">
        <f>oktober2025!AT43</f>
        <v>6346.1</v>
      </c>
      <c r="AV43">
        <f>Tabel2425678910111213141517161819212022232614151819202122[[#This Row],[Stand heet water liter einde maand]]-Tabel2425678910111213141517161819212022232614151819202122[[#This Row],[Stand heet water liter vorige maand]]</f>
        <v>510</v>
      </c>
      <c r="AW43" s="2">
        <f>Tabel2425678910111213141517161819212022232614151819202122[[#This Row],[Verbruik heet Water liter deze maand ]]/0.15</f>
        <v>3400</v>
      </c>
      <c r="AX43" s="77">
        <f>Tabel2425678910111213141517161819212022232614151819202122[[#This Row],[Aantal consumpties heet water deze maand]]+Tabel2425678910111213141517161819212022232614151819202122[[#This Row],[Aantal consumpties licht bruisend water deze maand]]+Tabel2425678910111213141517161819212022232614151819202122[[#This Row],[aantal consumpties Bruisend water deze maand]]+Tabel2425678910111213141517161819212022232614151819202122[[#This Row],[Aantal consumpties gekoeld water deze maand]]+Tabel2425678910111213141517161819212022232614151819202122[[#This Row],[Aantal consumpties Kamertemp deze maand]]</f>
        <v>5327.3333333333321</v>
      </c>
      <c r="AY43" s="95">
        <f>Tabel2425678910111213141517161819212022232614151819202122[[#This Row],[Subtotaal waterbar in consumpties]]+Tabel2425678910111213141517161819212022232614151819202122[[#This Row],[Subtotaal koffieautomaten]]</f>
        <v>6541.3333333333321</v>
      </c>
    </row>
    <row r="44" spans="1:130" ht="14.45" customHeight="1" x14ac:dyDescent="0.25">
      <c r="A44" s="65" t="s">
        <v>45</v>
      </c>
      <c r="B44" t="s">
        <v>92</v>
      </c>
      <c r="C44" t="s">
        <v>36</v>
      </c>
      <c r="E44" s="46"/>
      <c r="F44" s="46"/>
      <c r="G44" s="47"/>
      <c r="H44" s="54"/>
      <c r="I44" s="46"/>
      <c r="J44" s="47"/>
      <c r="K44" s="54"/>
      <c r="L44" s="46"/>
      <c r="M44" s="47"/>
      <c r="N44" s="54"/>
      <c r="O44" s="46"/>
      <c r="P44" s="47"/>
      <c r="Q44" s="54"/>
      <c r="R44" s="46"/>
      <c r="S44" s="47"/>
      <c r="T44" s="54"/>
      <c r="U44" s="46"/>
      <c r="V44" s="47"/>
      <c r="W44" s="54"/>
      <c r="X44" s="46"/>
      <c r="Y44" s="47"/>
      <c r="Z44" s="54"/>
      <c r="AA44" s="46"/>
      <c r="AB44" s="47"/>
      <c r="AC44" s="72"/>
      <c r="AD44" s="53">
        <v>33.799999999999997</v>
      </c>
      <c r="AE44">
        <f>oktober2025!AD44</f>
        <v>16.3</v>
      </c>
      <c r="AF44">
        <f>Tabel2425678910111213141517161819212022232614151819202122[[#This Row],[Stand Kamertemp liter einde maand]]-Tabel2425678910111213141517161819212022232614151819202122[[#This Row],[Stand Kamertemp liter vorige maand]]</f>
        <v>17.499999999999996</v>
      </c>
      <c r="AG44" s="2">
        <f>Tabel2425678910111213141517161819212022232614151819202122[[#This Row],[Verbruik Kamertemp liter deze maand]]/0.15</f>
        <v>116.66666666666664</v>
      </c>
      <c r="AH44" s="53">
        <v>114.5</v>
      </c>
      <c r="AI44">
        <f>oktober2025!AH44</f>
        <v>44.6</v>
      </c>
      <c r="AJ44">
        <f>Tabel2425678910111213141517161819212022232614151819202122[[#This Row],[Stand Gekoeld liter einde maand]]-Tabel2425678910111213141517161819212022232614151819202122[[#This Row],[Stand Gekoeld liter vorige maand]]</f>
        <v>69.900000000000006</v>
      </c>
      <c r="AK44" s="2">
        <f>Tabel2425678910111213141517161819212022232614151819202122[[#This Row],[Verbruik Gekoeld liter deze maand]]/0.15</f>
        <v>466.00000000000006</v>
      </c>
      <c r="AL44" s="53">
        <v>117</v>
      </c>
      <c r="AM44">
        <f>oktober2025!AL44</f>
        <v>49.1</v>
      </c>
      <c r="AN44">
        <f>Tabel2425678910111213141517161819212022232614151819202122[[#This Row],[Stand Bruisend liter einde maand]]-Tabel2425678910111213141517161819212022232614151819202122[[#This Row],[Stand Bruisend liter vorige maand]]</f>
        <v>67.900000000000006</v>
      </c>
      <c r="AO44" s="2">
        <f>Tabel2425678910111213141517161819212022232614151819202122[[#This Row],[Verbruik Bruisend liter deze maand]]/0.15</f>
        <v>452.66666666666674</v>
      </c>
      <c r="AP44" s="53">
        <v>43.5</v>
      </c>
      <c r="AQ44">
        <f>oktober2025!AP44</f>
        <v>25.2</v>
      </c>
      <c r="AR44">
        <f>Tabel2425678910111213141517161819212022232614151819202122[[#This Row],[Stand licht bruisend liter einde maand]]-Tabel2425678910111213141517161819212022232614151819202122[[#This Row],[Stand licht bruisend liter vorige maand]]</f>
        <v>18.3</v>
      </c>
      <c r="AS44" s="2">
        <f>Tabel2425678910111213141517161819212022232614151819202122[[#This Row],[Verbruik licht bruisend liter deze maand]]/0.15</f>
        <v>122.00000000000001</v>
      </c>
      <c r="AT44" s="53">
        <v>489</v>
      </c>
      <c r="AU44">
        <f>oktober2025!AT44</f>
        <v>179.3</v>
      </c>
      <c r="AV44">
        <f>Tabel2425678910111213141517161819212022232614151819202122[[#This Row],[Stand heet water liter einde maand]]-Tabel2425678910111213141517161819212022232614151819202122[[#This Row],[Stand heet water liter vorige maand]]</f>
        <v>309.7</v>
      </c>
      <c r="AW44" s="2">
        <f>Tabel2425678910111213141517161819212022232614151819202122[[#This Row],[Verbruik heet Water liter deze maand ]]/0.15</f>
        <v>2064.6666666666665</v>
      </c>
      <c r="AX44" s="77">
        <f>Tabel2425678910111213141517161819212022232614151819202122[[#This Row],[Aantal consumpties heet water deze maand]]+Tabel2425678910111213141517161819212022232614151819202122[[#This Row],[Aantal consumpties licht bruisend water deze maand]]+Tabel2425678910111213141517161819212022232614151819202122[[#This Row],[aantal consumpties Bruisend water deze maand]]+Tabel2425678910111213141517161819212022232614151819202122[[#This Row],[Aantal consumpties gekoeld water deze maand]]+Tabel2425678910111213141517161819212022232614151819202122[[#This Row],[Aantal consumpties Kamertemp deze maand]]</f>
        <v>3221.9999999999995</v>
      </c>
      <c r="AY44" s="95">
        <f>Tabel2425678910111213141517161819212022232614151819202122[[#This Row],[Subtotaal waterbar in consumpties]]+Tabel2425678910111213141517161819212022232614151819202122[[#This Row],[Subtotaal koffieautomaten]]</f>
        <v>3221.9999999999995</v>
      </c>
    </row>
    <row r="45" spans="1:130" ht="14.45" customHeight="1" x14ac:dyDescent="0.25">
      <c r="A45" s="65" t="s">
        <v>48</v>
      </c>
      <c r="B45" t="s">
        <v>158</v>
      </c>
      <c r="C45" t="s">
        <v>31</v>
      </c>
      <c r="E45">
        <v>32729</v>
      </c>
      <c r="F45">
        <f>oktober2025!E45</f>
        <v>31658</v>
      </c>
      <c r="G45">
        <f>Tabel2425678910111213141517161819212022232614151819202122[[#This Row],[Stand Coffee einde maand]]-Tabel2425678910111213141517161819212022232614151819202122[[#This Row],[Coffee vorige maand]]</f>
        <v>1071</v>
      </c>
      <c r="H45" s="53">
        <v>8355</v>
      </c>
      <c r="I45">
        <f>oktober2025!H45</f>
        <v>8104</v>
      </c>
      <c r="J45">
        <f>Tabel2425678910111213141517161819212022232614151819202122[[#This Row],[Stand Espresso Einde maand]]-Tabel2425678910111213141517161819212022232614151819202122[[#This Row],[Espresso vorige maand]]</f>
        <v>251</v>
      </c>
      <c r="K45" s="53">
        <v>3345</v>
      </c>
      <c r="L45">
        <f>oktober2025!K45</f>
        <v>3230</v>
      </c>
      <c r="M45">
        <f>Tabel2425678910111213141517161819212022232614151819202122[[#This Row],[Stand Latte Macchiato einde maand]]-Tabel2425678910111213141517161819212022232614151819202122[[#This Row],[Latte Macchiato vorige maand]]</f>
        <v>115</v>
      </c>
      <c r="N45" s="53">
        <v>759</v>
      </c>
      <c r="O45">
        <f>oktober2025!N45</f>
        <v>711</v>
      </c>
      <c r="P45">
        <f>Tabel2425678910111213141517161819212022232614151819202122[[#This Row],[Stand Coffee Latte einde maand]]-Tabel2425678910111213141517161819212022232614151819202122[[#This Row],[Coffee Latte vorige maand]]</f>
        <v>48</v>
      </c>
      <c r="Q45" s="53">
        <v>31538</v>
      </c>
      <c r="R45">
        <f>oktober2025!Q45</f>
        <v>30379</v>
      </c>
      <c r="S45">
        <f>Tabel2425678910111213141517161819212022232614151819202122[[#This Row],[Stand Hot Water einde maand]]-Tabel2425678910111213141517161819212022232614151819202122[[#This Row],[Hot Water vorige maand]]</f>
        <v>1159</v>
      </c>
      <c r="T45" s="53">
        <v>11497</v>
      </c>
      <c r="U45">
        <f>oktober2025!T45</f>
        <v>11227</v>
      </c>
      <c r="V45">
        <f>Tabel2425678910111213141517161819212022232614151819202122[[#This Row],[Stand Cappucino einde maand]]-Tabel2425678910111213141517161819212022232614151819202122[[#This Row],[Stand Cappucino vorige maand]]</f>
        <v>270</v>
      </c>
      <c r="W45" s="53">
        <v>1738</v>
      </c>
      <c r="X45">
        <f>oktober2025!W45</f>
        <v>1719</v>
      </c>
      <c r="Y45">
        <f>Tabel2425678910111213141517161819212022232614151819202122[[#This Row],[Stand Cappucino Plantaardig einde maand]]-Tabel2425678910111213141517161819212022232614151819202122[[#This Row],[Stand Cappucino Plantaardig vorige maand]]</f>
        <v>19</v>
      </c>
      <c r="Z45" s="53">
        <v>1414</v>
      </c>
      <c r="AA45">
        <f>oktober2025!Z45</f>
        <v>1380</v>
      </c>
      <c r="AB45">
        <f>Tabel2425678910111213141517161819212022232614151819202122[[#This Row],[Stand Latte Macchiato Plantaardig einde maand]]-Tabel2425678910111213141517161819212022232614151819202122[[#This Row],[Stand Latte Macchiato Plantaardig vorige maand]]</f>
        <v>34</v>
      </c>
      <c r="AC45" s="71">
        <f>Tabel2425678910111213141517161819212022232614151819202122[[#This Row],[Verbruik Stand Latte Macchiato Plantaardig deze maand]]+Tabel2425678910111213141517161819212022232614151819202122[[#This Row],[Verbruik  Cappucino Plantaardig deze maand]]+Tabel2425678910111213141517161819212022232614151819202122[[#This Row],[Verbruik Cappucino deze maand]]+Tabel2425678910111213141517161819212022232614151819202122[[#This Row],[Verbruik Hot Water deze maand]]+Tabel2425678910111213141517161819212022232614151819202122[[#This Row],[Verbruik Coffee Latte deze maand]]+Tabel2425678910111213141517161819212022232614151819202122[[#This Row],[Verbruik Latte Macchiato deze maand]]+Tabel2425678910111213141517161819212022232614151819202122[[#This Row],[Verbruik Espresso deze maand]]+Tabel2425678910111213141517161819212022232614151819202122[[#This Row],[Verbruik Coffee deze maand]]</f>
        <v>2967</v>
      </c>
      <c r="AD45" s="69"/>
      <c r="AE45" s="41"/>
      <c r="AF45" s="5"/>
      <c r="AG45" s="5"/>
      <c r="AH45" s="75"/>
      <c r="AI45" s="41"/>
      <c r="AJ45" s="5"/>
      <c r="AK45" s="5"/>
      <c r="AL45" s="75"/>
      <c r="AM45" s="41"/>
      <c r="AN45" s="5"/>
      <c r="AO45" s="5"/>
      <c r="AP45" s="75"/>
      <c r="AQ45" s="41"/>
      <c r="AR45" s="5"/>
      <c r="AS45" s="5"/>
      <c r="AT45" s="75"/>
      <c r="AU45" s="41"/>
      <c r="AV45" s="5"/>
      <c r="AW45" s="5"/>
      <c r="AX45" s="79"/>
      <c r="AY45" s="95">
        <f>Tabel2425678910111213141517161819212022232614151819202122[[#This Row],[Subtotaal waterbar in consumpties]]+Tabel2425678910111213141517161819212022232614151819202122[[#This Row],[Subtotaal koffieautomaten]]</f>
        <v>2967</v>
      </c>
    </row>
    <row r="46" spans="1:130" ht="14.45" customHeight="1" x14ac:dyDescent="0.25">
      <c r="A46" s="65" t="s">
        <v>50</v>
      </c>
      <c r="B46" t="s">
        <v>93</v>
      </c>
      <c r="C46" t="s">
        <v>36</v>
      </c>
      <c r="E46" s="46"/>
      <c r="F46" s="46"/>
      <c r="G46" s="47"/>
      <c r="H46" s="54"/>
      <c r="I46" s="46"/>
      <c r="J46" s="47"/>
      <c r="K46" s="54"/>
      <c r="L46" s="46"/>
      <c r="M46" s="47"/>
      <c r="N46" s="54"/>
      <c r="O46" s="46"/>
      <c r="P46" s="47"/>
      <c r="Q46" s="54"/>
      <c r="R46" s="46"/>
      <c r="S46" s="47"/>
      <c r="T46" s="54"/>
      <c r="U46" s="46"/>
      <c r="V46" s="47"/>
      <c r="W46" s="54"/>
      <c r="X46" s="46"/>
      <c r="Y46" s="47"/>
      <c r="Z46" s="54"/>
      <c r="AA46" s="46"/>
      <c r="AB46" s="47"/>
      <c r="AC46" s="72"/>
      <c r="AD46" s="53">
        <v>141.6</v>
      </c>
      <c r="AE46">
        <f>oktober2025!AD46</f>
        <v>131.9</v>
      </c>
      <c r="AF46">
        <f>Tabel2425678910111213141517161819212022232614151819202122[[#This Row],[Stand Kamertemp liter einde maand]]-Tabel2425678910111213141517161819212022232614151819202122[[#This Row],[Stand Kamertemp liter vorige maand]]</f>
        <v>9.6999999999999886</v>
      </c>
      <c r="AG46" s="2">
        <f>Tabel2425678910111213141517161819212022232614151819202122[[#This Row],[Verbruik Kamertemp liter deze maand]]/0.15</f>
        <v>64.6666666666666</v>
      </c>
      <c r="AH46" s="53">
        <v>1191.0999999999999</v>
      </c>
      <c r="AI46">
        <f>oktober2025!AH46</f>
        <v>1091.4000000000001</v>
      </c>
      <c r="AJ46">
        <f>Tabel2425678910111213141517161819212022232614151819202122[[#This Row],[Stand Gekoeld liter einde maand]]-Tabel2425678910111213141517161819212022232614151819202122[[#This Row],[Stand Gekoeld liter vorige maand]]</f>
        <v>99.699999999999818</v>
      </c>
      <c r="AK46" s="2">
        <f>Tabel2425678910111213141517161819212022232614151819202122[[#This Row],[Verbruik Gekoeld liter deze maand]]/0.15</f>
        <v>664.66666666666549</v>
      </c>
      <c r="AL46" s="53">
        <v>549.4</v>
      </c>
      <c r="AM46">
        <f>oktober2025!AL46</f>
        <v>503.8</v>
      </c>
      <c r="AN46">
        <f>Tabel2425678910111213141517161819212022232614151819202122[[#This Row],[Stand Bruisend liter einde maand]]-Tabel2425678910111213141517161819212022232614151819202122[[#This Row],[Stand Bruisend liter vorige maand]]</f>
        <v>45.599999999999966</v>
      </c>
      <c r="AO46" s="2">
        <f>Tabel2425678910111213141517161819212022232614151819202122[[#This Row],[Verbruik Bruisend liter deze maand]]/0.15</f>
        <v>303.99999999999977</v>
      </c>
      <c r="AP46" s="53">
        <v>194.3</v>
      </c>
      <c r="AQ46">
        <f>oktober2025!AP46</f>
        <v>186.1</v>
      </c>
      <c r="AR46">
        <f>Tabel2425678910111213141517161819212022232614151819202122[[#This Row],[Stand licht bruisend liter einde maand]]-Tabel2425678910111213141517161819212022232614151819202122[[#This Row],[Stand licht bruisend liter vorige maand]]</f>
        <v>8.2000000000000171</v>
      </c>
      <c r="AS46" s="2">
        <f>Tabel2425678910111213141517161819212022232614151819202122[[#This Row],[Verbruik licht bruisend liter deze maand]]/0.15</f>
        <v>54.666666666666785</v>
      </c>
      <c r="AT46" s="53">
        <v>1958.8</v>
      </c>
      <c r="AU46">
        <f>oktober2025!AT46</f>
        <v>1825.5</v>
      </c>
      <c r="AV46">
        <f>Tabel2425678910111213141517161819212022232614151819202122[[#This Row],[Stand heet water liter einde maand]]-Tabel2425678910111213141517161819212022232614151819202122[[#This Row],[Stand heet water liter vorige maand]]</f>
        <v>133.29999999999995</v>
      </c>
      <c r="AW46" s="2">
        <f>Tabel2425678910111213141517161819212022232614151819202122[[#This Row],[Verbruik heet Water liter deze maand ]]/0.15</f>
        <v>888.6666666666664</v>
      </c>
      <c r="AX46" s="77">
        <f>Tabel2425678910111213141517161819212022232614151819202122[[#This Row],[Aantal consumpties heet water deze maand]]+Tabel2425678910111213141517161819212022232614151819202122[[#This Row],[Aantal consumpties licht bruisend water deze maand]]+Tabel2425678910111213141517161819212022232614151819202122[[#This Row],[aantal consumpties Bruisend water deze maand]]+Tabel2425678910111213141517161819212022232614151819202122[[#This Row],[Aantal consumpties gekoeld water deze maand]]+Tabel2425678910111213141517161819212022232614151819202122[[#This Row],[Aantal consumpties Kamertemp deze maand]]</f>
        <v>1976.6666666666652</v>
      </c>
      <c r="AY46" s="95">
        <f>Tabel2425678910111213141517161819212022232614151819202122[[#This Row],[Subtotaal waterbar in consumpties]]+Tabel2425678910111213141517161819212022232614151819202122[[#This Row],[Subtotaal koffieautomaten]]</f>
        <v>1976.6666666666652</v>
      </c>
    </row>
    <row r="47" spans="1:130" ht="14.45" customHeight="1" x14ac:dyDescent="0.25">
      <c r="A47" s="67">
        <v>10</v>
      </c>
      <c r="B47" t="s">
        <v>94</v>
      </c>
      <c r="C47" t="s">
        <v>31</v>
      </c>
      <c r="E47">
        <v>12117</v>
      </c>
      <c r="F47">
        <f>oktober2025!E47</f>
        <v>11617</v>
      </c>
      <c r="G47">
        <f>Tabel2425678910111213141517161819212022232614151819202122[[#This Row],[Stand Coffee einde maand]]-Tabel2425678910111213141517161819212022232614151819202122[[#This Row],[Coffee vorige maand]]</f>
        <v>500</v>
      </c>
      <c r="H47" s="53">
        <v>9595</v>
      </c>
      <c r="I47">
        <f>oktober2025!H47</f>
        <v>9256</v>
      </c>
      <c r="J47">
        <f>Tabel2425678910111213141517161819212022232614151819202122[[#This Row],[Stand Espresso Einde maand]]-Tabel2425678910111213141517161819212022232614151819202122[[#This Row],[Espresso vorige maand]]</f>
        <v>339</v>
      </c>
      <c r="K47" s="53">
        <v>1617</v>
      </c>
      <c r="L47">
        <f>oktober2025!K47</f>
        <v>1553</v>
      </c>
      <c r="M47">
        <f>Tabel2425678910111213141517161819212022232614151819202122[[#This Row],[Stand Latte Macchiato einde maand]]-Tabel2425678910111213141517161819212022232614151819202122[[#This Row],[Latte Macchiato vorige maand]]</f>
        <v>64</v>
      </c>
      <c r="N47" s="53">
        <v>986</v>
      </c>
      <c r="O47">
        <f>oktober2025!N47</f>
        <v>970</v>
      </c>
      <c r="P47">
        <f>Tabel2425678910111213141517161819212022232614151819202122[[#This Row],[Stand Coffee Latte einde maand]]-Tabel2425678910111213141517161819212022232614151819202122[[#This Row],[Coffee Latte vorige maand]]</f>
        <v>16</v>
      </c>
      <c r="Q47" s="53">
        <v>24191</v>
      </c>
      <c r="R47">
        <f>oktober2025!Q47</f>
        <v>23278</v>
      </c>
      <c r="S47">
        <f>Tabel2425678910111213141517161819212022232614151819202122[[#This Row],[Stand Hot Water einde maand]]-Tabel2425678910111213141517161819212022232614151819202122[[#This Row],[Hot Water vorige maand]]</f>
        <v>913</v>
      </c>
      <c r="T47" s="53">
        <v>9047</v>
      </c>
      <c r="U47">
        <f>oktober2025!T47</f>
        <v>8788</v>
      </c>
      <c r="V47">
        <f>Tabel2425678910111213141517161819212022232614151819202122[[#This Row],[Stand Cappucino einde maand]]-Tabel2425678910111213141517161819212022232614151819202122[[#This Row],[Stand Cappucino vorige maand]]</f>
        <v>259</v>
      </c>
      <c r="W47" s="53">
        <v>1249</v>
      </c>
      <c r="X47">
        <f>oktober2025!W47</f>
        <v>1190</v>
      </c>
      <c r="Y47">
        <f>Tabel2425678910111213141517161819212022232614151819202122[[#This Row],[Stand Cappucino Plantaardig einde maand]]-Tabel2425678910111213141517161819212022232614151819202122[[#This Row],[Stand Cappucino Plantaardig vorige maand]]</f>
        <v>59</v>
      </c>
      <c r="Z47" s="53">
        <v>322</v>
      </c>
      <c r="AA47">
        <f>oktober2025!Z47</f>
        <v>272</v>
      </c>
      <c r="AB47">
        <f>Tabel2425678910111213141517161819212022232614151819202122[[#This Row],[Stand Latte Macchiato Plantaardig einde maand]]-Tabel2425678910111213141517161819212022232614151819202122[[#This Row],[Stand Latte Macchiato Plantaardig vorige maand]]</f>
        <v>50</v>
      </c>
      <c r="AC47" s="71">
        <f>Tabel2425678910111213141517161819212022232614151819202122[[#This Row],[Verbruik Stand Latte Macchiato Plantaardig deze maand]]+Tabel2425678910111213141517161819212022232614151819202122[[#This Row],[Verbruik  Cappucino Plantaardig deze maand]]+Tabel2425678910111213141517161819212022232614151819202122[[#This Row],[Verbruik Cappucino deze maand]]+Tabel2425678910111213141517161819212022232614151819202122[[#This Row],[Verbruik Hot Water deze maand]]+Tabel2425678910111213141517161819212022232614151819202122[[#This Row],[Verbruik Coffee Latte deze maand]]+Tabel2425678910111213141517161819212022232614151819202122[[#This Row],[Verbruik Latte Macchiato deze maand]]+Tabel2425678910111213141517161819212022232614151819202122[[#This Row],[Verbruik Espresso deze maand]]+Tabel2425678910111213141517161819212022232614151819202122[[#This Row],[Verbruik Coffee deze maand]]</f>
        <v>2200</v>
      </c>
      <c r="AD47" s="69"/>
      <c r="AE47" s="41"/>
      <c r="AF47" s="5"/>
      <c r="AG47" s="5"/>
      <c r="AH47" s="75"/>
      <c r="AI47" s="41"/>
      <c r="AJ47" s="5"/>
      <c r="AK47" s="5"/>
      <c r="AL47" s="75"/>
      <c r="AM47" s="41"/>
      <c r="AN47" s="5"/>
      <c r="AO47" s="5"/>
      <c r="AP47" s="75"/>
      <c r="AQ47" s="41"/>
      <c r="AR47" s="5"/>
      <c r="AS47" s="5"/>
      <c r="AT47" s="75"/>
      <c r="AU47" s="41"/>
      <c r="AV47" s="5"/>
      <c r="AW47" s="5"/>
      <c r="AX47" s="79"/>
      <c r="AY47" s="95">
        <f>Tabel2425678910111213141517161819212022232614151819202122[[#This Row],[Subtotaal waterbar in consumpties]]+Tabel2425678910111213141517161819212022232614151819202122[[#This Row],[Subtotaal koffieautomaten]]</f>
        <v>2200</v>
      </c>
    </row>
    <row r="48" spans="1:130" ht="14.45" customHeight="1" x14ac:dyDescent="0.25">
      <c r="A48" s="65" t="s">
        <v>54</v>
      </c>
      <c r="B48" t="s">
        <v>95</v>
      </c>
      <c r="C48" t="s">
        <v>47</v>
      </c>
      <c r="E48">
        <v>14101</v>
      </c>
      <c r="F48">
        <f>oktober2025!E48</f>
        <v>13792</v>
      </c>
      <c r="G48">
        <f>Tabel2425678910111213141517161819212022232614151819202122[[#This Row],[Stand Coffee einde maand]]-Tabel2425678910111213141517161819212022232614151819202122[[#This Row],[Coffee vorige maand]]</f>
        <v>309</v>
      </c>
      <c r="H48" s="53">
        <v>4597</v>
      </c>
      <c r="I48">
        <f>oktober2025!H48</f>
        <v>4438</v>
      </c>
      <c r="J48">
        <f>Tabel2425678910111213141517161819212022232614151819202122[[#This Row],[Stand Espresso Einde maand]]-Tabel2425678910111213141517161819212022232614151819202122[[#This Row],[Espresso vorige maand]]</f>
        <v>159</v>
      </c>
      <c r="K48" s="53">
        <v>1377</v>
      </c>
      <c r="L48">
        <f>oktober2025!K48</f>
        <v>1350</v>
      </c>
      <c r="M48">
        <f>Tabel2425678910111213141517161819212022232614151819202122[[#This Row],[Stand Latte Macchiato einde maand]]-Tabel2425678910111213141517161819212022232614151819202122[[#This Row],[Latte Macchiato vorige maand]]</f>
        <v>27</v>
      </c>
      <c r="N48" s="53">
        <v>666</v>
      </c>
      <c r="O48">
        <f>oktober2025!N48</f>
        <v>659</v>
      </c>
      <c r="P48">
        <f>Tabel2425678910111213141517161819212022232614151819202122[[#This Row],[Stand Coffee Latte einde maand]]-Tabel2425678910111213141517161819212022232614151819202122[[#This Row],[Coffee Latte vorige maand]]</f>
        <v>7</v>
      </c>
      <c r="Q48" s="53">
        <v>0</v>
      </c>
      <c r="R48">
        <f>oktober2025!Q48</f>
        <v>0</v>
      </c>
      <c r="S48">
        <v>0</v>
      </c>
      <c r="T48" s="53">
        <v>6535</v>
      </c>
      <c r="U48">
        <f>oktober2025!T48</f>
        <v>6404</v>
      </c>
      <c r="V48">
        <f>Tabel2425678910111213141517161819212022232614151819202122[[#This Row],[Stand Cappucino einde maand]]-Tabel2425678910111213141517161819212022232614151819202122[[#This Row],[Stand Cappucino vorige maand]]</f>
        <v>131</v>
      </c>
      <c r="W48" s="53">
        <v>1479</v>
      </c>
      <c r="X48">
        <f>oktober2025!W48</f>
        <v>1460</v>
      </c>
      <c r="Y48">
        <f>Tabel2425678910111213141517161819212022232614151819202122[[#This Row],[Stand Cappucino Plantaardig einde maand]]-Tabel2425678910111213141517161819212022232614151819202122[[#This Row],[Stand Cappucino Plantaardig vorige maand]]</f>
        <v>19</v>
      </c>
      <c r="Z48" s="53">
        <v>949</v>
      </c>
      <c r="AA48">
        <f>oktober2025!Z48</f>
        <v>918</v>
      </c>
      <c r="AB48">
        <f>Tabel2425678910111213141517161819212022232614151819202122[[#This Row],[Stand Latte Macchiato Plantaardig einde maand]]-Tabel2425678910111213141517161819212022232614151819202122[[#This Row],[Stand Latte Macchiato Plantaardig vorige maand]]</f>
        <v>31</v>
      </c>
      <c r="AC48" s="71">
        <f>Tabel2425678910111213141517161819212022232614151819202122[[#This Row],[Verbruik Stand Latte Macchiato Plantaardig deze maand]]+Tabel2425678910111213141517161819212022232614151819202122[[#This Row],[Verbruik  Cappucino Plantaardig deze maand]]+Tabel2425678910111213141517161819212022232614151819202122[[#This Row],[Verbruik Cappucino deze maand]]+Tabel2425678910111213141517161819212022232614151819202122[[#This Row],[Verbruik Hot Water deze maand]]+Tabel2425678910111213141517161819212022232614151819202122[[#This Row],[Verbruik Coffee Latte deze maand]]+Tabel2425678910111213141517161819212022232614151819202122[[#This Row],[Verbruik Latte Macchiato deze maand]]+Tabel2425678910111213141517161819212022232614151819202122[[#This Row],[Verbruik Espresso deze maand]]+Tabel2425678910111213141517161819212022232614151819202122[[#This Row],[Verbruik Coffee deze maand]]</f>
        <v>683</v>
      </c>
      <c r="AD48" s="53">
        <v>296.10000000000002</v>
      </c>
      <c r="AE48">
        <f>oktober2025!AD48</f>
        <v>270.10000000000002</v>
      </c>
      <c r="AF48">
        <f>Tabel2425678910111213141517161819212022232614151819202122[[#This Row],[Stand Kamertemp liter einde maand]]-Tabel2425678910111213141517161819212022232614151819202122[[#This Row],[Stand Kamertemp liter vorige maand]]</f>
        <v>26</v>
      </c>
      <c r="AG48" s="2">
        <f>Tabel2425678910111213141517161819212022232614151819202122[[#This Row],[Verbruik Kamertemp liter deze maand]]/0.15</f>
        <v>173.33333333333334</v>
      </c>
      <c r="AH48" s="53">
        <v>1944.1</v>
      </c>
      <c r="AI48">
        <f>oktober2025!AH48</f>
        <v>1846.3</v>
      </c>
      <c r="AJ48">
        <f>Tabel2425678910111213141517161819212022232614151819202122[[#This Row],[Stand Gekoeld liter einde maand]]-Tabel2425678910111213141517161819212022232614151819202122[[#This Row],[Stand Gekoeld liter vorige maand]]</f>
        <v>97.799999999999955</v>
      </c>
      <c r="AK48" s="2">
        <f>Tabel2425678910111213141517161819212022232614151819202122[[#This Row],[Verbruik Gekoeld liter deze maand]]/0.15</f>
        <v>651.99999999999977</v>
      </c>
      <c r="AL48" s="53">
        <v>1108</v>
      </c>
      <c r="AM48">
        <f>oktober2025!AL48</f>
        <v>1035.0999999999999</v>
      </c>
      <c r="AN48">
        <f>Tabel2425678910111213141517161819212022232614151819202122[[#This Row],[Stand Bruisend liter einde maand]]-Tabel2425678910111213141517161819212022232614151819202122[[#This Row],[Stand Bruisend liter vorige maand]]</f>
        <v>72.900000000000091</v>
      </c>
      <c r="AO48" s="2">
        <f>Tabel2425678910111213141517161819212022232614151819202122[[#This Row],[Verbruik Bruisend liter deze maand]]/0.15</f>
        <v>486.00000000000063</v>
      </c>
      <c r="AP48" s="53">
        <v>440.9</v>
      </c>
      <c r="AQ48">
        <f>oktober2025!AP48</f>
        <v>398.3</v>
      </c>
      <c r="AR48">
        <f>Tabel2425678910111213141517161819212022232614151819202122[[#This Row],[Stand licht bruisend liter einde maand]]-Tabel2425678910111213141517161819212022232614151819202122[[#This Row],[Stand licht bruisend liter vorige maand]]</f>
        <v>42.599999999999966</v>
      </c>
      <c r="AS48" s="2">
        <f>Tabel2425678910111213141517161819212022232614151819202122[[#This Row],[Verbruik licht bruisend liter deze maand]]/0.15</f>
        <v>283.99999999999977</v>
      </c>
      <c r="AT48" s="53">
        <v>3937.7</v>
      </c>
      <c r="AU48">
        <f>oktober2025!AT48</f>
        <v>3667</v>
      </c>
      <c r="AV48">
        <f>Tabel2425678910111213141517161819212022232614151819202122[[#This Row],[Stand heet water liter einde maand]]-Tabel2425678910111213141517161819212022232614151819202122[[#This Row],[Stand heet water liter vorige maand]]</f>
        <v>270.69999999999982</v>
      </c>
      <c r="AW48" s="2">
        <f>Tabel2425678910111213141517161819212022232614151819202122[[#This Row],[Verbruik heet Water liter deze maand ]]/0.15</f>
        <v>1804.6666666666656</v>
      </c>
      <c r="AX48" s="77">
        <f>Tabel2425678910111213141517161819212022232614151819202122[[#This Row],[Aantal consumpties heet water deze maand]]+Tabel2425678910111213141517161819212022232614151819202122[[#This Row],[Aantal consumpties licht bruisend water deze maand]]+Tabel2425678910111213141517161819212022232614151819202122[[#This Row],[aantal consumpties Bruisend water deze maand]]+Tabel2425678910111213141517161819212022232614151819202122[[#This Row],[Aantal consumpties gekoeld water deze maand]]+Tabel2425678910111213141517161819212022232614151819202122[[#This Row],[Aantal consumpties Kamertemp deze maand]]</f>
        <v>3399.9999999999986</v>
      </c>
      <c r="AY48" s="95">
        <f>Tabel2425678910111213141517161819212022232614151819202122[[#This Row],[Subtotaal waterbar in consumpties]]+Tabel2425678910111213141517161819212022232614151819202122[[#This Row],[Subtotaal koffieautomaten]]</f>
        <v>4082.9999999999986</v>
      </c>
    </row>
    <row r="49" spans="1:130" ht="14.45" customHeight="1" x14ac:dyDescent="0.25">
      <c r="A49" s="65" t="s">
        <v>56</v>
      </c>
      <c r="B49" t="s">
        <v>96</v>
      </c>
      <c r="C49" t="s">
        <v>36</v>
      </c>
      <c r="E49" s="46"/>
      <c r="F49" s="46"/>
      <c r="G49" s="47"/>
      <c r="H49" s="54"/>
      <c r="I49" s="46"/>
      <c r="J49" s="47"/>
      <c r="K49" s="54"/>
      <c r="L49" s="46"/>
      <c r="M49" s="47"/>
      <c r="N49" s="54"/>
      <c r="O49" s="46"/>
      <c r="P49" s="47"/>
      <c r="Q49" s="54"/>
      <c r="R49" s="46"/>
      <c r="S49" s="47"/>
      <c r="T49" s="54"/>
      <c r="U49" s="46"/>
      <c r="V49" s="47"/>
      <c r="W49" s="54"/>
      <c r="X49" s="46"/>
      <c r="Y49" s="47"/>
      <c r="Z49" s="54"/>
      <c r="AA49" s="46"/>
      <c r="AB49" s="47"/>
      <c r="AC49" s="72"/>
      <c r="AD49" s="53">
        <v>258.3</v>
      </c>
      <c r="AE49">
        <f>oktober2025!AD49</f>
        <v>235.9</v>
      </c>
      <c r="AF49">
        <f>Tabel2425678910111213141517161819212022232614151819202122[[#This Row],[Stand Kamertemp liter einde maand]]-Tabel2425678910111213141517161819212022232614151819202122[[#This Row],[Stand Kamertemp liter vorige maand]]</f>
        <v>22.400000000000006</v>
      </c>
      <c r="AG49" s="2">
        <f>Tabel2425678910111213141517161819212022232614151819202122[[#This Row],[Verbruik Kamertemp liter deze maand]]/0.15</f>
        <v>149.33333333333337</v>
      </c>
      <c r="AH49" s="53">
        <v>1608.8</v>
      </c>
      <c r="AI49">
        <f>oktober2025!AH49</f>
        <v>1504.2</v>
      </c>
      <c r="AJ49">
        <f>Tabel2425678910111213141517161819212022232614151819202122[[#This Row],[Stand Gekoeld liter einde maand]]-Tabel2425678910111213141517161819212022232614151819202122[[#This Row],[Stand Gekoeld liter vorige maand]]</f>
        <v>104.59999999999991</v>
      </c>
      <c r="AK49" s="2">
        <f>Tabel2425678910111213141517161819212022232614151819202122[[#This Row],[Verbruik Gekoeld liter deze maand]]/0.15</f>
        <v>697.3333333333328</v>
      </c>
      <c r="AL49" s="53">
        <v>704.3</v>
      </c>
      <c r="AM49">
        <f>oktober2025!AL49</f>
        <v>656</v>
      </c>
      <c r="AN49">
        <f>Tabel2425678910111213141517161819212022232614151819202122[[#This Row],[Stand Bruisend liter einde maand]]-Tabel2425678910111213141517161819212022232614151819202122[[#This Row],[Stand Bruisend liter vorige maand]]</f>
        <v>48.299999999999955</v>
      </c>
      <c r="AO49" s="2">
        <f>Tabel2425678910111213141517161819212022232614151819202122[[#This Row],[Verbruik Bruisend liter deze maand]]/0.15</f>
        <v>321.99999999999972</v>
      </c>
      <c r="AP49" s="53">
        <v>340.8</v>
      </c>
      <c r="AQ49">
        <f>oktober2025!AP49</f>
        <v>322.5</v>
      </c>
      <c r="AR49">
        <f>Tabel2425678910111213141517161819212022232614151819202122[[#This Row],[Stand licht bruisend liter einde maand]]-Tabel2425678910111213141517161819212022232614151819202122[[#This Row],[Stand licht bruisend liter vorige maand]]</f>
        <v>18.300000000000011</v>
      </c>
      <c r="AS49" s="2">
        <f>Tabel2425678910111213141517161819212022232614151819202122[[#This Row],[Verbruik licht bruisend liter deze maand]]/0.15</f>
        <v>122.00000000000009</v>
      </c>
      <c r="AT49" s="53">
        <v>3566.2</v>
      </c>
      <c r="AU49">
        <f>oktober2025!AT49</f>
        <v>3291.6</v>
      </c>
      <c r="AV49">
        <f>Tabel2425678910111213141517161819212022232614151819202122[[#This Row],[Stand heet water liter einde maand]]-Tabel2425678910111213141517161819212022232614151819202122[[#This Row],[Stand heet water liter vorige maand]]</f>
        <v>274.59999999999991</v>
      </c>
      <c r="AW49" s="2">
        <f>Tabel2425678910111213141517161819212022232614151819202122[[#This Row],[Verbruik heet Water liter deze maand ]]/0.15</f>
        <v>1830.6666666666661</v>
      </c>
      <c r="AX49" s="77">
        <f>Tabel2425678910111213141517161819212022232614151819202122[[#This Row],[Aantal consumpties heet water deze maand]]+Tabel2425678910111213141517161819212022232614151819202122[[#This Row],[Aantal consumpties licht bruisend water deze maand]]+Tabel2425678910111213141517161819212022232614151819202122[[#This Row],[aantal consumpties Bruisend water deze maand]]+Tabel2425678910111213141517161819212022232614151819202122[[#This Row],[Aantal consumpties gekoeld water deze maand]]+Tabel2425678910111213141517161819212022232614151819202122[[#This Row],[Aantal consumpties Kamertemp deze maand]]</f>
        <v>3121.3333333333317</v>
      </c>
      <c r="AY49" s="95">
        <f>Tabel2425678910111213141517161819212022232614151819202122[[#This Row],[Subtotaal waterbar in consumpties]]+Tabel2425678910111213141517161819212022232614151819202122[[#This Row],[Subtotaal koffieautomaten]]</f>
        <v>3121.3333333333317</v>
      </c>
    </row>
    <row r="50" spans="1:130" ht="14.45" customHeight="1" x14ac:dyDescent="0.25">
      <c r="A50" s="65" t="s">
        <v>58</v>
      </c>
      <c r="B50" t="s">
        <v>97</v>
      </c>
      <c r="C50" t="s">
        <v>31</v>
      </c>
      <c r="E50">
        <v>18073</v>
      </c>
      <c r="F50">
        <f>oktober2025!E50</f>
        <v>17353</v>
      </c>
      <c r="G50">
        <f>Tabel2425678910111213141517161819212022232614151819202122[[#This Row],[Stand Coffee einde maand]]-Tabel2425678910111213141517161819212022232614151819202122[[#This Row],[Coffee vorige maand]]</f>
        <v>720</v>
      </c>
      <c r="H50" s="53">
        <v>5046</v>
      </c>
      <c r="I50">
        <f>oktober2025!H50</f>
        <v>4840</v>
      </c>
      <c r="J50">
        <f>Tabel2425678910111213141517161819212022232614151819202122[[#This Row],[Stand Espresso Einde maand]]-Tabel2425678910111213141517161819212022232614151819202122[[#This Row],[Espresso vorige maand]]</f>
        <v>206</v>
      </c>
      <c r="K50" s="53">
        <v>1916</v>
      </c>
      <c r="L50">
        <f>oktober2025!K50</f>
        <v>1855</v>
      </c>
      <c r="M50">
        <f>Tabel2425678910111213141517161819212022232614151819202122[[#This Row],[Stand Latte Macchiato einde maand]]-Tabel2425678910111213141517161819212022232614151819202122[[#This Row],[Latte Macchiato vorige maand]]</f>
        <v>61</v>
      </c>
      <c r="N50" s="53">
        <v>1543</v>
      </c>
      <c r="O50">
        <f>oktober2025!N50</f>
        <v>1507</v>
      </c>
      <c r="P50">
        <f>Tabel2425678910111213141517161819212022232614151819202122[[#This Row],[Stand Coffee Latte einde maand]]-Tabel2425678910111213141517161819212022232614151819202122[[#This Row],[Coffee Latte vorige maand]]</f>
        <v>36</v>
      </c>
      <c r="Q50" s="53">
        <v>16219</v>
      </c>
      <c r="R50">
        <f>oktober2025!Q50</f>
        <v>15678</v>
      </c>
      <c r="S50">
        <f>Tabel2425678910111213141517161819212022232614151819202122[[#This Row],[Stand Hot Water einde maand]]-Tabel2425678910111213141517161819212022232614151819202122[[#This Row],[Hot Water vorige maand]]</f>
        <v>541</v>
      </c>
      <c r="T50" s="53">
        <v>9699</v>
      </c>
      <c r="U50">
        <f>oktober2025!T50</f>
        <v>9526</v>
      </c>
      <c r="V50">
        <f>Tabel2425678910111213141517161819212022232614151819202122[[#This Row],[Stand Cappucino einde maand]]-Tabel2425678910111213141517161819212022232614151819202122[[#This Row],[Stand Cappucino vorige maand]]</f>
        <v>173</v>
      </c>
      <c r="W50" s="53">
        <v>1915</v>
      </c>
      <c r="X50">
        <f>oktober2025!W50</f>
        <v>1856</v>
      </c>
      <c r="Y50">
        <f>Tabel2425678910111213141517161819212022232614151819202122[[#This Row],[Stand Cappucino Plantaardig einde maand]]-Tabel2425678910111213141517161819212022232614151819202122[[#This Row],[Stand Cappucino Plantaardig vorige maand]]</f>
        <v>59</v>
      </c>
      <c r="Z50" s="53">
        <v>842</v>
      </c>
      <c r="AA50">
        <f>oktober2025!Z50</f>
        <v>769</v>
      </c>
      <c r="AB50">
        <f>Tabel2425678910111213141517161819212022232614151819202122[[#This Row],[Stand Latte Macchiato Plantaardig einde maand]]-Tabel2425678910111213141517161819212022232614151819202122[[#This Row],[Stand Latte Macchiato Plantaardig vorige maand]]</f>
        <v>73</v>
      </c>
      <c r="AC50" s="71">
        <f>Tabel2425678910111213141517161819212022232614151819202122[[#This Row],[Verbruik Stand Latte Macchiato Plantaardig deze maand]]+Tabel2425678910111213141517161819212022232614151819202122[[#This Row],[Verbruik  Cappucino Plantaardig deze maand]]+Tabel2425678910111213141517161819212022232614151819202122[[#This Row],[Verbruik Cappucino deze maand]]+Tabel2425678910111213141517161819212022232614151819202122[[#This Row],[Verbruik Hot Water deze maand]]+Tabel2425678910111213141517161819212022232614151819202122[[#This Row],[Verbruik Coffee Latte deze maand]]+Tabel2425678910111213141517161819212022232614151819202122[[#This Row],[Verbruik Latte Macchiato deze maand]]+Tabel2425678910111213141517161819212022232614151819202122[[#This Row],[Verbruik Espresso deze maand]]+Tabel2425678910111213141517161819212022232614151819202122[[#This Row],[Verbruik Coffee deze maand]]</f>
        <v>1869</v>
      </c>
      <c r="AD50" s="69"/>
      <c r="AE50" s="41"/>
      <c r="AF50" s="5"/>
      <c r="AG50" s="5"/>
      <c r="AH50" s="75"/>
      <c r="AI50" s="41"/>
      <c r="AJ50" s="5"/>
      <c r="AK50" s="5"/>
      <c r="AL50" s="75"/>
      <c r="AM50" s="41"/>
      <c r="AN50" s="5"/>
      <c r="AO50" s="5"/>
      <c r="AP50" s="75"/>
      <c r="AQ50" s="41"/>
      <c r="AR50" s="5"/>
      <c r="AS50" s="5"/>
      <c r="AT50" s="75"/>
      <c r="AU50" s="41"/>
      <c r="AV50" s="5"/>
      <c r="AW50" s="5"/>
      <c r="AX50" s="79"/>
      <c r="AY50" s="95">
        <f>Tabel2425678910111213141517161819212022232614151819202122[[#This Row],[Subtotaal waterbar in consumpties]]+Tabel2425678910111213141517161819212022232614151819202122[[#This Row],[Subtotaal koffieautomaten]]</f>
        <v>1869</v>
      </c>
    </row>
    <row r="51" spans="1:130" ht="14.45" customHeight="1" x14ac:dyDescent="0.25">
      <c r="A51" s="65" t="s">
        <v>60</v>
      </c>
      <c r="B51" t="s">
        <v>98</v>
      </c>
      <c r="C51" t="s">
        <v>47</v>
      </c>
      <c r="E51">
        <v>10960</v>
      </c>
      <c r="F51">
        <f>oktober2025!E51</f>
        <v>10562</v>
      </c>
      <c r="G51">
        <f>Tabel2425678910111213141517161819212022232614151819202122[[#This Row],[Stand Coffee einde maand]]-Tabel2425678910111213141517161819212022232614151819202122[[#This Row],[Coffee vorige maand]]</f>
        <v>398</v>
      </c>
      <c r="H51" s="53">
        <v>3584</v>
      </c>
      <c r="I51">
        <f>oktober2025!H51</f>
        <v>3445</v>
      </c>
      <c r="J51">
        <f>Tabel2425678910111213141517161819212022232614151819202122[[#This Row],[Stand Espresso Einde maand]]-Tabel2425678910111213141517161819212022232614151819202122[[#This Row],[Espresso vorige maand]]</f>
        <v>139</v>
      </c>
      <c r="K51" s="53">
        <v>961</v>
      </c>
      <c r="L51">
        <f>oktober2025!K51</f>
        <v>942</v>
      </c>
      <c r="M51">
        <f>Tabel2425678910111213141517161819212022232614151819202122[[#This Row],[Stand Latte Macchiato einde maand]]-Tabel2425678910111213141517161819212022232614151819202122[[#This Row],[Latte Macchiato vorige maand]]</f>
        <v>19</v>
      </c>
      <c r="N51" s="53">
        <v>1417</v>
      </c>
      <c r="O51">
        <f>oktober2025!N51</f>
        <v>1388</v>
      </c>
      <c r="P51">
        <f>Tabel2425678910111213141517161819212022232614151819202122[[#This Row],[Stand Coffee Latte einde maand]]-Tabel2425678910111213141517161819212022232614151819202122[[#This Row],[Coffee Latte vorige maand]]</f>
        <v>29</v>
      </c>
      <c r="Q51" s="53">
        <v>1</v>
      </c>
      <c r="R51">
        <f>oktober2025!Q51</f>
        <v>1</v>
      </c>
      <c r="S51">
        <f>Tabel2425678910111213141517161819212022232614151819202122[[#This Row],[Stand Hot Water einde maand]]-Tabel2425678910111213141517161819212022232614151819202122[[#This Row],[Hot Water vorige maand]]</f>
        <v>0</v>
      </c>
      <c r="T51" s="53">
        <v>7264</v>
      </c>
      <c r="U51">
        <f>oktober2025!T51</f>
        <v>7002</v>
      </c>
      <c r="V51">
        <f>Tabel2425678910111213141517161819212022232614151819202122[[#This Row],[Stand Cappucino einde maand]]-Tabel2425678910111213141517161819212022232614151819202122[[#This Row],[Stand Cappucino vorige maand]]</f>
        <v>262</v>
      </c>
      <c r="W51" s="53">
        <v>1042</v>
      </c>
      <c r="X51">
        <f>oktober2025!W51</f>
        <v>984</v>
      </c>
      <c r="Y51">
        <f>Tabel2425678910111213141517161819212022232614151819202122[[#This Row],[Stand Cappucino Plantaardig einde maand]]-Tabel2425678910111213141517161819212022232614151819202122[[#This Row],[Stand Cappucino Plantaardig vorige maand]]</f>
        <v>58</v>
      </c>
      <c r="Z51" s="53">
        <v>229</v>
      </c>
      <c r="AA51">
        <f>oktober2025!Z51</f>
        <v>212</v>
      </c>
      <c r="AB51">
        <f>Tabel2425678910111213141517161819212022232614151819202122[[#This Row],[Stand Latte Macchiato Plantaardig einde maand]]-Tabel2425678910111213141517161819212022232614151819202122[[#This Row],[Stand Latte Macchiato Plantaardig vorige maand]]</f>
        <v>17</v>
      </c>
      <c r="AC51" s="71">
        <f>Tabel2425678910111213141517161819212022232614151819202122[[#This Row],[Verbruik Stand Latte Macchiato Plantaardig deze maand]]+Tabel2425678910111213141517161819212022232614151819202122[[#This Row],[Verbruik  Cappucino Plantaardig deze maand]]+Tabel2425678910111213141517161819212022232614151819202122[[#This Row],[Verbruik Cappucino deze maand]]+Tabel2425678910111213141517161819212022232614151819202122[[#This Row],[Verbruik Hot Water deze maand]]+Tabel2425678910111213141517161819212022232614151819202122[[#This Row],[Verbruik Coffee Latte deze maand]]+Tabel2425678910111213141517161819212022232614151819202122[[#This Row],[Verbruik Latte Macchiato deze maand]]+Tabel2425678910111213141517161819212022232614151819202122[[#This Row],[Verbruik Espresso deze maand]]+Tabel2425678910111213141517161819212022232614151819202122[[#This Row],[Verbruik Coffee deze maand]]</f>
        <v>922</v>
      </c>
      <c r="AD51" s="53">
        <v>102</v>
      </c>
      <c r="AE51">
        <f>oktober2025!AD51</f>
        <v>83.4</v>
      </c>
      <c r="AF51">
        <f>Tabel2425678910111213141517161819212022232614151819202122[[#This Row],[Stand Kamertemp liter einde maand]]-Tabel2425678910111213141517161819212022232614151819202122[[#This Row],[Stand Kamertemp liter vorige maand]]</f>
        <v>18.599999999999994</v>
      </c>
      <c r="AG51" s="2">
        <f>Tabel2425678910111213141517161819212022232614151819202122[[#This Row],[Verbruik Kamertemp liter deze maand]]/0.15</f>
        <v>123.99999999999997</v>
      </c>
      <c r="AH51" s="53">
        <v>1299.4000000000001</v>
      </c>
      <c r="AI51">
        <f>oktober2025!AH51</f>
        <v>1192.9000000000001</v>
      </c>
      <c r="AJ51">
        <f>Tabel2425678910111213141517161819212022232614151819202122[[#This Row],[Stand Gekoeld liter einde maand]]-Tabel2425678910111213141517161819212022232614151819202122[[#This Row],[Stand Gekoeld liter vorige maand]]</f>
        <v>106.5</v>
      </c>
      <c r="AK51" s="2">
        <f>Tabel2425678910111213141517161819212022232614151819202122[[#This Row],[Verbruik Gekoeld liter deze maand]]/0.15</f>
        <v>710</v>
      </c>
      <c r="AL51" s="53">
        <v>850.5</v>
      </c>
      <c r="AM51">
        <f>oktober2025!AL51</f>
        <v>776.9</v>
      </c>
      <c r="AN51">
        <f>Tabel2425678910111213141517161819212022232614151819202122[[#This Row],[Stand Bruisend liter einde maand]]-Tabel2425678910111213141517161819212022232614151819202122[[#This Row],[Stand Bruisend liter vorige maand]]</f>
        <v>73.600000000000023</v>
      </c>
      <c r="AO51" s="2">
        <f>Tabel2425678910111213141517161819212022232614151819202122[[#This Row],[Verbruik Bruisend liter deze maand]]/0.15</f>
        <v>490.66666666666686</v>
      </c>
      <c r="AP51" s="53">
        <v>123.5</v>
      </c>
      <c r="AQ51">
        <f>oktober2025!AP51</f>
        <v>117.5</v>
      </c>
      <c r="AR51">
        <f>Tabel2425678910111213141517161819212022232614151819202122[[#This Row],[Stand licht bruisend liter einde maand]]-Tabel2425678910111213141517161819212022232614151819202122[[#This Row],[Stand licht bruisend liter vorige maand]]</f>
        <v>6</v>
      </c>
      <c r="AS51" s="2">
        <f>Tabel2425678910111213141517161819212022232614151819202122[[#This Row],[Verbruik licht bruisend liter deze maand]]/0.15</f>
        <v>40</v>
      </c>
      <c r="AT51" s="53">
        <v>1833</v>
      </c>
      <c r="AU51">
        <f>oktober2025!AT51</f>
        <v>1670.2</v>
      </c>
      <c r="AV51">
        <f>Tabel2425678910111213141517161819212022232614151819202122[[#This Row],[Stand heet water liter einde maand]]-Tabel2425678910111213141517161819212022232614151819202122[[#This Row],[Stand heet water liter vorige maand]]</f>
        <v>162.79999999999995</v>
      </c>
      <c r="AW51" s="2">
        <f>Tabel2425678910111213141517161819212022232614151819202122[[#This Row],[Verbruik heet Water liter deze maand ]]/0.15</f>
        <v>1085.333333333333</v>
      </c>
      <c r="AX51" s="77">
        <f>Tabel2425678910111213141517161819212022232614151819202122[[#This Row],[Aantal consumpties heet water deze maand]]+Tabel2425678910111213141517161819212022232614151819202122[[#This Row],[Aantal consumpties licht bruisend water deze maand]]+Tabel2425678910111213141517161819212022232614151819202122[[#This Row],[aantal consumpties Bruisend water deze maand]]+Tabel2425678910111213141517161819212022232614151819202122[[#This Row],[Aantal consumpties gekoeld water deze maand]]+Tabel2425678910111213141517161819212022232614151819202122[[#This Row],[Aantal consumpties Kamertemp deze maand]]</f>
        <v>2450</v>
      </c>
      <c r="AY51" s="95">
        <f>Tabel2425678910111213141517161819212022232614151819202122[[#This Row],[Subtotaal waterbar in consumpties]]+Tabel2425678910111213141517161819212022232614151819202122[[#This Row],[Subtotaal koffieautomaten]]</f>
        <v>3372</v>
      </c>
    </row>
    <row r="52" spans="1:130" s="81" customFormat="1" ht="14.45" customHeight="1" x14ac:dyDescent="0.25">
      <c r="A52" s="80" t="s">
        <v>99</v>
      </c>
      <c r="D52" s="82"/>
      <c r="H52" s="86"/>
      <c r="K52" s="86"/>
      <c r="N52" s="86"/>
      <c r="Q52" s="86"/>
      <c r="T52" s="86"/>
      <c r="W52" s="86"/>
      <c r="Z52" s="86"/>
      <c r="AC52" s="85"/>
      <c r="AD52" s="86"/>
      <c r="AG52" s="87"/>
      <c r="AH52" s="86"/>
      <c r="AK52" s="87"/>
      <c r="AL52" s="86"/>
      <c r="AO52" s="87"/>
      <c r="AP52" s="86"/>
      <c r="AS52" s="87"/>
      <c r="AT52" s="86"/>
      <c r="AW52" s="87"/>
      <c r="AX52" s="88"/>
      <c r="AY52" s="94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</row>
    <row r="53" spans="1:130" ht="14.45" customHeight="1" x14ac:dyDescent="0.25">
      <c r="A53" s="65" t="s">
        <v>43</v>
      </c>
      <c r="B53" t="s">
        <v>100</v>
      </c>
      <c r="C53" t="s">
        <v>31</v>
      </c>
      <c r="E53">
        <v>15769</v>
      </c>
      <c r="F53">
        <f>oktober2025!E53</f>
        <v>15311</v>
      </c>
      <c r="G53">
        <f>Tabel2425678910111213141517161819212022232614151819202122[[#This Row],[Stand Coffee einde maand]]-Tabel2425678910111213141517161819212022232614151819202122[[#This Row],[Coffee vorige maand]]</f>
        <v>458</v>
      </c>
      <c r="H53" s="97">
        <f>824+4749</f>
        <v>5573</v>
      </c>
      <c r="I53">
        <f>oktober2025!H53</f>
        <v>5440</v>
      </c>
      <c r="J53">
        <f>Tabel2425678910111213141517161819212022232614151819202122[[#This Row],[Stand Espresso Einde maand]]-Tabel2425678910111213141517161819212022232614151819202122[[#This Row],[Espresso vorige maand]]</f>
        <v>133</v>
      </c>
      <c r="K53" s="53">
        <v>1614</v>
      </c>
      <c r="L53">
        <f>oktober2025!K53</f>
        <v>1552</v>
      </c>
      <c r="M53">
        <f>Tabel2425678910111213141517161819212022232614151819202122[[#This Row],[Stand Latte Macchiato einde maand]]-Tabel2425678910111213141517161819212022232614151819202122[[#This Row],[Latte Macchiato vorige maand]]</f>
        <v>62</v>
      </c>
      <c r="N53" s="53">
        <v>773</v>
      </c>
      <c r="O53">
        <f>oktober2025!N53</f>
        <v>702</v>
      </c>
      <c r="P53">
        <f>Tabel2425678910111213141517161819212022232614151819202122[[#This Row],[Stand Coffee Latte einde maand]]-Tabel2425678910111213141517161819212022232614151819202122[[#This Row],[Coffee Latte vorige maand]]</f>
        <v>71</v>
      </c>
      <c r="Q53" s="53">
        <v>38411</v>
      </c>
      <c r="R53">
        <f>oktober2025!Q53</f>
        <v>37160</v>
      </c>
      <c r="S53">
        <f>Tabel2425678910111213141517161819212022232614151819202122[[#This Row],[Stand Hot Water einde maand]]-Tabel2425678910111213141517161819212022232614151819202122[[#This Row],[Hot Water vorige maand]]</f>
        <v>1251</v>
      </c>
      <c r="T53" s="53">
        <v>4449</v>
      </c>
      <c r="U53">
        <f>oktober2025!T53</f>
        <v>4274</v>
      </c>
      <c r="V53">
        <f>Tabel2425678910111213141517161819212022232614151819202122[[#This Row],[Stand Cappucino einde maand]]-Tabel2425678910111213141517161819212022232614151819202122[[#This Row],[Stand Cappucino vorige maand]]</f>
        <v>175</v>
      </c>
      <c r="W53" s="53">
        <v>1328</v>
      </c>
      <c r="X53">
        <f>oktober2025!W53</f>
        <v>1294</v>
      </c>
      <c r="Y53">
        <f>Tabel2425678910111213141517161819212022232614151819202122[[#This Row],[Stand Cappucino Plantaardig einde maand]]-Tabel2425678910111213141517161819212022232614151819202122[[#This Row],[Stand Cappucino Plantaardig vorige maand]]</f>
        <v>34</v>
      </c>
      <c r="Z53" s="53">
        <v>276</v>
      </c>
      <c r="AA53">
        <f>oktober2025!Z53</f>
        <v>267</v>
      </c>
      <c r="AB53">
        <f>Tabel2425678910111213141517161819212022232614151819202122[[#This Row],[Stand Latte Macchiato Plantaardig einde maand]]-Tabel2425678910111213141517161819212022232614151819202122[[#This Row],[Stand Latte Macchiato Plantaardig vorige maand]]</f>
        <v>9</v>
      </c>
      <c r="AC53" s="71">
        <f>Tabel2425678910111213141517161819212022232614151819202122[[#This Row],[Verbruik Stand Latte Macchiato Plantaardig deze maand]]+Tabel2425678910111213141517161819212022232614151819202122[[#This Row],[Verbruik  Cappucino Plantaardig deze maand]]+Tabel2425678910111213141517161819212022232614151819202122[[#This Row],[Verbruik Cappucino deze maand]]+Tabel2425678910111213141517161819212022232614151819202122[[#This Row],[Verbruik Hot Water deze maand]]+Tabel2425678910111213141517161819212022232614151819202122[[#This Row],[Verbruik Coffee Latte deze maand]]+Tabel2425678910111213141517161819212022232614151819202122[[#This Row],[Verbruik Latte Macchiato deze maand]]+Tabel2425678910111213141517161819212022232614151819202122[[#This Row],[Verbruik Espresso deze maand]]+Tabel2425678910111213141517161819212022232614151819202122[[#This Row],[Verbruik Coffee deze maand]]</f>
        <v>2193</v>
      </c>
      <c r="AD53" s="69"/>
      <c r="AE53" s="41"/>
      <c r="AF53" s="5"/>
      <c r="AG53" s="5"/>
      <c r="AH53" s="75"/>
      <c r="AI53" s="41"/>
      <c r="AJ53" s="5"/>
      <c r="AK53" s="5"/>
      <c r="AL53" s="75"/>
      <c r="AM53" s="41"/>
      <c r="AN53" s="5"/>
      <c r="AO53" s="5"/>
      <c r="AP53" s="75"/>
      <c r="AQ53" s="41"/>
      <c r="AR53" s="5"/>
      <c r="AS53" s="5"/>
      <c r="AT53" s="75"/>
      <c r="AU53" s="41"/>
      <c r="AV53" s="5"/>
      <c r="AW53" s="5"/>
      <c r="AX53" s="79"/>
      <c r="AY53" s="95">
        <f>Tabel2425678910111213141517161819212022232614151819202122[[#This Row],[Subtotaal waterbar in consumpties]]+Tabel2425678910111213141517161819212022232614151819202122[[#This Row],[Subtotaal koffieautomaten]]</f>
        <v>2193</v>
      </c>
    </row>
    <row r="54" spans="1:130" ht="14.45" customHeight="1" x14ac:dyDescent="0.25">
      <c r="A54" s="65" t="s">
        <v>45</v>
      </c>
      <c r="B54" t="s">
        <v>101</v>
      </c>
      <c r="C54" t="s">
        <v>47</v>
      </c>
      <c r="E54">
        <v>11920</v>
      </c>
      <c r="F54">
        <f>oktober2025!E54</f>
        <v>11497</v>
      </c>
      <c r="G54">
        <f>Tabel2425678910111213141517161819212022232614151819202122[[#This Row],[Stand Coffee einde maand]]-Tabel2425678910111213141517161819212022232614151819202122[[#This Row],[Coffee vorige maand]]</f>
        <v>423</v>
      </c>
      <c r="H54" s="53">
        <v>5655</v>
      </c>
      <c r="I54">
        <f>oktober2025!H54</f>
        <v>5487</v>
      </c>
      <c r="J54">
        <f>Tabel2425678910111213141517161819212022232614151819202122[[#This Row],[Stand Espresso Einde maand]]-Tabel2425678910111213141517161819212022232614151819202122[[#This Row],[Espresso vorige maand]]</f>
        <v>168</v>
      </c>
      <c r="K54" s="53">
        <v>738</v>
      </c>
      <c r="L54">
        <f>oktober2025!K54</f>
        <v>731</v>
      </c>
      <c r="M54">
        <f>Tabel2425678910111213141517161819212022232614151819202122[[#This Row],[Stand Latte Macchiato einde maand]]-Tabel2425678910111213141517161819212022232614151819202122[[#This Row],[Latte Macchiato vorige maand]]</f>
        <v>7</v>
      </c>
      <c r="N54" s="53">
        <v>631</v>
      </c>
      <c r="O54">
        <f>oktober2025!N54</f>
        <v>618</v>
      </c>
      <c r="P54">
        <f>Tabel2425678910111213141517161819212022232614151819202122[[#This Row],[Stand Coffee Latte einde maand]]-Tabel2425678910111213141517161819212022232614151819202122[[#This Row],[Coffee Latte vorige maand]]</f>
        <v>13</v>
      </c>
      <c r="Q54" s="53">
        <v>1</v>
      </c>
      <c r="R54">
        <f>oktober2025!Q54</f>
        <v>1</v>
      </c>
      <c r="S54">
        <f>Tabel2425678910111213141517161819212022232614151819202122[[#This Row],[Stand Hot Water einde maand]]-Tabel2425678910111213141517161819212022232614151819202122[[#This Row],[Hot Water vorige maand]]</f>
        <v>0</v>
      </c>
      <c r="T54" s="53">
        <v>5208</v>
      </c>
      <c r="U54">
        <f>oktober2025!T54</f>
        <v>5098</v>
      </c>
      <c r="V54">
        <f>Tabel2425678910111213141517161819212022232614151819202122[[#This Row],[Stand Cappucino einde maand]]-Tabel2425678910111213141517161819212022232614151819202122[[#This Row],[Stand Cappucino vorige maand]]</f>
        <v>110</v>
      </c>
      <c r="W54" s="53">
        <v>1118</v>
      </c>
      <c r="X54">
        <f>oktober2025!W54</f>
        <v>1062</v>
      </c>
      <c r="Y54">
        <f>Tabel2425678910111213141517161819212022232614151819202122[[#This Row],[Stand Cappucino Plantaardig einde maand]]-Tabel2425678910111213141517161819212022232614151819202122[[#This Row],[Stand Cappucino Plantaardig vorige maand]]</f>
        <v>56</v>
      </c>
      <c r="Z54" s="53">
        <v>263</v>
      </c>
      <c r="AA54">
        <f>oktober2025!Z54</f>
        <v>260</v>
      </c>
      <c r="AB54">
        <f>Tabel2425678910111213141517161819212022232614151819202122[[#This Row],[Stand Latte Macchiato Plantaardig einde maand]]-Tabel2425678910111213141517161819212022232614151819202122[[#This Row],[Stand Latte Macchiato Plantaardig vorige maand]]</f>
        <v>3</v>
      </c>
      <c r="AC54" s="71">
        <f>Tabel2425678910111213141517161819212022232614151819202122[[#This Row],[Verbruik Stand Latte Macchiato Plantaardig deze maand]]+Tabel2425678910111213141517161819212022232614151819202122[[#This Row],[Verbruik  Cappucino Plantaardig deze maand]]+Tabel2425678910111213141517161819212022232614151819202122[[#This Row],[Verbruik Cappucino deze maand]]+Tabel2425678910111213141517161819212022232614151819202122[[#This Row],[Verbruik Hot Water deze maand]]+Tabel2425678910111213141517161819212022232614151819202122[[#This Row],[Verbruik Coffee Latte deze maand]]+Tabel2425678910111213141517161819212022232614151819202122[[#This Row],[Verbruik Latte Macchiato deze maand]]+Tabel2425678910111213141517161819212022232614151819202122[[#This Row],[Verbruik Espresso deze maand]]+Tabel2425678910111213141517161819212022232614151819202122[[#This Row],[Verbruik Coffee deze maand]]</f>
        <v>780</v>
      </c>
      <c r="AD54" s="53">
        <v>199.7</v>
      </c>
      <c r="AE54">
        <f>oktober2025!AD54</f>
        <v>175.4</v>
      </c>
      <c r="AF54">
        <f>Tabel2425678910111213141517161819212022232614151819202122[[#This Row],[Stand Kamertemp liter einde maand]]-Tabel2425678910111213141517161819212022232614151819202122[[#This Row],[Stand Kamertemp liter vorige maand]]</f>
        <v>24.299999999999983</v>
      </c>
      <c r="AG54" s="2">
        <f>Tabel2425678910111213141517161819212022232614151819202122[[#This Row],[Verbruik Kamertemp liter deze maand]]/0.15</f>
        <v>161.99999999999989</v>
      </c>
      <c r="AH54" s="53">
        <v>918.4</v>
      </c>
      <c r="AI54">
        <f>oktober2025!AH54</f>
        <v>803</v>
      </c>
      <c r="AJ54">
        <f>Tabel2425678910111213141517161819212022232614151819202122[[#This Row],[Stand Gekoeld liter einde maand]]-Tabel2425678910111213141517161819212022232614151819202122[[#This Row],[Stand Gekoeld liter vorige maand]]</f>
        <v>115.39999999999998</v>
      </c>
      <c r="AK54" s="2">
        <f>Tabel2425678910111213141517161819212022232614151819202122[[#This Row],[Verbruik Gekoeld liter deze maand]]/0.15</f>
        <v>769.33333333333326</v>
      </c>
      <c r="AL54" s="53">
        <v>813.4</v>
      </c>
      <c r="AM54">
        <f>oktober2025!AL54</f>
        <v>727.3</v>
      </c>
      <c r="AN54">
        <f>Tabel2425678910111213141517161819212022232614151819202122[[#This Row],[Stand Bruisend liter einde maand]]-Tabel2425678910111213141517161819212022232614151819202122[[#This Row],[Stand Bruisend liter vorige maand]]</f>
        <v>86.100000000000023</v>
      </c>
      <c r="AO54" s="2">
        <f>Tabel2425678910111213141517161819212022232614151819202122[[#This Row],[Verbruik Bruisend liter deze maand]]/0.15</f>
        <v>574.00000000000023</v>
      </c>
      <c r="AP54" s="53">
        <v>181.4</v>
      </c>
      <c r="AQ54">
        <f>oktober2025!AP54</f>
        <v>154.19999999999999</v>
      </c>
      <c r="AR54">
        <f>Tabel2425678910111213141517161819212022232614151819202122[[#This Row],[Stand licht bruisend liter einde maand]]-Tabel2425678910111213141517161819212022232614151819202122[[#This Row],[Stand licht bruisend liter vorige maand]]</f>
        <v>27.200000000000017</v>
      </c>
      <c r="AS54" s="2">
        <f>Tabel2425678910111213141517161819212022232614151819202122[[#This Row],[Verbruik licht bruisend liter deze maand]]/0.15</f>
        <v>181.33333333333346</v>
      </c>
      <c r="AT54" s="53">
        <v>2195.5</v>
      </c>
      <c r="AU54">
        <f>oktober2025!AT54</f>
        <v>1833.3</v>
      </c>
      <c r="AV54">
        <f>Tabel2425678910111213141517161819212022232614151819202122[[#This Row],[Stand heet water liter einde maand]]-Tabel2425678910111213141517161819212022232614151819202122[[#This Row],[Stand heet water liter vorige maand]]</f>
        <v>362.20000000000005</v>
      </c>
      <c r="AW54" s="2">
        <f>Tabel2425678910111213141517161819212022232614151819202122[[#This Row],[Verbruik heet Water liter deze maand ]]/0.15</f>
        <v>2414.666666666667</v>
      </c>
      <c r="AX54" s="77">
        <f>Tabel2425678910111213141517161819212022232614151819202122[[#This Row],[Aantal consumpties heet water deze maand]]+Tabel2425678910111213141517161819212022232614151819202122[[#This Row],[Aantal consumpties licht bruisend water deze maand]]+Tabel2425678910111213141517161819212022232614151819202122[[#This Row],[aantal consumpties Bruisend water deze maand]]+Tabel2425678910111213141517161819212022232614151819202122[[#This Row],[Aantal consumpties gekoeld water deze maand]]+Tabel2425678910111213141517161819212022232614151819202122[[#This Row],[Aantal consumpties Kamertemp deze maand]]</f>
        <v>4101.3333333333339</v>
      </c>
      <c r="AY54" s="95">
        <f>Tabel2425678910111213141517161819212022232614151819202122[[#This Row],[Subtotaal waterbar in consumpties]]+Tabel2425678910111213141517161819212022232614151819202122[[#This Row],[Subtotaal koffieautomaten]]</f>
        <v>4881.3333333333339</v>
      </c>
    </row>
    <row r="55" spans="1:130" ht="14.45" customHeight="1" x14ac:dyDescent="0.25">
      <c r="A55" s="65" t="s">
        <v>48</v>
      </c>
      <c r="B55" t="s">
        <v>102</v>
      </c>
      <c r="C55" t="s">
        <v>31</v>
      </c>
      <c r="E55">
        <v>10173</v>
      </c>
      <c r="F55">
        <f>oktober2025!E55</f>
        <v>9800</v>
      </c>
      <c r="G55">
        <f>Tabel2425678910111213141517161819212022232614151819202122[[#This Row],[Stand Coffee einde maand]]-Tabel2425678910111213141517161819212022232614151819202122[[#This Row],[Coffee vorige maand]]</f>
        <v>373</v>
      </c>
      <c r="H55" s="53">
        <v>2408</v>
      </c>
      <c r="I55">
        <f>oktober2025!H55</f>
        <v>2394</v>
      </c>
      <c r="J55">
        <f>Tabel2425678910111213141517161819212022232614151819202122[[#This Row],[Stand Espresso Einde maand]]-Tabel2425678910111213141517161819212022232614151819202122[[#This Row],[Espresso vorige maand]]</f>
        <v>14</v>
      </c>
      <c r="K55" s="53">
        <v>1035</v>
      </c>
      <c r="L55">
        <f>oktober2025!K55</f>
        <v>993</v>
      </c>
      <c r="M55">
        <f>Tabel2425678910111213141517161819212022232614151819202122[[#This Row],[Stand Latte Macchiato einde maand]]-Tabel2425678910111213141517161819212022232614151819202122[[#This Row],[Latte Macchiato vorige maand]]</f>
        <v>42</v>
      </c>
      <c r="N55" s="53">
        <v>588</v>
      </c>
      <c r="O55">
        <f>oktober2025!N55</f>
        <v>560</v>
      </c>
      <c r="P55">
        <f>Tabel2425678910111213141517161819212022232614151819202122[[#This Row],[Stand Coffee Latte einde maand]]-Tabel2425678910111213141517161819212022232614151819202122[[#This Row],[Coffee Latte vorige maand]]</f>
        <v>28</v>
      </c>
      <c r="Q55" s="53">
        <v>25768</v>
      </c>
      <c r="R55">
        <f>oktober2025!Q55</f>
        <v>24851</v>
      </c>
      <c r="S55">
        <f>Tabel2425678910111213141517161819212022232614151819202122[[#This Row],[Stand Hot Water einde maand]]-Tabel2425678910111213141517161819212022232614151819202122[[#This Row],[Hot Water vorige maand]]</f>
        <v>917</v>
      </c>
      <c r="T55" s="53">
        <v>4485</v>
      </c>
      <c r="U55">
        <f>oktober2025!T55</f>
        <v>4370</v>
      </c>
      <c r="V55">
        <f>Tabel2425678910111213141517161819212022232614151819202122[[#This Row],[Stand Cappucino einde maand]]-Tabel2425678910111213141517161819212022232614151819202122[[#This Row],[Stand Cappucino vorige maand]]</f>
        <v>115</v>
      </c>
      <c r="W55" s="53">
        <v>2018</v>
      </c>
      <c r="X55">
        <f>oktober2025!W55</f>
        <v>1989</v>
      </c>
      <c r="Y55">
        <f>Tabel2425678910111213141517161819212022232614151819202122[[#This Row],[Stand Cappucino Plantaardig einde maand]]-Tabel2425678910111213141517161819212022232614151819202122[[#This Row],[Stand Cappucino Plantaardig vorige maand]]</f>
        <v>29</v>
      </c>
      <c r="Z55" s="53">
        <v>261</v>
      </c>
      <c r="AA55">
        <f>oktober2025!Z55</f>
        <v>260</v>
      </c>
      <c r="AB55">
        <f>Tabel2425678910111213141517161819212022232614151819202122[[#This Row],[Stand Latte Macchiato Plantaardig einde maand]]-Tabel2425678910111213141517161819212022232614151819202122[[#This Row],[Stand Latte Macchiato Plantaardig vorige maand]]</f>
        <v>1</v>
      </c>
      <c r="AC55" s="71">
        <f>Tabel2425678910111213141517161819212022232614151819202122[[#This Row],[Verbruik Stand Latte Macchiato Plantaardig deze maand]]+Tabel2425678910111213141517161819212022232614151819202122[[#This Row],[Verbruik  Cappucino Plantaardig deze maand]]+Tabel2425678910111213141517161819212022232614151819202122[[#This Row],[Verbruik Cappucino deze maand]]+Tabel2425678910111213141517161819212022232614151819202122[[#This Row],[Verbruik Hot Water deze maand]]+Tabel2425678910111213141517161819212022232614151819202122[[#This Row],[Verbruik Coffee Latte deze maand]]+Tabel2425678910111213141517161819212022232614151819202122[[#This Row],[Verbruik Latte Macchiato deze maand]]+Tabel2425678910111213141517161819212022232614151819202122[[#This Row],[Verbruik Espresso deze maand]]+Tabel2425678910111213141517161819212022232614151819202122[[#This Row],[Verbruik Coffee deze maand]]</f>
        <v>1519</v>
      </c>
      <c r="AD55" s="69"/>
      <c r="AE55" s="41"/>
      <c r="AF55" s="5"/>
      <c r="AG55" s="5"/>
      <c r="AH55" s="75"/>
      <c r="AI55" s="41"/>
      <c r="AJ55" s="5"/>
      <c r="AK55" s="5"/>
      <c r="AL55" s="75"/>
      <c r="AM55" s="41"/>
      <c r="AN55" s="5"/>
      <c r="AO55" s="5"/>
      <c r="AP55" s="75"/>
      <c r="AQ55" s="41"/>
      <c r="AR55" s="5"/>
      <c r="AS55" s="5"/>
      <c r="AT55" s="75"/>
      <c r="AU55" s="41"/>
      <c r="AV55" s="5"/>
      <c r="AW55" s="5"/>
      <c r="AX55" s="79"/>
      <c r="AY55" s="95">
        <f>Tabel2425678910111213141517161819212022232614151819202122[[#This Row],[Subtotaal waterbar in consumpties]]+Tabel2425678910111213141517161819212022232614151819202122[[#This Row],[Subtotaal koffieautomaten]]</f>
        <v>1519</v>
      </c>
    </row>
    <row r="56" spans="1:130" ht="14.45" customHeight="1" x14ac:dyDescent="0.25">
      <c r="A56" s="65" t="s">
        <v>50</v>
      </c>
      <c r="B56" t="s">
        <v>103</v>
      </c>
      <c r="C56" t="s">
        <v>47</v>
      </c>
      <c r="E56">
        <v>10118</v>
      </c>
      <c r="F56">
        <f>oktober2025!E56</f>
        <v>9920</v>
      </c>
      <c r="G56">
        <f>Tabel2425678910111213141517161819212022232614151819202122[[#This Row],[Stand Coffee einde maand]]-Tabel2425678910111213141517161819212022232614151819202122[[#This Row],[Coffee vorige maand]]</f>
        <v>198</v>
      </c>
      <c r="H56" s="53">
        <v>4465</v>
      </c>
      <c r="I56">
        <f>oktober2025!H56</f>
        <v>4328</v>
      </c>
      <c r="J56">
        <f>Tabel2425678910111213141517161819212022232614151819202122[[#This Row],[Stand Espresso Einde maand]]-Tabel2425678910111213141517161819212022232614151819202122[[#This Row],[Espresso vorige maand]]</f>
        <v>137</v>
      </c>
      <c r="K56" s="53">
        <v>370</v>
      </c>
      <c r="L56">
        <f>oktober2025!K56</f>
        <v>345</v>
      </c>
      <c r="M56">
        <f>Tabel2425678910111213141517161819212022232614151819202122[[#This Row],[Stand Latte Macchiato einde maand]]-Tabel2425678910111213141517161819212022232614151819202122[[#This Row],[Latte Macchiato vorige maand]]</f>
        <v>25</v>
      </c>
      <c r="N56" s="53">
        <v>138</v>
      </c>
      <c r="O56">
        <f>oktober2025!N56</f>
        <v>138</v>
      </c>
      <c r="P56">
        <f>Tabel2425678910111213141517161819212022232614151819202122[[#This Row],[Stand Coffee Latte einde maand]]-Tabel2425678910111213141517161819212022232614151819202122[[#This Row],[Coffee Latte vorige maand]]</f>
        <v>0</v>
      </c>
      <c r="R56">
        <f>oktober2025!Q56</f>
        <v>1</v>
      </c>
      <c r="S56">
        <f>Tabel2425678910111213141517161819212022232614151819202122[[#This Row],[Stand Hot Water einde maand]]-Tabel2425678910111213141517161819212022232614151819202122[[#This Row],[Hot Water vorige maand]]</f>
        <v>-1</v>
      </c>
      <c r="T56" s="53">
        <v>7978</v>
      </c>
      <c r="U56">
        <f>oktober2025!T56</f>
        <v>7729</v>
      </c>
      <c r="V56">
        <f>Tabel2425678910111213141517161819212022232614151819202122[[#This Row],[Stand Cappucino einde maand]]-Tabel2425678910111213141517161819212022232614151819202122[[#This Row],[Stand Cappucino vorige maand]]</f>
        <v>249</v>
      </c>
      <c r="W56" s="53">
        <v>752</v>
      </c>
      <c r="X56">
        <f>oktober2025!W56</f>
        <v>730</v>
      </c>
      <c r="Y56">
        <f>Tabel2425678910111213141517161819212022232614151819202122[[#This Row],[Stand Cappucino Plantaardig einde maand]]-Tabel2425678910111213141517161819212022232614151819202122[[#This Row],[Stand Cappucino Plantaardig vorige maand]]</f>
        <v>22</v>
      </c>
      <c r="Z56" s="53">
        <v>136</v>
      </c>
      <c r="AA56">
        <f>oktober2025!Z56</f>
        <v>132</v>
      </c>
      <c r="AB56">
        <f>Tabel2425678910111213141517161819212022232614151819202122[[#This Row],[Stand Latte Macchiato Plantaardig einde maand]]-Tabel2425678910111213141517161819212022232614151819202122[[#This Row],[Stand Latte Macchiato Plantaardig vorige maand]]</f>
        <v>4</v>
      </c>
      <c r="AC56" s="71">
        <f>Tabel2425678910111213141517161819212022232614151819202122[[#This Row],[Verbruik Stand Latte Macchiato Plantaardig deze maand]]+Tabel2425678910111213141517161819212022232614151819202122[[#This Row],[Verbruik  Cappucino Plantaardig deze maand]]+Tabel2425678910111213141517161819212022232614151819202122[[#This Row],[Verbruik Cappucino deze maand]]+Tabel2425678910111213141517161819212022232614151819202122[[#This Row],[Verbruik Hot Water deze maand]]+Tabel2425678910111213141517161819212022232614151819202122[[#This Row],[Verbruik Coffee Latte deze maand]]+Tabel2425678910111213141517161819212022232614151819202122[[#This Row],[Verbruik Latte Macchiato deze maand]]+Tabel2425678910111213141517161819212022232614151819202122[[#This Row],[Verbruik Espresso deze maand]]+Tabel2425678910111213141517161819212022232614151819202122[[#This Row],[Verbruik Coffee deze maand]]</f>
        <v>634</v>
      </c>
      <c r="AD56" s="53">
        <v>172.5</v>
      </c>
      <c r="AE56">
        <f>oktober2025!AD56</f>
        <v>154.30000000000001</v>
      </c>
      <c r="AF56">
        <f>Tabel2425678910111213141517161819212022232614151819202122[[#This Row],[Stand Kamertemp liter einde maand]]-Tabel2425678910111213141517161819212022232614151819202122[[#This Row],[Stand Kamertemp liter vorige maand]]</f>
        <v>18.199999999999989</v>
      </c>
      <c r="AG56" s="2">
        <f>Tabel2425678910111213141517161819212022232614151819202122[[#This Row],[Verbruik Kamertemp liter deze maand]]/0.15</f>
        <v>121.33333333333326</v>
      </c>
      <c r="AH56" s="53">
        <v>955.8</v>
      </c>
      <c r="AI56">
        <f>oktober2025!AH56</f>
        <v>871.5</v>
      </c>
      <c r="AJ56">
        <f>Tabel2425678910111213141517161819212022232614151819202122[[#This Row],[Stand Gekoeld liter einde maand]]-Tabel2425678910111213141517161819212022232614151819202122[[#This Row],[Stand Gekoeld liter vorige maand]]</f>
        <v>84.299999999999955</v>
      </c>
      <c r="AK56" s="2">
        <f>Tabel2425678910111213141517161819212022232614151819202122[[#This Row],[Verbruik Gekoeld liter deze maand]]/0.15</f>
        <v>561.99999999999977</v>
      </c>
      <c r="AL56" s="53">
        <v>1027.2</v>
      </c>
      <c r="AM56">
        <f>oktober2025!AL56</f>
        <v>961.5</v>
      </c>
      <c r="AN56">
        <f>Tabel2425678910111213141517161819212022232614151819202122[[#This Row],[Stand Bruisend liter einde maand]]-Tabel2425678910111213141517161819212022232614151819202122[[#This Row],[Stand Bruisend liter vorige maand]]</f>
        <v>65.700000000000045</v>
      </c>
      <c r="AO56" s="2">
        <f>Tabel2425678910111213141517161819212022232614151819202122[[#This Row],[Verbruik Bruisend liter deze maand]]/0.15</f>
        <v>438.00000000000034</v>
      </c>
      <c r="AP56" s="53">
        <v>346.6</v>
      </c>
      <c r="AQ56">
        <f>oktober2025!AP56</f>
        <v>330.2</v>
      </c>
      <c r="AR56">
        <f>Tabel2425678910111213141517161819212022232614151819202122[[#This Row],[Stand licht bruisend liter einde maand]]-Tabel2425678910111213141517161819212022232614151819202122[[#This Row],[Stand licht bruisend liter vorige maand]]</f>
        <v>16.400000000000034</v>
      </c>
      <c r="AS56" s="2">
        <f>Tabel2425678910111213141517161819212022232614151819202122[[#This Row],[Verbruik licht bruisend liter deze maand]]/0.15</f>
        <v>109.33333333333357</v>
      </c>
      <c r="AT56" s="53">
        <v>3166.6</v>
      </c>
      <c r="AU56">
        <f>oktober2025!AT56</f>
        <v>2869.8</v>
      </c>
      <c r="AV56">
        <f>Tabel2425678910111213141517161819212022232614151819202122[[#This Row],[Stand heet water liter einde maand]]-Tabel2425678910111213141517161819212022232614151819202122[[#This Row],[Stand heet water liter vorige maand]]</f>
        <v>296.79999999999973</v>
      </c>
      <c r="AW56" s="2">
        <f>Tabel2425678910111213141517161819212022232614151819202122[[#This Row],[Verbruik heet Water liter deze maand ]]/0.15</f>
        <v>1978.6666666666649</v>
      </c>
      <c r="AX56" s="77">
        <f>Tabel2425678910111213141517161819212022232614151819202122[[#This Row],[Aantal consumpties heet water deze maand]]+Tabel2425678910111213141517161819212022232614151819202122[[#This Row],[Aantal consumpties licht bruisend water deze maand]]+Tabel2425678910111213141517161819212022232614151819202122[[#This Row],[aantal consumpties Bruisend water deze maand]]+Tabel2425678910111213141517161819212022232614151819202122[[#This Row],[Aantal consumpties gekoeld water deze maand]]+Tabel2425678910111213141517161819212022232614151819202122[[#This Row],[Aantal consumpties Kamertemp deze maand]]</f>
        <v>3209.3333333333321</v>
      </c>
      <c r="AY56" s="95">
        <f>Tabel2425678910111213141517161819212022232614151819202122[[#This Row],[Subtotaal waterbar in consumpties]]+Tabel2425678910111213141517161819212022232614151819202122[[#This Row],[Subtotaal koffieautomaten]]</f>
        <v>3843.3333333333321</v>
      </c>
    </row>
    <row r="57" spans="1:130" ht="14.45" customHeight="1" x14ac:dyDescent="0.25">
      <c r="A57" s="65" t="s">
        <v>52</v>
      </c>
      <c r="B57" t="s">
        <v>104</v>
      </c>
      <c r="C57" t="s">
        <v>47</v>
      </c>
      <c r="E57">
        <v>5512</v>
      </c>
      <c r="F57">
        <f>oktober2025!E57</f>
        <v>5335</v>
      </c>
      <c r="G57">
        <f>Tabel2425678910111213141517161819212022232614151819202122[[#This Row],[Stand Coffee einde maand]]-Tabel2425678910111213141517161819212022232614151819202122[[#This Row],[Coffee vorige maand]]</f>
        <v>177</v>
      </c>
      <c r="H57" s="53">
        <v>946</v>
      </c>
      <c r="I57">
        <f>oktober2025!H57</f>
        <v>902</v>
      </c>
      <c r="J57">
        <f>Tabel2425678910111213141517161819212022232614151819202122[[#This Row],[Stand Espresso Einde maand]]-Tabel2425678910111213141517161819212022232614151819202122[[#This Row],[Espresso vorige maand]]</f>
        <v>44</v>
      </c>
      <c r="K57" s="53">
        <v>511</v>
      </c>
      <c r="L57">
        <f>oktober2025!K57</f>
        <v>485</v>
      </c>
      <c r="M57">
        <f>Tabel2425678910111213141517161819212022232614151819202122[[#This Row],[Stand Latte Macchiato einde maand]]-Tabel2425678910111213141517161819212022232614151819202122[[#This Row],[Latte Macchiato vorige maand]]</f>
        <v>26</v>
      </c>
      <c r="N57" s="53">
        <v>1318</v>
      </c>
      <c r="O57">
        <f>oktober2025!N57</f>
        <v>1253</v>
      </c>
      <c r="P57">
        <f>Tabel2425678910111213141517161819212022232614151819202122[[#This Row],[Stand Coffee Latte einde maand]]-Tabel2425678910111213141517161819212022232614151819202122[[#This Row],[Coffee Latte vorige maand]]</f>
        <v>65</v>
      </c>
      <c r="Q57" s="53">
        <v>939</v>
      </c>
      <c r="R57">
        <f>oktober2025!Q57</f>
        <v>929</v>
      </c>
      <c r="S57">
        <f>Tabel2425678910111213141517161819212022232614151819202122[[#This Row],[Stand Hot Water einde maand]]-Tabel2425678910111213141517161819212022232614151819202122[[#This Row],[Hot Water vorige maand]]</f>
        <v>10</v>
      </c>
      <c r="T57" s="53">
        <v>5629</v>
      </c>
      <c r="U57">
        <f>oktober2025!T57</f>
        <v>5435</v>
      </c>
      <c r="V57">
        <f>Tabel2425678910111213141517161819212022232614151819202122[[#This Row],[Stand Cappucino einde maand]]-Tabel2425678910111213141517161819212022232614151819202122[[#This Row],[Stand Cappucino vorige maand]]</f>
        <v>194</v>
      </c>
      <c r="W57" s="53">
        <v>954</v>
      </c>
      <c r="X57">
        <f>oktober2025!W57</f>
        <v>928</v>
      </c>
      <c r="Y57">
        <f>Tabel2425678910111213141517161819212022232614151819202122[[#This Row],[Stand Cappucino Plantaardig einde maand]]-Tabel2425678910111213141517161819212022232614151819202122[[#This Row],[Stand Cappucino Plantaardig vorige maand]]</f>
        <v>26</v>
      </c>
      <c r="Z57" s="53">
        <v>180</v>
      </c>
      <c r="AA57">
        <f>oktober2025!Z57</f>
        <v>162</v>
      </c>
      <c r="AB57">
        <f>Tabel2425678910111213141517161819212022232614151819202122[[#This Row],[Stand Latte Macchiato Plantaardig einde maand]]-Tabel2425678910111213141517161819212022232614151819202122[[#This Row],[Stand Latte Macchiato Plantaardig vorige maand]]</f>
        <v>18</v>
      </c>
      <c r="AC57" s="71">
        <f>Tabel2425678910111213141517161819212022232614151819202122[[#This Row],[Verbruik Stand Latte Macchiato Plantaardig deze maand]]+Tabel2425678910111213141517161819212022232614151819202122[[#This Row],[Verbruik  Cappucino Plantaardig deze maand]]+Tabel2425678910111213141517161819212022232614151819202122[[#This Row],[Verbruik Cappucino deze maand]]+Tabel2425678910111213141517161819212022232614151819202122[[#This Row],[Verbruik Hot Water deze maand]]+Tabel2425678910111213141517161819212022232614151819202122[[#This Row],[Verbruik Coffee Latte deze maand]]+Tabel2425678910111213141517161819212022232614151819202122[[#This Row],[Verbruik Latte Macchiato deze maand]]+Tabel2425678910111213141517161819212022232614151819202122[[#This Row],[Verbruik Espresso deze maand]]+Tabel2425678910111213141517161819212022232614151819202122[[#This Row],[Verbruik Coffee deze maand]]</f>
        <v>560</v>
      </c>
      <c r="AD57" s="53">
        <v>35.9</v>
      </c>
      <c r="AE57">
        <f>oktober2025!AD57</f>
        <v>27.2</v>
      </c>
      <c r="AF57">
        <f>Tabel2425678910111213141517161819212022232614151819202122[[#This Row],[Stand Kamertemp liter einde maand]]-Tabel2425678910111213141517161819212022232614151819202122[[#This Row],[Stand Kamertemp liter vorige maand]]</f>
        <v>8.6999999999999993</v>
      </c>
      <c r="AG57" s="2">
        <f>Tabel2425678910111213141517161819212022232614151819202122[[#This Row],[Verbruik Kamertemp liter deze maand]]/0.15</f>
        <v>58</v>
      </c>
      <c r="AH57" s="53">
        <v>441</v>
      </c>
      <c r="AI57">
        <f>oktober2025!AH57</f>
        <v>359.4</v>
      </c>
      <c r="AJ57">
        <f>Tabel2425678910111213141517161819212022232614151819202122[[#This Row],[Stand Gekoeld liter einde maand]]-Tabel2425678910111213141517161819212022232614151819202122[[#This Row],[Stand Gekoeld liter vorige maand]]</f>
        <v>81.600000000000023</v>
      </c>
      <c r="AK57" s="2">
        <f>Tabel2425678910111213141517161819212022232614151819202122[[#This Row],[Verbruik Gekoeld liter deze maand]]/0.15</f>
        <v>544.00000000000023</v>
      </c>
      <c r="AL57" s="53">
        <v>187.8</v>
      </c>
      <c r="AM57">
        <f>oktober2025!AL57</f>
        <v>155.30000000000001</v>
      </c>
      <c r="AN57">
        <f>Tabel2425678910111213141517161819212022232614151819202122[[#This Row],[Stand Bruisend liter einde maand]]-Tabel2425678910111213141517161819212022232614151819202122[[#This Row],[Stand Bruisend liter vorige maand]]</f>
        <v>32.5</v>
      </c>
      <c r="AO57" s="2">
        <f>Tabel2425678910111213141517161819212022232614151819202122[[#This Row],[Verbruik Bruisend liter deze maand]]/0.15</f>
        <v>216.66666666666669</v>
      </c>
      <c r="AP57" s="53">
        <v>62.5</v>
      </c>
      <c r="AQ57">
        <f>oktober2025!AP57</f>
        <v>48</v>
      </c>
      <c r="AR57">
        <f>Tabel2425678910111213141517161819212022232614151819202122[[#This Row],[Stand licht bruisend liter einde maand]]-Tabel2425678910111213141517161819212022232614151819202122[[#This Row],[Stand licht bruisend liter vorige maand]]</f>
        <v>14.5</v>
      </c>
      <c r="AS57" s="2">
        <f>Tabel2425678910111213141517161819212022232614151819202122[[#This Row],[Verbruik licht bruisend liter deze maand]]/0.15</f>
        <v>96.666666666666671</v>
      </c>
      <c r="AT57" s="53">
        <v>1181.0999999999999</v>
      </c>
      <c r="AU57">
        <f>oktober2025!AT57</f>
        <v>898.4</v>
      </c>
      <c r="AV57">
        <f>Tabel2425678910111213141517161819212022232614151819202122[[#This Row],[Stand heet water liter einde maand]]-Tabel2425678910111213141517161819212022232614151819202122[[#This Row],[Stand heet water liter vorige maand]]</f>
        <v>282.69999999999993</v>
      </c>
      <c r="AW57" s="2">
        <f>Tabel2425678910111213141517161819212022232614151819202122[[#This Row],[Verbruik heet Water liter deze maand ]]/0.15</f>
        <v>1884.6666666666663</v>
      </c>
      <c r="AX57" s="77">
        <f>Tabel2425678910111213141517161819212022232614151819202122[[#This Row],[Aantal consumpties heet water deze maand]]+Tabel2425678910111213141517161819212022232614151819202122[[#This Row],[Aantal consumpties licht bruisend water deze maand]]+Tabel2425678910111213141517161819212022232614151819202122[[#This Row],[aantal consumpties Bruisend water deze maand]]+Tabel2425678910111213141517161819212022232614151819202122[[#This Row],[Aantal consumpties gekoeld water deze maand]]+Tabel2425678910111213141517161819212022232614151819202122[[#This Row],[Aantal consumpties Kamertemp deze maand]]</f>
        <v>2800</v>
      </c>
      <c r="AY57" s="95">
        <f>Tabel2425678910111213141517161819212022232614151819202122[[#This Row],[Subtotaal waterbar in consumpties]]+Tabel2425678910111213141517161819212022232614151819202122[[#This Row],[Subtotaal koffieautomaten]]</f>
        <v>3360</v>
      </c>
    </row>
    <row r="58" spans="1:130" ht="14.45" customHeight="1" x14ac:dyDescent="0.25">
      <c r="A58" s="65" t="s">
        <v>54</v>
      </c>
      <c r="B58" t="s">
        <v>105</v>
      </c>
      <c r="C58" t="s">
        <v>31</v>
      </c>
      <c r="E58">
        <v>8981</v>
      </c>
      <c r="F58">
        <f>oktober2025!E58</f>
        <v>8784</v>
      </c>
      <c r="G58">
        <f>Tabel2425678910111213141517161819212022232614151819202122[[#This Row],[Stand Coffee einde maand]]-Tabel2425678910111213141517161819212022232614151819202122[[#This Row],[Coffee vorige maand]]</f>
        <v>197</v>
      </c>
      <c r="H58" s="53">
        <v>4273</v>
      </c>
      <c r="I58">
        <f>oktober2025!H58</f>
        <v>4163</v>
      </c>
      <c r="J58">
        <f>Tabel2425678910111213141517161819212022232614151819202122[[#This Row],[Stand Espresso Einde maand]]-Tabel2425678910111213141517161819212022232614151819202122[[#This Row],[Espresso vorige maand]]</f>
        <v>110</v>
      </c>
      <c r="K58" s="53">
        <v>3571</v>
      </c>
      <c r="L58">
        <f>oktober2025!K58</f>
        <v>3526</v>
      </c>
      <c r="M58">
        <f>Tabel2425678910111213141517161819212022232614151819202122[[#This Row],[Stand Latte Macchiato einde maand]]-Tabel2425678910111213141517161819212022232614151819202122[[#This Row],[Latte Macchiato vorige maand]]</f>
        <v>45</v>
      </c>
      <c r="N58" s="53">
        <v>1180</v>
      </c>
      <c r="O58">
        <f>oktober2025!N58</f>
        <v>1163</v>
      </c>
      <c r="P58">
        <f>Tabel2425678910111213141517161819212022232614151819202122[[#This Row],[Stand Coffee Latte einde maand]]-Tabel2425678910111213141517161819212022232614151819202122[[#This Row],[Coffee Latte vorige maand]]</f>
        <v>17</v>
      </c>
      <c r="Q58" s="53">
        <v>38792</v>
      </c>
      <c r="R58">
        <f>oktober2025!Q58</f>
        <v>37949</v>
      </c>
      <c r="S58">
        <f>Tabel2425678910111213141517161819212022232614151819202122[[#This Row],[Stand Hot Water einde maand]]-Tabel2425678910111213141517161819212022232614151819202122[[#This Row],[Hot Water vorige maand]]</f>
        <v>843</v>
      </c>
      <c r="T58" s="53">
        <v>7381</v>
      </c>
      <c r="U58">
        <f>oktober2025!T58</f>
        <v>7205</v>
      </c>
      <c r="V58">
        <f>Tabel2425678910111213141517161819212022232614151819202122[[#This Row],[Stand Cappucino einde maand]]-Tabel2425678910111213141517161819212022232614151819202122[[#This Row],[Stand Cappucino vorige maand]]</f>
        <v>176</v>
      </c>
      <c r="W58" s="53">
        <v>1173</v>
      </c>
      <c r="X58">
        <f>oktober2025!W58</f>
        <v>1154</v>
      </c>
      <c r="Y58">
        <f>Tabel2425678910111213141517161819212022232614151819202122[[#This Row],[Stand Cappucino Plantaardig einde maand]]-Tabel2425678910111213141517161819212022232614151819202122[[#This Row],[Stand Cappucino Plantaardig vorige maand]]</f>
        <v>19</v>
      </c>
      <c r="Z58" s="53">
        <v>311</v>
      </c>
      <c r="AA58">
        <f>oktober2025!Z58</f>
        <v>298</v>
      </c>
      <c r="AB58">
        <f>Tabel2425678910111213141517161819212022232614151819202122[[#This Row],[Stand Latte Macchiato Plantaardig einde maand]]-Tabel2425678910111213141517161819212022232614151819202122[[#This Row],[Stand Latte Macchiato Plantaardig vorige maand]]</f>
        <v>13</v>
      </c>
      <c r="AC58" s="71">
        <f>Tabel2425678910111213141517161819212022232614151819202122[[#This Row],[Verbruik Stand Latte Macchiato Plantaardig deze maand]]+Tabel2425678910111213141517161819212022232614151819202122[[#This Row],[Verbruik  Cappucino Plantaardig deze maand]]+Tabel2425678910111213141517161819212022232614151819202122[[#This Row],[Verbruik Cappucino deze maand]]+Tabel2425678910111213141517161819212022232614151819202122[[#This Row],[Verbruik Hot Water deze maand]]+Tabel2425678910111213141517161819212022232614151819202122[[#This Row],[Verbruik Coffee Latte deze maand]]+Tabel2425678910111213141517161819212022232614151819202122[[#This Row],[Verbruik Latte Macchiato deze maand]]+Tabel2425678910111213141517161819212022232614151819202122[[#This Row],[Verbruik Espresso deze maand]]+Tabel2425678910111213141517161819212022232614151819202122[[#This Row],[Verbruik Coffee deze maand]]</f>
        <v>1420</v>
      </c>
      <c r="AD58" s="69"/>
      <c r="AE58" s="41"/>
      <c r="AF58" s="5"/>
      <c r="AG58" s="5"/>
      <c r="AH58" s="75"/>
      <c r="AI58" s="41"/>
      <c r="AJ58" s="5"/>
      <c r="AK58" s="5"/>
      <c r="AL58" s="75"/>
      <c r="AM58" s="41"/>
      <c r="AN58" s="5"/>
      <c r="AO58" s="5"/>
      <c r="AP58" s="75"/>
      <c r="AQ58" s="41"/>
      <c r="AR58" s="5"/>
      <c r="AS58" s="5"/>
      <c r="AT58" s="75"/>
      <c r="AU58" s="41"/>
      <c r="AV58" s="5"/>
      <c r="AW58" s="5"/>
      <c r="AX58" s="79"/>
      <c r="AY58" s="95">
        <f>Tabel2425678910111213141517161819212022232614151819202122[[#This Row],[Subtotaal waterbar in consumpties]]+Tabel2425678910111213141517161819212022232614151819202122[[#This Row],[Subtotaal koffieautomaten]]</f>
        <v>1420</v>
      </c>
    </row>
    <row r="59" spans="1:130" ht="14.45" customHeight="1" x14ac:dyDescent="0.25">
      <c r="A59" s="65" t="s">
        <v>56</v>
      </c>
      <c r="B59" t="s">
        <v>106</v>
      </c>
      <c r="C59" t="s">
        <v>47</v>
      </c>
      <c r="E59">
        <v>14491</v>
      </c>
      <c r="F59">
        <f>oktober2025!E59</f>
        <v>14104</v>
      </c>
      <c r="G59">
        <f>Tabel2425678910111213141517161819212022232614151819202122[[#This Row],[Stand Coffee einde maand]]-Tabel2425678910111213141517161819212022232614151819202122[[#This Row],[Coffee vorige maand]]</f>
        <v>387</v>
      </c>
      <c r="H59" s="53">
        <v>4525</v>
      </c>
      <c r="I59">
        <f>oktober2025!H59</f>
        <v>4287</v>
      </c>
      <c r="J59">
        <f>Tabel2425678910111213141517161819212022232614151819202122[[#This Row],[Stand Espresso Einde maand]]-Tabel2425678910111213141517161819212022232614151819202122[[#This Row],[Espresso vorige maand]]</f>
        <v>238</v>
      </c>
      <c r="K59" s="53">
        <v>3937</v>
      </c>
      <c r="L59">
        <f>oktober2025!K59</f>
        <v>3817</v>
      </c>
      <c r="M59">
        <f>Tabel2425678910111213141517161819212022232614151819202122[[#This Row],[Stand Latte Macchiato einde maand]]-Tabel2425678910111213141517161819212022232614151819202122[[#This Row],[Latte Macchiato vorige maand]]</f>
        <v>120</v>
      </c>
      <c r="N59" s="53">
        <v>479</v>
      </c>
      <c r="O59">
        <f>oktober2025!N59</f>
        <v>460</v>
      </c>
      <c r="P59">
        <f>Tabel2425678910111213141517161819212022232614151819202122[[#This Row],[Stand Coffee Latte einde maand]]-Tabel2425678910111213141517161819212022232614151819202122[[#This Row],[Coffee Latte vorige maand]]</f>
        <v>19</v>
      </c>
      <c r="Q59" s="53">
        <v>1</v>
      </c>
      <c r="R59">
        <f>oktober2025!Q59</f>
        <v>1</v>
      </c>
      <c r="S59">
        <f>Tabel2425678910111213141517161819212022232614151819202122[[#This Row],[Stand Hot Water einde maand]]-Tabel2425678910111213141517161819212022232614151819202122[[#This Row],[Hot Water vorige maand]]</f>
        <v>0</v>
      </c>
      <c r="T59" s="53">
        <v>7566</v>
      </c>
      <c r="U59">
        <f>oktober2025!T59</f>
        <v>7377</v>
      </c>
      <c r="V59">
        <f>Tabel2425678910111213141517161819212022232614151819202122[[#This Row],[Stand Cappucino einde maand]]-Tabel2425678910111213141517161819212022232614151819202122[[#This Row],[Stand Cappucino vorige maand]]</f>
        <v>189</v>
      </c>
      <c r="W59" s="53">
        <v>1363</v>
      </c>
      <c r="X59">
        <f>oktober2025!W59</f>
        <v>1360</v>
      </c>
      <c r="Y59">
        <f>Tabel2425678910111213141517161819212022232614151819202122[[#This Row],[Stand Cappucino Plantaardig einde maand]]-Tabel2425678910111213141517161819212022232614151819202122[[#This Row],[Stand Cappucino Plantaardig vorige maand]]</f>
        <v>3</v>
      </c>
      <c r="Z59" s="53">
        <v>208</v>
      </c>
      <c r="AA59">
        <f>oktober2025!Z59</f>
        <v>199</v>
      </c>
      <c r="AB59">
        <f>Tabel2425678910111213141517161819212022232614151819202122[[#This Row],[Stand Latte Macchiato Plantaardig einde maand]]-Tabel2425678910111213141517161819212022232614151819202122[[#This Row],[Stand Latte Macchiato Plantaardig vorige maand]]</f>
        <v>9</v>
      </c>
      <c r="AC59" s="71">
        <f>Tabel2425678910111213141517161819212022232614151819202122[[#This Row],[Verbruik Stand Latte Macchiato Plantaardig deze maand]]+Tabel2425678910111213141517161819212022232614151819202122[[#This Row],[Verbruik  Cappucino Plantaardig deze maand]]+Tabel2425678910111213141517161819212022232614151819202122[[#This Row],[Verbruik Cappucino deze maand]]+Tabel2425678910111213141517161819212022232614151819202122[[#This Row],[Verbruik Hot Water deze maand]]+Tabel2425678910111213141517161819212022232614151819202122[[#This Row],[Verbruik Coffee Latte deze maand]]+Tabel2425678910111213141517161819212022232614151819202122[[#This Row],[Verbruik Latte Macchiato deze maand]]+Tabel2425678910111213141517161819212022232614151819202122[[#This Row],[Verbruik Espresso deze maand]]+Tabel2425678910111213141517161819212022232614151819202122[[#This Row],[Verbruik Coffee deze maand]]</f>
        <v>965</v>
      </c>
      <c r="AD59" s="53">
        <v>17.8</v>
      </c>
      <c r="AE59">
        <f>oktober2025!AD59</f>
        <v>9.9</v>
      </c>
      <c r="AF59">
        <f>Tabel2425678910111213141517161819212022232614151819202122[[#This Row],[Stand Kamertemp liter einde maand]]-Tabel2425678910111213141517161819212022232614151819202122[[#This Row],[Stand Kamertemp liter vorige maand]]</f>
        <v>7.9</v>
      </c>
      <c r="AG59" s="2">
        <f>Tabel2425678910111213141517161819212022232614151819202122[[#This Row],[Verbruik Kamertemp liter deze maand]]/0.15</f>
        <v>52.666666666666671</v>
      </c>
      <c r="AH59" s="53">
        <v>269.39999999999998</v>
      </c>
      <c r="AI59">
        <f>oktober2025!AH59</f>
        <v>148.4</v>
      </c>
      <c r="AJ59">
        <f>Tabel2425678910111213141517161819212022232614151819202122[[#This Row],[Stand Gekoeld liter einde maand]]-Tabel2425678910111213141517161819212022232614151819202122[[#This Row],[Stand Gekoeld liter vorige maand]]</f>
        <v>120.99999999999997</v>
      </c>
      <c r="AK59" s="2">
        <f>Tabel2425678910111213141517161819212022232614151819202122[[#This Row],[Verbruik Gekoeld liter deze maand]]/0.15</f>
        <v>806.66666666666652</v>
      </c>
      <c r="AL59" s="53">
        <v>153.19999999999999</v>
      </c>
      <c r="AM59">
        <f>oktober2025!AL59</f>
        <v>90.4</v>
      </c>
      <c r="AN59">
        <f>Tabel2425678910111213141517161819212022232614151819202122[[#This Row],[Stand Bruisend liter einde maand]]-Tabel2425678910111213141517161819212022232614151819202122[[#This Row],[Stand Bruisend liter vorige maand]]</f>
        <v>62.799999999999983</v>
      </c>
      <c r="AO59" s="2">
        <f>Tabel2425678910111213141517161819212022232614151819202122[[#This Row],[Verbruik Bruisend liter deze maand]]/0.15</f>
        <v>418.66666666666657</v>
      </c>
      <c r="AP59" s="53">
        <v>55.7</v>
      </c>
      <c r="AQ59">
        <f>oktober2025!AP59</f>
        <v>28</v>
      </c>
      <c r="AR59">
        <f>Tabel2425678910111213141517161819212022232614151819202122[[#This Row],[Stand licht bruisend liter einde maand]]-Tabel2425678910111213141517161819212022232614151819202122[[#This Row],[Stand licht bruisend liter vorige maand]]</f>
        <v>27.700000000000003</v>
      </c>
      <c r="AS59" s="2">
        <f>Tabel2425678910111213141517161819212022232614151819202122[[#This Row],[Verbruik licht bruisend liter deze maand]]/0.15</f>
        <v>184.66666666666669</v>
      </c>
      <c r="AT59" s="53">
        <v>411.8</v>
      </c>
      <c r="AU59">
        <f>oktober2025!AT59</f>
        <v>208.7</v>
      </c>
      <c r="AV59">
        <f>Tabel2425678910111213141517161819212022232614151819202122[[#This Row],[Stand heet water liter einde maand]]-Tabel2425678910111213141517161819212022232614151819202122[[#This Row],[Stand heet water liter vorige maand]]</f>
        <v>203.10000000000002</v>
      </c>
      <c r="AW59" s="2">
        <f>Tabel2425678910111213141517161819212022232614151819202122[[#This Row],[Verbruik heet Water liter deze maand ]]/0.15</f>
        <v>1354.0000000000002</v>
      </c>
      <c r="AX59" s="77">
        <f>Tabel2425678910111213141517161819212022232614151819202122[[#This Row],[Aantal consumpties heet water deze maand]]+Tabel2425678910111213141517161819212022232614151819202122[[#This Row],[Aantal consumpties licht bruisend water deze maand]]+Tabel2425678910111213141517161819212022232614151819202122[[#This Row],[aantal consumpties Bruisend water deze maand]]+Tabel2425678910111213141517161819212022232614151819202122[[#This Row],[Aantal consumpties gekoeld water deze maand]]+Tabel2425678910111213141517161819212022232614151819202122[[#This Row],[Aantal consumpties Kamertemp deze maand]]</f>
        <v>2816.6666666666665</v>
      </c>
      <c r="AY59" s="95">
        <f>Tabel2425678910111213141517161819212022232614151819202122[[#This Row],[Subtotaal waterbar in consumpties]]+Tabel2425678910111213141517161819212022232614151819202122[[#This Row],[Subtotaal koffieautomaten]]</f>
        <v>3781.6666666666665</v>
      </c>
    </row>
    <row r="60" spans="1:130" ht="14.45" customHeight="1" x14ac:dyDescent="0.25">
      <c r="A60" s="65" t="s">
        <v>58</v>
      </c>
      <c r="B60" t="s">
        <v>107</v>
      </c>
      <c r="C60" t="s">
        <v>31</v>
      </c>
      <c r="E60">
        <v>15905</v>
      </c>
      <c r="F60">
        <f>oktober2025!E60</f>
        <v>15282</v>
      </c>
      <c r="G60">
        <f>Tabel2425678910111213141517161819212022232614151819202122[[#This Row],[Stand Coffee einde maand]]-Tabel2425678910111213141517161819212022232614151819202122[[#This Row],[Coffee vorige maand]]</f>
        <v>623</v>
      </c>
      <c r="H60" s="53">
        <v>3267</v>
      </c>
      <c r="I60">
        <f>oktober2025!H60</f>
        <v>3107</v>
      </c>
      <c r="J60">
        <f>Tabel2425678910111213141517161819212022232614151819202122[[#This Row],[Stand Espresso Einde maand]]-Tabel2425678910111213141517161819212022232614151819202122[[#This Row],[Espresso vorige maand]]</f>
        <v>160</v>
      </c>
      <c r="K60" s="53">
        <v>2320</v>
      </c>
      <c r="L60">
        <f>oktober2025!K60</f>
        <v>2281</v>
      </c>
      <c r="M60">
        <f>Tabel2425678910111213141517161819212022232614151819202122[[#This Row],[Stand Latte Macchiato einde maand]]-Tabel2425678910111213141517161819212022232614151819202122[[#This Row],[Latte Macchiato vorige maand]]</f>
        <v>39</v>
      </c>
      <c r="N60" s="53">
        <v>416</v>
      </c>
      <c r="O60">
        <f>oktober2025!N60</f>
        <v>406</v>
      </c>
      <c r="P60">
        <f>Tabel2425678910111213141517161819212022232614151819202122[[#This Row],[Stand Coffee Latte einde maand]]-Tabel2425678910111213141517161819212022232614151819202122[[#This Row],[Coffee Latte vorige maand]]</f>
        <v>10</v>
      </c>
      <c r="Q60" s="53">
        <v>29254</v>
      </c>
      <c r="R60">
        <f>oktober2025!Q60</f>
        <v>28464</v>
      </c>
      <c r="S60">
        <f>Tabel2425678910111213141517161819212022232614151819202122[[#This Row],[Stand Hot Water einde maand]]-Tabel2425678910111213141517161819212022232614151819202122[[#This Row],[Hot Water vorige maand]]</f>
        <v>790</v>
      </c>
      <c r="T60" s="53">
        <v>4187</v>
      </c>
      <c r="U60">
        <f>oktober2025!T60</f>
        <v>4043</v>
      </c>
      <c r="V60">
        <f>Tabel2425678910111213141517161819212022232614151819202122[[#This Row],[Stand Cappucino einde maand]]-Tabel2425678910111213141517161819212022232614151819202122[[#This Row],[Stand Cappucino vorige maand]]</f>
        <v>144</v>
      </c>
      <c r="W60" s="53">
        <v>2640</v>
      </c>
      <c r="X60">
        <f>oktober2025!W60</f>
        <v>2600</v>
      </c>
      <c r="Y60">
        <f>Tabel2425678910111213141517161819212022232614151819202122[[#This Row],[Stand Cappucino Plantaardig einde maand]]-Tabel2425678910111213141517161819212022232614151819202122[[#This Row],[Stand Cappucino Plantaardig vorige maand]]</f>
        <v>40</v>
      </c>
      <c r="Z60" s="53">
        <v>501</v>
      </c>
      <c r="AA60">
        <f>oktober2025!Z60</f>
        <v>496</v>
      </c>
      <c r="AB60">
        <f>Tabel2425678910111213141517161819212022232614151819202122[[#This Row],[Stand Latte Macchiato Plantaardig einde maand]]-Tabel2425678910111213141517161819212022232614151819202122[[#This Row],[Stand Latte Macchiato Plantaardig vorige maand]]</f>
        <v>5</v>
      </c>
      <c r="AC60" s="71">
        <f>Tabel2425678910111213141517161819212022232614151819202122[[#This Row],[Verbruik Stand Latte Macchiato Plantaardig deze maand]]+Tabel2425678910111213141517161819212022232614151819202122[[#This Row],[Verbruik  Cappucino Plantaardig deze maand]]+Tabel2425678910111213141517161819212022232614151819202122[[#This Row],[Verbruik Cappucino deze maand]]+Tabel2425678910111213141517161819212022232614151819202122[[#This Row],[Verbruik Hot Water deze maand]]+Tabel2425678910111213141517161819212022232614151819202122[[#This Row],[Verbruik Coffee Latte deze maand]]+Tabel2425678910111213141517161819212022232614151819202122[[#This Row],[Verbruik Latte Macchiato deze maand]]+Tabel2425678910111213141517161819212022232614151819202122[[#This Row],[Verbruik Espresso deze maand]]+Tabel2425678910111213141517161819212022232614151819202122[[#This Row],[Verbruik Coffee deze maand]]</f>
        <v>1811</v>
      </c>
      <c r="AD60" s="69"/>
      <c r="AE60" s="41"/>
      <c r="AF60" s="5"/>
      <c r="AG60" s="5"/>
      <c r="AH60" s="75"/>
      <c r="AI60" s="41"/>
      <c r="AJ60" s="5"/>
      <c r="AK60" s="5"/>
      <c r="AL60" s="75"/>
      <c r="AM60" s="41"/>
      <c r="AN60" s="5"/>
      <c r="AO60" s="5"/>
      <c r="AP60" s="75"/>
      <c r="AQ60" s="41"/>
      <c r="AR60" s="5"/>
      <c r="AS60" s="5"/>
      <c r="AT60" s="75"/>
      <c r="AU60" s="41"/>
      <c r="AV60" s="5"/>
      <c r="AW60" s="5"/>
      <c r="AX60" s="79"/>
      <c r="AY60" s="95">
        <f>Tabel2425678910111213141517161819212022232614151819202122[[#This Row],[Subtotaal waterbar in consumpties]]+Tabel2425678910111213141517161819212022232614151819202122[[#This Row],[Subtotaal koffieautomaten]]</f>
        <v>1811</v>
      </c>
    </row>
    <row r="61" spans="1:130" ht="14.45" customHeight="1" x14ac:dyDescent="0.25">
      <c r="A61" s="65" t="s">
        <v>60</v>
      </c>
      <c r="B61" t="s">
        <v>108</v>
      </c>
      <c r="C61" t="s">
        <v>36</v>
      </c>
      <c r="E61" s="46"/>
      <c r="F61" s="46"/>
      <c r="G61" s="47"/>
      <c r="H61" s="54"/>
      <c r="I61" s="46"/>
      <c r="J61" s="47"/>
      <c r="K61" s="54"/>
      <c r="L61" s="46"/>
      <c r="M61" s="47"/>
      <c r="N61" s="54"/>
      <c r="O61" s="46"/>
      <c r="P61" s="47"/>
      <c r="Q61" s="54"/>
      <c r="R61" s="46"/>
      <c r="S61" s="47"/>
      <c r="T61" s="54"/>
      <c r="U61" s="46"/>
      <c r="V61" s="47"/>
      <c r="W61" s="54"/>
      <c r="X61" s="46"/>
      <c r="Y61" s="47"/>
      <c r="Z61" s="54"/>
      <c r="AA61" s="46"/>
      <c r="AB61" s="47"/>
      <c r="AC61" s="72"/>
      <c r="AD61" s="53">
        <v>379.1</v>
      </c>
      <c r="AE61">
        <f>oktober2025!AD61</f>
        <v>369.8</v>
      </c>
      <c r="AF61">
        <f>Tabel2425678910111213141517161819212022232614151819202122[[#This Row],[Stand Kamertemp liter einde maand]]-Tabel2425678910111213141517161819212022232614151819202122[[#This Row],[Stand Kamertemp liter vorige maand]]</f>
        <v>9.3000000000000114</v>
      </c>
      <c r="AG61" s="2">
        <f>Tabel2425678910111213141517161819212022232614151819202122[[#This Row],[Verbruik Kamertemp liter deze maand]]/0.15</f>
        <v>62.000000000000078</v>
      </c>
      <c r="AH61" s="53">
        <v>2159.1</v>
      </c>
      <c r="AI61">
        <f>oktober2025!AH61</f>
        <v>2090.5</v>
      </c>
      <c r="AJ61">
        <f>Tabel2425678910111213141517161819212022232614151819202122[[#This Row],[Stand Gekoeld liter einde maand]]-Tabel2425678910111213141517161819212022232614151819202122[[#This Row],[Stand Gekoeld liter vorige maand]]</f>
        <v>68.599999999999909</v>
      </c>
      <c r="AK61" s="2">
        <f>Tabel2425678910111213141517161819212022232614151819202122[[#This Row],[Verbruik Gekoeld liter deze maand]]/0.15</f>
        <v>457.33333333333275</v>
      </c>
      <c r="AL61" s="53">
        <v>1084.9000000000001</v>
      </c>
      <c r="AM61">
        <f>oktober2025!AL61</f>
        <v>1051</v>
      </c>
      <c r="AN61">
        <f>Tabel2425678910111213141517161819212022232614151819202122[[#This Row],[Stand Bruisend liter einde maand]]-Tabel2425678910111213141517161819212022232614151819202122[[#This Row],[Stand Bruisend liter vorige maand]]</f>
        <v>33.900000000000091</v>
      </c>
      <c r="AO61" s="2">
        <f>Tabel2425678910111213141517161819212022232614151819202122[[#This Row],[Verbruik Bruisend liter deze maand]]/0.15</f>
        <v>226.00000000000063</v>
      </c>
      <c r="AP61" s="53">
        <v>1475.3</v>
      </c>
      <c r="AQ61">
        <f>oktober2025!AP61</f>
        <v>1426.6</v>
      </c>
      <c r="AR61">
        <f>Tabel2425678910111213141517161819212022232614151819202122[[#This Row],[Stand licht bruisend liter einde maand]]-Tabel2425678910111213141517161819212022232614151819202122[[#This Row],[Stand licht bruisend liter vorige maand]]</f>
        <v>48.700000000000045</v>
      </c>
      <c r="AS61" s="2">
        <f>Tabel2425678910111213141517161819212022232614151819202122[[#This Row],[Verbruik licht bruisend liter deze maand]]/0.15</f>
        <v>324.66666666666697</v>
      </c>
      <c r="AT61" s="53">
        <v>5265.1</v>
      </c>
      <c r="AU61">
        <f>oktober2025!AT61</f>
        <v>5049.6000000000004</v>
      </c>
      <c r="AV61">
        <f>Tabel2425678910111213141517161819212022232614151819202122[[#This Row],[Stand heet water liter einde maand]]-Tabel2425678910111213141517161819212022232614151819202122[[#This Row],[Stand heet water liter vorige maand]]</f>
        <v>215.5</v>
      </c>
      <c r="AW61" s="2">
        <f>Tabel2425678910111213141517161819212022232614151819202122[[#This Row],[Verbruik heet Water liter deze maand ]]/0.15</f>
        <v>1436.6666666666667</v>
      </c>
      <c r="AX61" s="77">
        <f>Tabel2425678910111213141517161819212022232614151819202122[[#This Row],[Aantal consumpties heet water deze maand]]+Tabel2425678910111213141517161819212022232614151819202122[[#This Row],[Aantal consumpties licht bruisend water deze maand]]+Tabel2425678910111213141517161819212022232614151819202122[[#This Row],[aantal consumpties Bruisend water deze maand]]+Tabel2425678910111213141517161819212022232614151819202122[[#This Row],[Aantal consumpties gekoeld water deze maand]]+Tabel2425678910111213141517161819212022232614151819202122[[#This Row],[Aantal consumpties Kamertemp deze maand]]</f>
        <v>2506.666666666667</v>
      </c>
      <c r="AY61" s="95">
        <f>Tabel2425678910111213141517161819212022232614151819202122[[#This Row],[Subtotaal waterbar in consumpties]]+Tabel2425678910111213141517161819212022232614151819202122[[#This Row],[Subtotaal koffieautomaten]]</f>
        <v>2506.666666666667</v>
      </c>
    </row>
    <row r="62" spans="1:130" s="81" customFormat="1" x14ac:dyDescent="0.25">
      <c r="A62" s="165" t="s">
        <v>109</v>
      </c>
      <c r="B62" s="151"/>
      <c r="C62" s="151"/>
      <c r="D62" s="166"/>
      <c r="E62" s="151"/>
      <c r="F62" s="151"/>
      <c r="G62" s="151"/>
      <c r="H62" s="167"/>
      <c r="I62" s="151"/>
      <c r="J62" s="151"/>
      <c r="K62" s="167"/>
      <c r="L62" s="151"/>
      <c r="M62" s="151"/>
      <c r="N62" s="167"/>
      <c r="O62" s="151"/>
      <c r="P62" s="151"/>
      <c r="Q62" s="167"/>
      <c r="R62" s="151"/>
      <c r="S62" s="151"/>
      <c r="T62" s="167"/>
      <c r="U62" s="151"/>
      <c r="V62" s="151"/>
      <c r="W62" s="167"/>
      <c r="X62" s="151"/>
      <c r="Y62" s="151"/>
      <c r="Z62" s="167"/>
      <c r="AA62" s="151"/>
      <c r="AB62" s="151"/>
      <c r="AC62" s="168"/>
      <c r="AD62" s="169"/>
      <c r="AE62" s="154"/>
      <c r="AF62" s="151"/>
      <c r="AG62" s="155"/>
      <c r="AH62" s="169"/>
      <c r="AI62" s="154"/>
      <c r="AJ62" s="151"/>
      <c r="AK62" s="155"/>
      <c r="AL62" s="169"/>
      <c r="AM62" s="154"/>
      <c r="AN62" s="151"/>
      <c r="AO62" s="155"/>
      <c r="AP62" s="169"/>
      <c r="AQ62" s="154"/>
      <c r="AR62" s="151"/>
      <c r="AS62" s="155"/>
      <c r="AT62" s="169"/>
      <c r="AU62" s="154"/>
      <c r="AV62" s="151"/>
      <c r="AW62" s="155"/>
      <c r="AX62" s="170"/>
      <c r="AY62" s="171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</row>
    <row r="63" spans="1:130" x14ac:dyDescent="0.25">
      <c r="A63" s="67">
        <v>1</v>
      </c>
      <c r="B63" t="s">
        <v>110</v>
      </c>
      <c r="C63" t="s">
        <v>31</v>
      </c>
      <c r="E63">
        <v>13689</v>
      </c>
      <c r="F63">
        <f>oktober2025!E63</f>
        <v>13308</v>
      </c>
      <c r="G63">
        <f>Tabel2425678910111213141517161819212022232614151819202122[[#This Row],[Stand Coffee einde maand]]-Tabel2425678910111213141517161819212022232614151819202122[[#This Row],[Coffee vorige maand]]</f>
        <v>381</v>
      </c>
      <c r="H63" s="53">
        <v>1789</v>
      </c>
      <c r="I63">
        <f>oktober2025!H63</f>
        <v>1756</v>
      </c>
      <c r="J63">
        <f>Tabel2425678910111213141517161819212022232614151819202122[[#This Row],[Stand Espresso Einde maand]]-Tabel2425678910111213141517161819212022232614151819202122[[#This Row],[Espresso vorige maand]]</f>
        <v>33</v>
      </c>
      <c r="K63" s="53">
        <v>1195</v>
      </c>
      <c r="L63">
        <f>oktober2025!K63</f>
        <v>1179</v>
      </c>
      <c r="M63">
        <f>Tabel2425678910111213141517161819212022232614151819202122[[#This Row],[Stand Latte Macchiato einde maand]]-Tabel2425678910111213141517161819212022232614151819202122[[#This Row],[Latte Macchiato vorige maand]]</f>
        <v>16</v>
      </c>
      <c r="N63" s="53">
        <v>542</v>
      </c>
      <c r="O63">
        <f>oktober2025!N63</f>
        <v>542</v>
      </c>
      <c r="P63">
        <f>Tabel2425678910111213141517161819212022232614151819202122[[#This Row],[Stand Coffee Latte einde maand]]-Tabel2425678910111213141517161819212022232614151819202122[[#This Row],[Coffee Latte vorige maand]]</f>
        <v>0</v>
      </c>
      <c r="Q63" s="53">
        <v>11945</v>
      </c>
      <c r="R63">
        <f>oktober2025!Q63</f>
        <v>11613</v>
      </c>
      <c r="S63">
        <f>Tabel2425678910111213141517161819212022232614151819202122[[#This Row],[Stand Hot Water einde maand]]-Tabel2425678910111213141517161819212022232614151819202122[[#This Row],[Hot Water vorige maand]]</f>
        <v>332</v>
      </c>
      <c r="T63" s="53">
        <v>4708</v>
      </c>
      <c r="U63">
        <f>oktober2025!T63</f>
        <v>4615</v>
      </c>
      <c r="V63">
        <f>Tabel2425678910111213141517161819212022232614151819202122[[#This Row],[Stand Cappucino einde maand]]-Tabel2425678910111213141517161819212022232614151819202122[[#This Row],[Stand Cappucino vorige maand]]</f>
        <v>93</v>
      </c>
      <c r="W63" s="53">
        <v>65</v>
      </c>
      <c r="X63">
        <f>oktober2025!W63</f>
        <v>63</v>
      </c>
      <c r="Y63">
        <f>Tabel2425678910111213141517161819212022232614151819202122[[#This Row],[Stand Cappucino Plantaardig einde maand]]-Tabel2425678910111213141517161819212022232614151819202122[[#This Row],[Stand Cappucino Plantaardig vorige maand]]</f>
        <v>2</v>
      </c>
      <c r="Z63" s="53">
        <v>256</v>
      </c>
      <c r="AA63">
        <f>oktober2025!Z63</f>
        <v>256</v>
      </c>
      <c r="AB63">
        <f>Tabel2425678910111213141517161819212022232614151819202122[[#This Row],[Stand Latte Macchiato Plantaardig einde maand]]-Tabel2425678910111213141517161819212022232614151819202122[[#This Row],[Stand Latte Macchiato Plantaardig vorige maand]]</f>
        <v>0</v>
      </c>
      <c r="AC63" s="71">
        <f>Tabel2425678910111213141517161819212022232614151819202122[[#This Row],[Verbruik Stand Latte Macchiato Plantaardig deze maand]]+Tabel2425678910111213141517161819212022232614151819202122[[#This Row],[Verbruik  Cappucino Plantaardig deze maand]]+Tabel2425678910111213141517161819212022232614151819202122[[#This Row],[Verbruik Cappucino deze maand]]+Tabel2425678910111213141517161819212022232614151819202122[[#This Row],[Verbruik Hot Water deze maand]]+Tabel2425678910111213141517161819212022232614151819202122[[#This Row],[Verbruik Coffee Latte deze maand]]+Tabel2425678910111213141517161819212022232614151819202122[[#This Row],[Verbruik Latte Macchiato deze maand]]+Tabel2425678910111213141517161819212022232614151819202122[[#This Row],[Verbruik Espresso deze maand]]+Tabel2425678910111213141517161819212022232614151819202122[[#This Row],[Verbruik Coffee deze maand]]</f>
        <v>857</v>
      </c>
      <c r="AD63" s="69"/>
      <c r="AE63" s="41"/>
      <c r="AF63" s="5"/>
      <c r="AG63" s="5"/>
      <c r="AH63" s="69"/>
      <c r="AI63" s="41"/>
      <c r="AJ63" s="5"/>
      <c r="AK63" s="5"/>
      <c r="AL63" s="69"/>
      <c r="AM63" s="41"/>
      <c r="AN63" s="5"/>
      <c r="AO63" s="5"/>
      <c r="AP63" s="69"/>
      <c r="AQ63" s="41"/>
      <c r="AR63" s="5"/>
      <c r="AS63" s="5"/>
      <c r="AT63" s="69"/>
      <c r="AU63" s="41"/>
      <c r="AV63" s="5"/>
      <c r="AW63" s="7"/>
      <c r="AX63" s="78"/>
      <c r="AY63" s="95">
        <f>Tabel2425678910111213141517161819212022232614151819202122[[#This Row],[Subtotaal waterbar in consumpties]]+Tabel2425678910111213141517161819212022232614151819202122[[#This Row],[Subtotaal koffieautomaten]]</f>
        <v>857</v>
      </c>
    </row>
    <row r="64" spans="1:130" x14ac:dyDescent="0.25">
      <c r="A64" s="67">
        <v>1</v>
      </c>
      <c r="B64" t="s">
        <v>111</v>
      </c>
      <c r="C64" t="s">
        <v>31</v>
      </c>
      <c r="E64">
        <v>14134</v>
      </c>
      <c r="F64">
        <f>oktober2025!E64</f>
        <v>13782</v>
      </c>
      <c r="G64">
        <f>Tabel2425678910111213141517161819212022232614151819202122[[#This Row],[Stand Coffee einde maand]]-Tabel2425678910111213141517161819212022232614151819202122[[#This Row],[Coffee vorige maand]]</f>
        <v>352</v>
      </c>
      <c r="H64" s="53">
        <v>767</v>
      </c>
      <c r="I64">
        <f>oktober2025!H64</f>
        <v>751</v>
      </c>
      <c r="J64">
        <f>Tabel2425678910111213141517161819212022232614151819202122[[#This Row],[Stand Espresso Einde maand]]-Tabel2425678910111213141517161819212022232614151819202122[[#This Row],[Espresso vorige maand]]</f>
        <v>16</v>
      </c>
      <c r="K64" s="53">
        <v>2364</v>
      </c>
      <c r="L64">
        <f>oktober2025!K64</f>
        <v>2330</v>
      </c>
      <c r="M64">
        <f>Tabel2425678910111213141517161819212022232614151819202122[[#This Row],[Stand Latte Macchiato einde maand]]-Tabel2425678910111213141517161819212022232614151819202122[[#This Row],[Latte Macchiato vorige maand]]</f>
        <v>34</v>
      </c>
      <c r="N64" s="53">
        <v>1350</v>
      </c>
      <c r="O64">
        <f>oktober2025!N64</f>
        <v>1347</v>
      </c>
      <c r="P64">
        <f>Tabel2425678910111213141517161819212022232614151819202122[[#This Row],[Stand Coffee Latte einde maand]]-Tabel2425678910111213141517161819212022232614151819202122[[#This Row],[Coffee Latte vorige maand]]</f>
        <v>3</v>
      </c>
      <c r="Q64" s="53">
        <v>11501</v>
      </c>
      <c r="R64">
        <f>oktober2025!Q64</f>
        <v>11190</v>
      </c>
      <c r="S64">
        <f>Tabel2425678910111213141517161819212022232614151819202122[[#This Row],[Stand Hot Water einde maand]]-Tabel2425678910111213141517161819212022232614151819202122[[#This Row],[Hot Water vorige maand]]</f>
        <v>311</v>
      </c>
      <c r="T64" s="53">
        <v>4326</v>
      </c>
      <c r="U64">
        <f>oktober2025!T64</f>
        <v>4233</v>
      </c>
      <c r="V64">
        <f>Tabel2425678910111213141517161819212022232614151819202122[[#This Row],[Stand Cappucino einde maand]]-Tabel2425678910111213141517161819212022232614151819202122[[#This Row],[Stand Cappucino vorige maand]]</f>
        <v>93</v>
      </c>
      <c r="W64" s="53">
        <v>305</v>
      </c>
      <c r="X64">
        <f>oktober2025!W64</f>
        <v>299</v>
      </c>
      <c r="Y64">
        <f>Tabel2425678910111213141517161819212022232614151819202122[[#This Row],[Stand Cappucino Plantaardig einde maand]]-Tabel2425678910111213141517161819212022232614151819202122[[#This Row],[Stand Cappucino Plantaardig vorige maand]]</f>
        <v>6</v>
      </c>
      <c r="Z64" s="53">
        <v>347</v>
      </c>
      <c r="AA64">
        <f>oktober2025!Z64</f>
        <v>344</v>
      </c>
      <c r="AB64">
        <f>Tabel2425678910111213141517161819212022232614151819202122[[#This Row],[Stand Latte Macchiato Plantaardig einde maand]]-Tabel2425678910111213141517161819212022232614151819202122[[#This Row],[Stand Latte Macchiato Plantaardig vorige maand]]</f>
        <v>3</v>
      </c>
      <c r="AC64" s="71">
        <f>Tabel2425678910111213141517161819212022232614151819202122[[#This Row],[Verbruik Stand Latte Macchiato Plantaardig deze maand]]+Tabel2425678910111213141517161819212022232614151819202122[[#This Row],[Verbruik  Cappucino Plantaardig deze maand]]+Tabel2425678910111213141517161819212022232614151819202122[[#This Row],[Verbruik Cappucino deze maand]]+Tabel2425678910111213141517161819212022232614151819202122[[#This Row],[Verbruik Hot Water deze maand]]+Tabel2425678910111213141517161819212022232614151819202122[[#This Row],[Verbruik Coffee Latte deze maand]]+Tabel2425678910111213141517161819212022232614151819202122[[#This Row],[Verbruik Latte Macchiato deze maand]]+Tabel2425678910111213141517161819212022232614151819202122[[#This Row],[Verbruik Espresso deze maand]]+Tabel2425678910111213141517161819212022232614151819202122[[#This Row],[Verbruik Coffee deze maand]]</f>
        <v>818</v>
      </c>
      <c r="AD64" s="69"/>
      <c r="AE64" s="41"/>
      <c r="AF64" s="5"/>
      <c r="AG64" s="5"/>
      <c r="AH64" s="69"/>
      <c r="AI64" s="41"/>
      <c r="AJ64" s="5"/>
      <c r="AK64" s="5"/>
      <c r="AL64" s="69"/>
      <c r="AM64" s="41"/>
      <c r="AN64" s="5"/>
      <c r="AO64" s="5"/>
      <c r="AP64" s="69"/>
      <c r="AQ64" s="41"/>
      <c r="AR64" s="5"/>
      <c r="AS64" s="5"/>
      <c r="AT64" s="69"/>
      <c r="AU64" s="41"/>
      <c r="AV64" s="5"/>
      <c r="AW64" s="7"/>
      <c r="AX64" s="78"/>
      <c r="AY64" s="95">
        <f>Tabel2425678910111213141517161819212022232614151819202122[[#This Row],[Subtotaal waterbar in consumpties]]+Tabel2425678910111213141517161819212022232614151819202122[[#This Row],[Subtotaal koffieautomaten]]</f>
        <v>818</v>
      </c>
    </row>
    <row r="65" spans="1:53" x14ac:dyDescent="0.25">
      <c r="A65" s="66" t="s">
        <v>112</v>
      </c>
      <c r="E65" s="3">
        <f>SUM(E5:E64)</f>
        <v>868226</v>
      </c>
      <c r="F65" s="3">
        <f>SUM(F5:F64)</f>
        <v>840802</v>
      </c>
      <c r="G65" s="3">
        <f>SUM(G4:G64)</f>
        <v>27424</v>
      </c>
      <c r="H65" s="55">
        <f>SUM(H5:H64)</f>
        <v>230119</v>
      </c>
      <c r="I65" s="3">
        <f>SUM(I5:I64)</f>
        <v>221838</v>
      </c>
      <c r="J65" s="3">
        <f>SUM(J4:J64)</f>
        <v>8281</v>
      </c>
      <c r="K65" s="55">
        <f>SUM(K5:K64)</f>
        <v>98969</v>
      </c>
      <c r="L65" s="3">
        <f>SUM(L5:L64)</f>
        <v>96433</v>
      </c>
      <c r="M65" s="3">
        <f>SUM(M4:M64)</f>
        <v>2536</v>
      </c>
      <c r="N65" s="55">
        <f>SUM(N5:N64)</f>
        <v>59719</v>
      </c>
      <c r="O65" s="3">
        <f>SUM(O5:O64)</f>
        <v>57870</v>
      </c>
      <c r="P65" s="3">
        <f>SUM(P4:P64)</f>
        <v>1849</v>
      </c>
      <c r="Q65" s="55">
        <f>SUM(Q5:Q64)</f>
        <v>1046157</v>
      </c>
      <c r="R65" s="3">
        <f>SUM(R5:R64)</f>
        <v>1010273</v>
      </c>
      <c r="S65" s="3">
        <f>SUM(S4:S64)</f>
        <v>35884</v>
      </c>
      <c r="T65" s="55">
        <f>SUM(T5:T64)</f>
        <v>461790</v>
      </c>
      <c r="U65" s="3">
        <f>SUM(U5:U64)</f>
        <v>449031</v>
      </c>
      <c r="V65" s="3">
        <f>SUM(V4:V64)</f>
        <v>12759</v>
      </c>
      <c r="W65" s="55">
        <f>SUM(W5:W64)</f>
        <v>82480</v>
      </c>
      <c r="X65" s="3">
        <f>SUM(X5:X64)</f>
        <v>80423</v>
      </c>
      <c r="Y65" s="3">
        <f>SUM(Y4:Y64)</f>
        <v>2057</v>
      </c>
      <c r="Z65" s="55">
        <f>SUM(Z5:Z64)</f>
        <v>31125</v>
      </c>
      <c r="AA65" s="3">
        <f>SUM(AA5:AA64)</f>
        <v>30124</v>
      </c>
      <c r="AB65" s="3">
        <f t="shared" ref="AB65:AQ65" si="0">SUM(AB4:AB64)</f>
        <v>1001</v>
      </c>
      <c r="AC65" s="71">
        <f t="shared" si="0"/>
        <v>91791</v>
      </c>
      <c r="AD65" s="55">
        <f t="shared" si="0"/>
        <v>6851.9000000000005</v>
      </c>
      <c r="AE65" s="3">
        <f t="shared" si="0"/>
        <v>6285.4999999999991</v>
      </c>
      <c r="AF65" s="4">
        <f t="shared" si="0"/>
        <v>566.39999999999986</v>
      </c>
      <c r="AG65" s="4">
        <f t="shared" si="0"/>
        <v>3775.9999999999995</v>
      </c>
      <c r="AH65" s="76"/>
      <c r="AI65" s="4">
        <f t="shared" si="0"/>
        <v>38149.399999999994</v>
      </c>
      <c r="AJ65" s="4">
        <f t="shared" si="0"/>
        <v>3302.4000000000005</v>
      </c>
      <c r="AK65" s="4">
        <f t="shared" si="0"/>
        <v>22016</v>
      </c>
      <c r="AL65" s="76">
        <f t="shared" si="0"/>
        <v>27826.500000000007</v>
      </c>
      <c r="AM65" s="4">
        <f t="shared" si="0"/>
        <v>25786.899999999994</v>
      </c>
      <c r="AN65" s="4">
        <f t="shared" si="0"/>
        <v>2039.599999999999</v>
      </c>
      <c r="AO65" s="4">
        <f t="shared" si="0"/>
        <v>13597.333333333328</v>
      </c>
      <c r="AP65" s="76">
        <f t="shared" si="0"/>
        <v>11029.6</v>
      </c>
      <c r="AQ65" s="4">
        <f t="shared" si="0"/>
        <v>10229.500000000004</v>
      </c>
      <c r="AR65" s="3">
        <f>SUM(AR5:AR64)</f>
        <v>800.09999999999991</v>
      </c>
      <c r="AS65" s="4">
        <f>SUM(AS4:AS64)</f>
        <v>5334.0000000000009</v>
      </c>
      <c r="AT65" s="76">
        <f>SUM(AT4:AT64)</f>
        <v>82812.400000000023</v>
      </c>
      <c r="AU65" s="4">
        <f>SUM(AU4:AU64)</f>
        <v>75149.3</v>
      </c>
      <c r="AV65" s="3">
        <f>SUM(AV5:AV64)</f>
        <v>7663.0999999999995</v>
      </c>
      <c r="AW65" s="4">
        <f>SUM(AW4:AW64)</f>
        <v>51087.333333333328</v>
      </c>
      <c r="AX65" s="77">
        <f>SUM(AX4:AX64)</f>
        <v>95810.666666666686</v>
      </c>
      <c r="AY65" s="95">
        <f>Tabel2425678910111213141517161819212022232614151819202122[[#This Row],[Subtotaal waterbar in consumpties]]+Tabel2425678910111213141517161819212022232614151819202122[[#This Row],[Subtotaal koffieautomaten]]</f>
        <v>187601.66666666669</v>
      </c>
    </row>
    <row r="66" spans="1:53" x14ac:dyDescent="0.25">
      <c r="A66" s="91"/>
      <c r="B66" s="57"/>
      <c r="C66" s="57"/>
      <c r="D66" s="58"/>
      <c r="E66" s="57"/>
      <c r="F66" s="57"/>
      <c r="G66" s="57"/>
      <c r="H66" s="56"/>
      <c r="I66" s="57"/>
      <c r="J66" s="57"/>
      <c r="K66" s="56"/>
      <c r="L66" s="57"/>
      <c r="M66" s="57"/>
      <c r="N66" s="56"/>
      <c r="O66" s="57"/>
      <c r="P66" s="57"/>
      <c r="Q66" s="56"/>
      <c r="R66" s="57"/>
      <c r="S66" s="57"/>
      <c r="T66" s="56"/>
      <c r="U66" s="57"/>
      <c r="V66" s="57"/>
      <c r="W66" s="56"/>
      <c r="X66" s="57"/>
      <c r="Y66" s="57"/>
      <c r="Z66" s="56"/>
      <c r="AA66" s="57"/>
      <c r="AB66" s="57"/>
      <c r="AC66" s="90"/>
      <c r="AD66" s="56"/>
      <c r="AE66" s="57"/>
      <c r="AF66" s="57"/>
      <c r="AG66" s="57"/>
      <c r="AH66" s="56"/>
      <c r="AI66" s="57"/>
      <c r="AJ66" s="57"/>
      <c r="AK66" s="57"/>
      <c r="AL66" s="56"/>
      <c r="AM66" s="57"/>
      <c r="AN66" s="57"/>
      <c r="AO66" s="57"/>
      <c r="AP66" s="56"/>
      <c r="AQ66" s="57"/>
      <c r="AR66" s="57"/>
      <c r="AS66" s="57"/>
      <c r="AT66" s="56"/>
      <c r="AU66" s="57"/>
      <c r="AV66" s="57"/>
      <c r="AW66" s="57"/>
      <c r="AX66" s="92"/>
      <c r="AY66" s="96"/>
    </row>
    <row r="67" spans="1:53" x14ac:dyDescent="0.25">
      <c r="A67"/>
      <c r="D67"/>
      <c r="K67"/>
      <c r="N67"/>
      <c r="Q67"/>
      <c r="T67"/>
      <c r="W67"/>
      <c r="Z67"/>
      <c r="AC67"/>
      <c r="AD67"/>
      <c r="AH67"/>
      <c r="AL67"/>
      <c r="AP67"/>
      <c r="AT67"/>
      <c r="AX67"/>
      <c r="AY67"/>
    </row>
    <row r="68" spans="1:53" x14ac:dyDescent="0.25">
      <c r="A68"/>
      <c r="D68"/>
      <c r="K68"/>
      <c r="N68"/>
      <c r="Q68"/>
      <c r="T68"/>
      <c r="W68"/>
      <c r="Z68"/>
      <c r="AC68"/>
      <c r="AD68"/>
      <c r="AH68"/>
      <c r="AL68"/>
      <c r="AP68"/>
      <c r="AT68"/>
      <c r="AX68"/>
      <c r="AY68" s="2"/>
      <c r="AZ68" s="2"/>
    </row>
    <row r="69" spans="1:53" x14ac:dyDescent="0.25">
      <c r="A69" s="49"/>
      <c r="B69" t="s">
        <v>166</v>
      </c>
      <c r="D69"/>
      <c r="K69"/>
      <c r="N69"/>
      <c r="Q69"/>
      <c r="T69"/>
      <c r="W69"/>
      <c r="Z69"/>
      <c r="AC69"/>
      <c r="AD69"/>
      <c r="AH69"/>
      <c r="AL69"/>
      <c r="AP69"/>
      <c r="AT69"/>
      <c r="AX69"/>
      <c r="AY69" s="4"/>
      <c r="AZ69" s="4"/>
      <c r="BA69" s="48"/>
    </row>
    <row r="70" spans="1:53" x14ac:dyDescent="0.25">
      <c r="A70" s="50"/>
      <c r="B70" t="s">
        <v>167</v>
      </c>
      <c r="D70"/>
      <c r="K70"/>
      <c r="N70"/>
      <c r="Q70"/>
      <c r="T70"/>
      <c r="W70"/>
      <c r="Z70"/>
      <c r="AC70"/>
      <c r="AD70"/>
      <c r="AH70"/>
      <c r="AL70"/>
      <c r="AP70"/>
      <c r="AT70"/>
      <c r="AX70"/>
      <c r="AY70" s="3"/>
      <c r="AZ70" s="4"/>
      <c r="BA70" s="48"/>
    </row>
    <row r="71" spans="1:53" x14ac:dyDescent="0.25">
      <c r="A71"/>
      <c r="D71"/>
      <c r="K71"/>
      <c r="N71"/>
      <c r="Q71"/>
      <c r="T71"/>
      <c r="W71"/>
      <c r="Z71"/>
      <c r="AC71"/>
      <c r="AD71"/>
      <c r="AH71"/>
      <c r="AL71"/>
      <c r="AP71"/>
      <c r="AT71"/>
      <c r="AX71"/>
      <c r="AY71"/>
      <c r="AZ71" s="2"/>
    </row>
    <row r="72" spans="1:53" x14ac:dyDescent="0.25">
      <c r="A72"/>
      <c r="D72"/>
      <c r="K72"/>
      <c r="N72"/>
      <c r="Q72"/>
      <c r="T72"/>
      <c r="W72"/>
      <c r="Z72"/>
      <c r="AC72"/>
      <c r="AD72"/>
      <c r="AH72"/>
      <c r="AL72"/>
      <c r="AP72"/>
      <c r="AT72"/>
      <c r="AX72"/>
      <c r="AY72"/>
    </row>
    <row r="73" spans="1:53" x14ac:dyDescent="0.25">
      <c r="A73"/>
      <c r="D73"/>
      <c r="K73"/>
      <c r="N73"/>
      <c r="Q73"/>
      <c r="T73"/>
      <c r="W73"/>
      <c r="Z73"/>
      <c r="AC73"/>
      <c r="AD73"/>
      <c r="AH73"/>
      <c r="AL73"/>
      <c r="AP73"/>
      <c r="AT73"/>
      <c r="AX73"/>
      <c r="AY73"/>
    </row>
    <row r="74" spans="1:53" x14ac:dyDescent="0.25">
      <c r="A74"/>
      <c r="D74"/>
      <c r="K74"/>
      <c r="N74"/>
      <c r="Q74"/>
      <c r="T74"/>
      <c r="W74"/>
      <c r="Z74"/>
      <c r="AC74"/>
      <c r="AD74"/>
      <c r="AH74"/>
      <c r="AL74"/>
      <c r="AP74"/>
      <c r="AT74"/>
      <c r="AX74"/>
      <c r="AY74"/>
    </row>
    <row r="75" spans="1:53" x14ac:dyDescent="0.25">
      <c r="A75"/>
      <c r="D75"/>
      <c r="K75"/>
      <c r="N75"/>
      <c r="Q75"/>
      <c r="T75"/>
      <c r="W75"/>
      <c r="Z75"/>
      <c r="AC75"/>
      <c r="AD75"/>
      <c r="AH75"/>
      <c r="AL75"/>
      <c r="AP75"/>
      <c r="AT75"/>
      <c r="AX75"/>
      <c r="AY75"/>
    </row>
    <row r="76" spans="1:53" x14ac:dyDescent="0.25">
      <c r="A76"/>
      <c r="D76"/>
      <c r="K76"/>
      <c r="N76"/>
      <c r="Q76"/>
      <c r="T76"/>
      <c r="W76"/>
      <c r="Z76"/>
      <c r="AC76"/>
      <c r="AD76"/>
      <c r="AH76"/>
      <c r="AL76"/>
      <c r="AP76"/>
      <c r="AT76"/>
      <c r="AX76"/>
      <c r="AY76"/>
    </row>
    <row r="77" spans="1:53" x14ac:dyDescent="0.25">
      <c r="A77"/>
      <c r="D77"/>
      <c r="K77"/>
      <c r="N77"/>
      <c r="Q77"/>
      <c r="T77"/>
      <c r="W77"/>
      <c r="Z77"/>
      <c r="AC77"/>
      <c r="AD77"/>
      <c r="AH77"/>
      <c r="AL77"/>
      <c r="AP77"/>
      <c r="AT77"/>
      <c r="AX77"/>
      <c r="AY77"/>
    </row>
    <row r="78" spans="1:53" x14ac:dyDescent="0.25">
      <c r="A78"/>
      <c r="D78"/>
      <c r="K78"/>
      <c r="N78"/>
      <c r="Q78"/>
      <c r="T78"/>
      <c r="W78"/>
      <c r="Z78"/>
      <c r="AC78"/>
      <c r="AD78"/>
      <c r="AH78"/>
      <c r="AL78"/>
      <c r="AP78"/>
      <c r="AT78"/>
      <c r="AX78"/>
      <c r="AY78"/>
    </row>
    <row r="79" spans="1:53" x14ac:dyDescent="0.25">
      <c r="A79"/>
      <c r="D79"/>
      <c r="K79"/>
      <c r="N79"/>
      <c r="Q79"/>
      <c r="T79"/>
      <c r="W79"/>
      <c r="Z79"/>
      <c r="AC79"/>
      <c r="AD79"/>
      <c r="AH79"/>
      <c r="AL79"/>
      <c r="AP79"/>
      <c r="AT79"/>
      <c r="AX79"/>
      <c r="AY79"/>
    </row>
    <row r="80" spans="1:53" x14ac:dyDescent="0.25">
      <c r="A80"/>
      <c r="D80"/>
      <c r="K80"/>
      <c r="N80"/>
      <c r="Q80"/>
      <c r="T80"/>
      <c r="W80"/>
      <c r="Z80"/>
      <c r="AC80"/>
      <c r="AD80"/>
      <c r="AH80"/>
      <c r="AL80"/>
      <c r="AP80"/>
      <c r="AT80"/>
      <c r="AX80"/>
      <c r="AY80"/>
    </row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</sheetData>
  <mergeCells count="2">
    <mergeCell ref="E1:AC1"/>
    <mergeCell ref="AD1:AY1"/>
  </mergeCells>
  <pageMargins left="0.7" right="0.7" top="0.75" bottom="0.75" header="0.3" footer="0.3"/>
  <legacyDrawing r:id="rId1"/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04F10-3253-4C4E-A160-D4C97343A471}">
  <dimension ref="A1:DZ147"/>
  <sheetViews>
    <sheetView tabSelected="1" topLeftCell="AP1" zoomScale="120" zoomScaleNormal="120" zoomScaleSheetLayoutView="80" workbookViewId="0">
      <pane ySplit="2" topLeftCell="A45" activePane="bottomLeft" state="frozen"/>
      <selection pane="bottomLeft" activeCell="AZ46" sqref="AZ46"/>
    </sheetView>
  </sheetViews>
  <sheetFormatPr defaultRowHeight="15" x14ac:dyDescent="0.25"/>
  <cols>
    <col min="1" max="1" width="32.140625" style="65" bestFit="1" customWidth="1"/>
    <col min="2" max="2" width="21.42578125" bestFit="1" customWidth="1"/>
    <col min="3" max="3" width="25.42578125" bestFit="1" customWidth="1"/>
    <col min="4" max="4" width="18.5703125" style="52" hidden="1" customWidth="1"/>
    <col min="5" max="5" width="10.140625" customWidth="1"/>
    <col min="6" max="6" width="10.42578125" customWidth="1"/>
    <col min="7" max="7" width="10.5703125" customWidth="1"/>
    <col min="8" max="8" width="11.85546875" customWidth="1"/>
    <col min="9" max="9" width="11.7109375" customWidth="1"/>
    <col min="10" max="10" width="12.42578125" customWidth="1"/>
    <col min="11" max="11" width="17.140625" style="53" customWidth="1"/>
    <col min="12" max="12" width="13.5703125" customWidth="1"/>
    <col min="13" max="13" width="13.42578125" bestFit="1" customWidth="1"/>
    <col min="14" max="14" width="14" style="53" customWidth="1"/>
    <col min="15" max="16" width="14" customWidth="1"/>
    <col min="17" max="17" width="14.140625" style="53" customWidth="1"/>
    <col min="18" max="19" width="12.28515625" customWidth="1"/>
    <col min="20" max="20" width="12.42578125" style="53" customWidth="1"/>
    <col min="21" max="22" width="12.42578125" customWidth="1"/>
    <col min="23" max="23" width="17" style="53" customWidth="1"/>
    <col min="24" max="25" width="17" customWidth="1"/>
    <col min="26" max="26" width="20.7109375" style="53" customWidth="1"/>
    <col min="27" max="28" width="20.7109375" customWidth="1"/>
    <col min="29" max="29" width="14.7109375" style="74" customWidth="1"/>
    <col min="30" max="30" width="17.5703125" style="53" customWidth="1"/>
    <col min="31" max="32" width="17.5703125" customWidth="1"/>
    <col min="33" max="33" width="20.28515625" customWidth="1"/>
    <col min="34" max="34" width="14.42578125" style="53" customWidth="1"/>
    <col min="35" max="36" width="14.42578125" customWidth="1"/>
    <col min="37" max="37" width="21.28515625" customWidth="1"/>
    <col min="38" max="38" width="15.140625" style="53" customWidth="1"/>
    <col min="39" max="40" width="15.140625" customWidth="1"/>
    <col min="41" max="41" width="21.28515625" customWidth="1"/>
    <col min="42" max="42" width="19.42578125" style="53" customWidth="1"/>
    <col min="43" max="44" width="19.42578125" customWidth="1"/>
    <col min="45" max="45" width="21.28515625" customWidth="1"/>
    <col min="46" max="46" width="17" style="53" customWidth="1"/>
    <col min="47" max="48" width="17" customWidth="1"/>
    <col min="49" max="49" width="21.28515625" customWidth="1"/>
    <col min="50" max="50" width="20" style="74" customWidth="1"/>
    <col min="51" max="51" width="23.5703125" style="68" bestFit="1" customWidth="1"/>
    <col min="52" max="52" width="10" bestFit="1" customWidth="1"/>
    <col min="53" max="53" width="14.28515625" bestFit="1" customWidth="1"/>
    <col min="57" max="57" width="11.28515625" bestFit="1" customWidth="1"/>
  </cols>
  <sheetData>
    <row r="1" spans="1:130" ht="14.45" customHeight="1" x14ac:dyDescent="0.25">
      <c r="A1" s="61" t="s">
        <v>0</v>
      </c>
      <c r="B1" s="62"/>
      <c r="C1" s="62"/>
      <c r="D1" s="63"/>
      <c r="E1" s="174" t="s">
        <v>1</v>
      </c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3" t="s">
        <v>2</v>
      </c>
      <c r="AE1" s="174"/>
      <c r="AF1" s="174"/>
      <c r="AG1" s="174"/>
      <c r="AH1" s="174"/>
      <c r="AI1" s="174"/>
      <c r="AJ1" s="174"/>
      <c r="AK1" s="174"/>
      <c r="AL1" s="174"/>
      <c r="AM1" s="174"/>
      <c r="AN1" s="174"/>
      <c r="AO1" s="174"/>
      <c r="AP1" s="174"/>
      <c r="AQ1" s="174"/>
      <c r="AR1" s="174"/>
      <c r="AS1" s="174"/>
      <c r="AT1" s="174"/>
      <c r="AU1" s="174"/>
      <c r="AV1" s="174"/>
      <c r="AW1" s="174"/>
      <c r="AX1" s="174"/>
      <c r="AY1" s="174"/>
    </row>
    <row r="2" spans="1:130" ht="120" customHeight="1" x14ac:dyDescent="0.25">
      <c r="A2" s="65" t="s">
        <v>3</v>
      </c>
      <c r="B2" t="s">
        <v>4</v>
      </c>
      <c r="C2" t="s">
        <v>5</v>
      </c>
      <c r="D2" s="52" t="s">
        <v>6</v>
      </c>
      <c r="E2" s="1" t="s">
        <v>113</v>
      </c>
      <c r="F2" s="1" t="s">
        <v>114</v>
      </c>
      <c r="G2" s="60" t="s">
        <v>115</v>
      </c>
      <c r="H2" s="1" t="s">
        <v>116</v>
      </c>
      <c r="I2" s="1" t="s">
        <v>117</v>
      </c>
      <c r="J2" s="1" t="s">
        <v>118</v>
      </c>
      <c r="K2" s="59" t="s">
        <v>119</v>
      </c>
      <c r="L2" s="1" t="s">
        <v>120</v>
      </c>
      <c r="M2" s="1" t="s">
        <v>121</v>
      </c>
      <c r="N2" s="59" t="s">
        <v>122</v>
      </c>
      <c r="O2" s="1" t="s">
        <v>123</v>
      </c>
      <c r="P2" s="1" t="s">
        <v>124</v>
      </c>
      <c r="Q2" s="59" t="s">
        <v>125</v>
      </c>
      <c r="R2" s="1" t="s">
        <v>126</v>
      </c>
      <c r="S2" s="1" t="s">
        <v>127</v>
      </c>
      <c r="T2" s="59" t="s">
        <v>128</v>
      </c>
      <c r="U2" s="1" t="s">
        <v>129</v>
      </c>
      <c r="V2" s="1" t="s">
        <v>130</v>
      </c>
      <c r="W2" s="59" t="s">
        <v>131</v>
      </c>
      <c r="X2" s="1" t="s">
        <v>132</v>
      </c>
      <c r="Y2" s="1" t="s">
        <v>133</v>
      </c>
      <c r="Z2" s="59" t="s">
        <v>134</v>
      </c>
      <c r="AA2" s="1" t="s">
        <v>135</v>
      </c>
      <c r="AB2" s="1" t="s">
        <v>136</v>
      </c>
      <c r="AC2" s="70" t="s">
        <v>15</v>
      </c>
      <c r="AD2" s="59" t="s">
        <v>137</v>
      </c>
      <c r="AE2" s="1" t="s">
        <v>138</v>
      </c>
      <c r="AF2" s="1" t="s">
        <v>139</v>
      </c>
      <c r="AG2" s="1" t="s">
        <v>140</v>
      </c>
      <c r="AH2" s="59" t="s">
        <v>141</v>
      </c>
      <c r="AI2" s="1" t="s">
        <v>142</v>
      </c>
      <c r="AJ2" s="1" t="s">
        <v>143</v>
      </c>
      <c r="AK2" s="1" t="s">
        <v>144</v>
      </c>
      <c r="AL2" s="59" t="s">
        <v>145</v>
      </c>
      <c r="AM2" s="1" t="s">
        <v>146</v>
      </c>
      <c r="AN2" s="1" t="s">
        <v>147</v>
      </c>
      <c r="AO2" s="1" t="s">
        <v>148</v>
      </c>
      <c r="AP2" s="59" t="s">
        <v>149</v>
      </c>
      <c r="AQ2" s="1" t="s">
        <v>150</v>
      </c>
      <c r="AR2" s="1" t="s">
        <v>151</v>
      </c>
      <c r="AS2" s="1" t="s">
        <v>152</v>
      </c>
      <c r="AT2" s="59" t="s">
        <v>153</v>
      </c>
      <c r="AU2" s="1" t="s">
        <v>154</v>
      </c>
      <c r="AV2" s="1" t="s">
        <v>155</v>
      </c>
      <c r="AW2" s="1" t="s">
        <v>156</v>
      </c>
      <c r="AX2" s="70" t="s">
        <v>157</v>
      </c>
      <c r="AY2" s="93" t="s">
        <v>27</v>
      </c>
    </row>
    <row r="3" spans="1:130" s="146" customFormat="1" x14ac:dyDescent="0.25">
      <c r="A3" s="158" t="s">
        <v>168</v>
      </c>
      <c r="B3" s="147"/>
      <c r="C3" s="147"/>
      <c r="D3" s="159"/>
      <c r="E3" s="149"/>
      <c r="F3" s="147"/>
      <c r="G3" s="147"/>
      <c r="H3" s="149"/>
      <c r="I3" s="147"/>
      <c r="J3" s="147"/>
      <c r="K3" s="160"/>
      <c r="L3" s="147"/>
      <c r="M3" s="147"/>
      <c r="N3" s="160"/>
      <c r="O3" s="147"/>
      <c r="P3" s="147"/>
      <c r="Q3" s="160"/>
      <c r="R3" s="147"/>
      <c r="S3" s="147"/>
      <c r="T3" s="160"/>
      <c r="U3" s="147"/>
      <c r="V3" s="147"/>
      <c r="W3" s="160"/>
      <c r="X3" s="147"/>
      <c r="Y3" s="147"/>
      <c r="Z3" s="160"/>
      <c r="AA3" s="147"/>
      <c r="AB3" s="147"/>
      <c r="AC3" s="161"/>
      <c r="AD3" s="162"/>
      <c r="AE3" s="147"/>
      <c r="AF3" s="147"/>
      <c r="AG3" s="148"/>
      <c r="AH3" s="160"/>
      <c r="AI3" s="147"/>
      <c r="AJ3" s="147"/>
      <c r="AK3" s="148"/>
      <c r="AL3" s="160"/>
      <c r="AM3" s="147"/>
      <c r="AN3" s="147"/>
      <c r="AO3" s="148"/>
      <c r="AP3" s="160"/>
      <c r="AQ3" s="147"/>
      <c r="AR3" s="147"/>
      <c r="AS3" s="148"/>
      <c r="AT3" s="160"/>
      <c r="AU3" s="147"/>
      <c r="AV3" s="147"/>
      <c r="AW3" s="148"/>
      <c r="AX3" s="163"/>
      <c r="AY3" s="164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</row>
    <row r="4" spans="1:130" s="81" customFormat="1" ht="14.45" customHeight="1" x14ac:dyDescent="0.25">
      <c r="A4" s="80" t="s">
        <v>28</v>
      </c>
      <c r="D4" s="82"/>
      <c r="E4" s="83"/>
      <c r="H4" s="84"/>
      <c r="K4" s="84"/>
      <c r="N4" s="84"/>
      <c r="Q4" s="84"/>
      <c r="T4" s="84"/>
      <c r="W4" s="84"/>
      <c r="Z4" s="84"/>
      <c r="AC4" s="85"/>
      <c r="AD4" s="86"/>
      <c r="AG4" s="87"/>
      <c r="AH4" s="84"/>
      <c r="AK4" s="87"/>
      <c r="AL4" s="84"/>
      <c r="AO4" s="87"/>
      <c r="AP4" s="84"/>
      <c r="AS4" s="87"/>
      <c r="AT4" s="84"/>
      <c r="AW4" s="87"/>
      <c r="AX4" s="88"/>
      <c r="AY4" s="9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</row>
    <row r="5" spans="1:130" ht="14.45" customHeight="1" x14ac:dyDescent="0.25">
      <c r="A5" s="65" t="s">
        <v>29</v>
      </c>
      <c r="B5" t="s">
        <v>30</v>
      </c>
      <c r="C5" t="s">
        <v>31</v>
      </c>
      <c r="E5">
        <v>10470</v>
      </c>
      <c r="F5">
        <f>november2025!E5</f>
        <v>10371</v>
      </c>
      <c r="G5">
        <f>Tabel242567891011121314151716181921202223261415181920212224[[#This Row],[Stand Coffee einde maand]]-Tabel242567891011121314151716181921202223261415181920212224[[#This Row],[Coffee vorige maand]]</f>
        <v>99</v>
      </c>
      <c r="H5" s="53">
        <v>5021</v>
      </c>
      <c r="I5">
        <f>november2025!H5</f>
        <v>4855</v>
      </c>
      <c r="J5">
        <f>Tabel242567891011121314151716181921202223261415181920212224[[#This Row],[Stand Espresso Einde maand]]-Tabel242567891011121314151716181921202223261415181920212224[[#This Row],[Espresso vorige maand]]</f>
        <v>166</v>
      </c>
      <c r="K5" s="53">
        <v>2688</v>
      </c>
      <c r="L5">
        <f>november2025!K5</f>
        <v>2642</v>
      </c>
      <c r="M5">
        <f>Tabel242567891011121314151716181921202223261415181920212224[[#This Row],[Stand Latte Macchiato einde maand]]-Tabel242567891011121314151716181921202223261415181920212224[[#This Row],[Latte Macchiato vorige maand]]</f>
        <v>46</v>
      </c>
      <c r="N5" s="53">
        <v>1432</v>
      </c>
      <c r="O5">
        <f>november2025!N5</f>
        <v>1425</v>
      </c>
      <c r="P5">
        <f>Tabel242567891011121314151716181921202223261415181920212224[[#This Row],[Stand Coffee Latte einde maand]]-Tabel242567891011121314151716181921202223261415181920212224[[#This Row],[Coffee Latte vorige maand]]</f>
        <v>7</v>
      </c>
      <c r="Q5" s="53">
        <v>8591</v>
      </c>
      <c r="R5">
        <f>november2025!Q5</f>
        <v>8396</v>
      </c>
      <c r="S5">
        <f>Tabel242567891011121314151716181921202223261415181920212224[[#This Row],[Stand Hot Water einde maand]]-Tabel242567891011121314151716181921202223261415181920212224[[#This Row],[Hot Water vorige maand]]</f>
        <v>195</v>
      </c>
      <c r="T5" s="53">
        <v>10842</v>
      </c>
      <c r="U5">
        <f>november2025!T5</f>
        <v>10712</v>
      </c>
      <c r="V5">
        <f>Tabel242567891011121314151716181921202223261415181920212224[[#This Row],[Stand Cappucino einde maand]]-Tabel242567891011121314151716181921202223261415181920212224[[#This Row],[Stand Cappucino vorige maand]]</f>
        <v>130</v>
      </c>
      <c r="W5" s="53">
        <v>235</v>
      </c>
      <c r="X5">
        <f>november2025!W5</f>
        <v>233</v>
      </c>
      <c r="Y5">
        <f>Tabel242567891011121314151716181921202223261415181920212224[[#This Row],[Stand Cappucino Plantaardig einde maand]]-Tabel242567891011121314151716181921202223261415181920212224[[#This Row],[Stand Cappucino Plantaardig vorige maand]]</f>
        <v>2</v>
      </c>
      <c r="Z5" s="53">
        <v>383</v>
      </c>
      <c r="AA5">
        <f>november2025!Z5</f>
        <v>381</v>
      </c>
      <c r="AB5">
        <f>Tabel242567891011121314151716181921202223261415181920212224[[#This Row],[Stand Latte Macchiato Plantaardig einde maand]]-Tabel242567891011121314151716181921202223261415181920212224[[#This Row],[Stand Latte Macchiato Plantaardig vorige maand]]</f>
        <v>2</v>
      </c>
      <c r="AC5" s="71">
        <f>Tabel242567891011121314151716181921202223261415181920212224[[#This Row],[Verbruik Stand Latte Macchiato Plantaardig deze maand]]+Tabel242567891011121314151716181921202223261415181920212224[[#This Row],[Verbruik  Cappucino Plantaardig deze maand]]+Tabel242567891011121314151716181921202223261415181920212224[[#This Row],[Verbruik Cappucino deze maand]]+Tabel242567891011121314151716181921202223261415181920212224[[#This Row],[Verbruik Hot Water deze maand]]+Tabel242567891011121314151716181921202223261415181920212224[[#This Row],[Verbruik Coffee Latte deze maand]]+Tabel242567891011121314151716181921202223261415181920212224[[#This Row],[Verbruik Latte Macchiato deze maand]]+Tabel242567891011121314151716181921202223261415181920212224[[#This Row],[Verbruik Espresso deze maand]]+Tabel242567891011121314151716181921202223261415181920212224[[#This Row],[Verbruik Coffee deze maand]]</f>
        <v>647</v>
      </c>
      <c r="AD5" s="69"/>
      <c r="AE5" s="41"/>
      <c r="AF5" s="5"/>
      <c r="AG5" s="5"/>
      <c r="AH5" s="69"/>
      <c r="AI5" s="41"/>
      <c r="AJ5" s="5"/>
      <c r="AK5" s="5"/>
      <c r="AL5" s="69"/>
      <c r="AM5" s="41"/>
      <c r="AN5" s="5"/>
      <c r="AO5" s="5"/>
      <c r="AP5" s="69"/>
      <c r="AQ5" s="41"/>
      <c r="AR5" s="5"/>
      <c r="AS5" s="5"/>
      <c r="AT5" s="69"/>
      <c r="AU5" s="41"/>
      <c r="AV5" s="5"/>
      <c r="AW5" s="7"/>
      <c r="AX5" s="78"/>
      <c r="AY5" s="95">
        <f>Tabel242567891011121314151716181921202223261415181920212224[[#This Row],[Subtotaal waterbar in consumpties]]+Tabel242567891011121314151716181921202223261415181920212224[[#This Row],[Subtotaal koffieautomaten]]</f>
        <v>647</v>
      </c>
    </row>
    <row r="6" spans="1:130" ht="14.45" customHeight="1" x14ac:dyDescent="0.25">
      <c r="A6" s="65" t="s">
        <v>32</v>
      </c>
      <c r="B6" t="s">
        <v>33</v>
      </c>
      <c r="C6" t="s">
        <v>31</v>
      </c>
      <c r="E6">
        <v>16074</v>
      </c>
      <c r="F6">
        <f>november2025!E6</f>
        <v>15601</v>
      </c>
      <c r="G6">
        <f>Tabel242567891011121314151716181921202223261415181920212224[[#This Row],[Stand Coffee einde maand]]-Tabel242567891011121314151716181921202223261415181920212224[[#This Row],[Coffee vorige maand]]</f>
        <v>473</v>
      </c>
      <c r="H6" s="53">
        <v>4366</v>
      </c>
      <c r="I6">
        <f>november2025!H6</f>
        <v>4252</v>
      </c>
      <c r="J6">
        <f>Tabel242567891011121314151716181921202223261415181920212224[[#This Row],[Stand Espresso Einde maand]]-Tabel242567891011121314151716181921202223261415181920212224[[#This Row],[Espresso vorige maand]]</f>
        <v>114</v>
      </c>
      <c r="K6" s="53">
        <v>2979</v>
      </c>
      <c r="L6">
        <f>november2025!K6</f>
        <v>2901</v>
      </c>
      <c r="M6">
        <f>Tabel242567891011121314151716181921202223261415181920212224[[#This Row],[Stand Latte Macchiato einde maand]]-Tabel242567891011121314151716181921202223261415181920212224[[#This Row],[Latte Macchiato vorige maand]]</f>
        <v>78</v>
      </c>
      <c r="N6" s="53">
        <v>2261</v>
      </c>
      <c r="O6">
        <f>november2025!N6</f>
        <v>2243</v>
      </c>
      <c r="P6">
        <f>Tabel242567891011121314151716181921202223261415181920212224[[#This Row],[Stand Coffee Latte einde maand]]-Tabel242567891011121314151716181921202223261415181920212224[[#This Row],[Coffee Latte vorige maand]]</f>
        <v>18</v>
      </c>
      <c r="Q6" s="53">
        <v>35119</v>
      </c>
      <c r="R6">
        <f>november2025!Q6</f>
        <v>34325</v>
      </c>
      <c r="S6">
        <f>Tabel242567891011121314151716181921202223261415181920212224[[#This Row],[Stand Hot Water einde maand]]-Tabel242567891011121314151716181921202223261415181920212224[[#This Row],[Hot Water vorige maand]]</f>
        <v>794</v>
      </c>
      <c r="T6" s="53">
        <v>13977</v>
      </c>
      <c r="U6">
        <f>november2025!T6</f>
        <v>13800</v>
      </c>
      <c r="V6">
        <f>Tabel242567891011121314151716181921202223261415181920212224[[#This Row],[Stand Cappucino einde maand]]-Tabel242567891011121314151716181921202223261415181920212224[[#This Row],[Stand Cappucino vorige maand]]</f>
        <v>177</v>
      </c>
      <c r="W6" s="53">
        <v>2099</v>
      </c>
      <c r="X6">
        <f>november2025!W6</f>
        <v>2064</v>
      </c>
      <c r="Y6">
        <f>Tabel242567891011121314151716181921202223261415181920212224[[#This Row],[Stand Cappucino Plantaardig einde maand]]-Tabel242567891011121314151716181921202223261415181920212224[[#This Row],[Stand Cappucino Plantaardig vorige maand]]</f>
        <v>35</v>
      </c>
      <c r="Z6" s="53">
        <v>905</v>
      </c>
      <c r="AA6">
        <f>november2025!Z6</f>
        <v>877</v>
      </c>
      <c r="AB6">
        <f>Tabel242567891011121314151716181921202223261415181920212224[[#This Row],[Stand Latte Macchiato Plantaardig einde maand]]-Tabel242567891011121314151716181921202223261415181920212224[[#This Row],[Stand Latte Macchiato Plantaardig vorige maand]]</f>
        <v>28</v>
      </c>
      <c r="AC6" s="71">
        <f>Tabel242567891011121314151716181921202223261415181920212224[[#This Row],[Verbruik Stand Latte Macchiato Plantaardig deze maand]]+Tabel242567891011121314151716181921202223261415181920212224[[#This Row],[Verbruik  Cappucino Plantaardig deze maand]]+Tabel242567891011121314151716181921202223261415181920212224[[#This Row],[Verbruik Cappucino deze maand]]+Tabel242567891011121314151716181921202223261415181920212224[[#This Row],[Verbruik Hot Water deze maand]]+Tabel242567891011121314151716181921202223261415181920212224[[#This Row],[Verbruik Coffee Latte deze maand]]+Tabel242567891011121314151716181921202223261415181920212224[[#This Row],[Verbruik Latte Macchiato deze maand]]+Tabel242567891011121314151716181921202223261415181920212224[[#This Row],[Verbruik Espresso deze maand]]+Tabel242567891011121314151716181921202223261415181920212224[[#This Row],[Verbruik Coffee deze maand]]</f>
        <v>1717</v>
      </c>
      <c r="AD6" s="69"/>
      <c r="AE6" s="41"/>
      <c r="AF6" s="5"/>
      <c r="AG6" s="5"/>
      <c r="AH6" s="69"/>
      <c r="AI6" s="41"/>
      <c r="AJ6" s="5"/>
      <c r="AK6" s="5"/>
      <c r="AL6" s="69"/>
      <c r="AM6" s="41"/>
      <c r="AN6" s="5"/>
      <c r="AO6" s="5"/>
      <c r="AP6" s="69"/>
      <c r="AQ6" s="41"/>
      <c r="AR6" s="5"/>
      <c r="AS6" s="5"/>
      <c r="AT6" s="69"/>
      <c r="AU6" s="41"/>
      <c r="AV6" s="5"/>
      <c r="AW6" s="7"/>
      <c r="AX6" s="78"/>
      <c r="AY6" s="95">
        <f>Tabel242567891011121314151716181921202223261415181920212224[[#This Row],[Subtotaal waterbar in consumpties]]+Tabel242567891011121314151716181921202223261415181920212224[[#This Row],[Subtotaal koffieautomaten]]</f>
        <v>1717</v>
      </c>
    </row>
    <row r="7" spans="1:130" ht="14.45" customHeight="1" x14ac:dyDescent="0.25">
      <c r="A7" s="65" t="s">
        <v>34</v>
      </c>
      <c r="B7" t="s">
        <v>35</v>
      </c>
      <c r="C7" t="s">
        <v>47</v>
      </c>
      <c r="E7">
        <v>16063</v>
      </c>
      <c r="F7">
        <f>november2025!E7</f>
        <v>15489</v>
      </c>
      <c r="G7">
        <f>Tabel242567891011121314151716181921202223261415181920212224[[#This Row],[Stand Coffee einde maand]]-Tabel242567891011121314151716181921202223261415181920212224[[#This Row],[Coffee vorige maand]]</f>
        <v>574</v>
      </c>
      <c r="H7" s="53">
        <v>4442</v>
      </c>
      <c r="I7">
        <f>november2025!H7</f>
        <v>4348</v>
      </c>
      <c r="J7">
        <f>Tabel242567891011121314151716181921202223261415181920212224[[#This Row],[Stand Espresso Einde maand]]-Tabel242567891011121314151716181921202223261415181920212224[[#This Row],[Espresso vorige maand]]</f>
        <v>94</v>
      </c>
      <c r="K7" s="53">
        <v>4136</v>
      </c>
      <c r="L7">
        <f>november2025!K7</f>
        <v>3974</v>
      </c>
      <c r="M7">
        <f>Tabel242567891011121314151716181921202223261415181920212224[[#This Row],[Stand Latte Macchiato einde maand]]-Tabel242567891011121314151716181921202223261415181920212224[[#This Row],[Latte Macchiato vorige maand]]</f>
        <v>162</v>
      </c>
      <c r="N7" s="53">
        <v>1872</v>
      </c>
      <c r="O7">
        <f>november2025!N7</f>
        <v>1800</v>
      </c>
      <c r="P7">
        <f>Tabel242567891011121314151716181921202223261415181920212224[[#This Row],[Stand Coffee Latte einde maand]]-Tabel242567891011121314151716181921202223261415181920212224[[#This Row],[Coffee Latte vorige maand]]</f>
        <v>72</v>
      </c>
      <c r="Q7" s="53">
        <v>14161</v>
      </c>
      <c r="R7">
        <f>november2025!Q7</f>
        <v>13747</v>
      </c>
      <c r="S7">
        <f>Tabel242567891011121314151716181921202223261415181920212224[[#This Row],[Stand Hot Water einde maand]]-Tabel242567891011121314151716181921202223261415181920212224[[#This Row],[Hot Water vorige maand]]</f>
        <v>414</v>
      </c>
      <c r="T7" s="53">
        <v>14488</v>
      </c>
      <c r="U7">
        <f>november2025!T7</f>
        <v>14172</v>
      </c>
      <c r="V7">
        <f>Tabel242567891011121314151716181921202223261415181920212224[[#This Row],[Stand Cappucino einde maand]]-Tabel242567891011121314151716181921202223261415181920212224[[#This Row],[Stand Cappucino vorige maand]]</f>
        <v>316</v>
      </c>
      <c r="W7" s="53">
        <v>1469</v>
      </c>
      <c r="X7">
        <f>november2025!W7</f>
        <v>1442</v>
      </c>
      <c r="Y7">
        <f>Tabel242567891011121314151716181921202223261415181920212224[[#This Row],[Stand Cappucino Plantaardig einde maand]]-Tabel242567891011121314151716181921202223261415181920212224[[#This Row],[Stand Cappucino Plantaardig vorige maand]]</f>
        <v>27</v>
      </c>
      <c r="Z7" s="53">
        <v>579</v>
      </c>
      <c r="AA7">
        <f>november2025!Z7</f>
        <v>574</v>
      </c>
      <c r="AB7">
        <f>Tabel242567891011121314151716181921202223261415181920212224[[#This Row],[Stand Latte Macchiato Plantaardig einde maand]]-Tabel242567891011121314151716181921202223261415181920212224[[#This Row],[Stand Latte Macchiato Plantaardig vorige maand]]</f>
        <v>5</v>
      </c>
      <c r="AC7" s="71">
        <f>Tabel242567891011121314151716181921202223261415181920212224[[#This Row],[Verbruik Stand Latte Macchiato Plantaardig deze maand]]+Tabel242567891011121314151716181921202223261415181920212224[[#This Row],[Verbruik  Cappucino Plantaardig deze maand]]+Tabel242567891011121314151716181921202223261415181920212224[[#This Row],[Verbruik Cappucino deze maand]]+Tabel242567891011121314151716181921202223261415181920212224[[#This Row],[Verbruik Hot Water deze maand]]+Tabel242567891011121314151716181921202223261415181920212224[[#This Row],[Verbruik Coffee Latte deze maand]]+Tabel242567891011121314151716181921202223261415181920212224[[#This Row],[Verbruik Latte Macchiato deze maand]]+Tabel242567891011121314151716181921202223261415181920212224[[#This Row],[Verbruik Espresso deze maand]]+Tabel242567891011121314151716181921202223261415181920212224[[#This Row],[Verbruik Coffee deze maand]]</f>
        <v>1664</v>
      </c>
      <c r="AD7" s="53">
        <v>629</v>
      </c>
      <c r="AE7">
        <f>november2025!AD7</f>
        <v>603.29999999999995</v>
      </c>
      <c r="AF7">
        <f>Tabel242567891011121314151716181921202223261415181920212224[[#This Row],[Stand Kamertemp liter einde maand]]-Tabel242567891011121314151716181921202223261415181920212224[[#This Row],[Stand Kamertemp liter vorige maand]]</f>
        <v>25.700000000000045</v>
      </c>
      <c r="AG7" s="2">
        <f>Tabel242567891011121314151716181921202223261415181920212224[[#This Row],[Verbruik Kamertemp liter deze maand]]/0.15</f>
        <v>171.33333333333366</v>
      </c>
      <c r="AH7" s="53">
        <v>1880.3</v>
      </c>
      <c r="AI7">
        <f>november2025!AH7</f>
        <v>1749.3</v>
      </c>
      <c r="AJ7">
        <f>Tabel242567891011121314151716181921202223261415181920212224[[#This Row],[Stand Gekoeld liter einde maand]]-Tabel242567891011121314151716181921202223261415181920212224[[#This Row],[Stand Gekoeld liter vorige maand]]</f>
        <v>131</v>
      </c>
      <c r="AK7" s="2">
        <f>Tabel242567891011121314151716181921202223261415181920212224[[#This Row],[Verbruik Gekoeld liter deze maand]]/0.15</f>
        <v>873.33333333333337</v>
      </c>
      <c r="AL7" s="53">
        <v>918.7</v>
      </c>
      <c r="AM7">
        <f>november2025!AL7</f>
        <v>856.2</v>
      </c>
      <c r="AN7">
        <f>Tabel242567891011121314151716181921202223261415181920212224[[#This Row],[Stand Bruisend liter einde maand]]-Tabel242567891011121314151716181921202223261415181920212224[[#This Row],[Stand Bruisend liter vorige maand]]</f>
        <v>62.5</v>
      </c>
      <c r="AO7" s="2">
        <f>Tabel242567891011121314151716181921202223261415181920212224[[#This Row],[Verbruik Bruisend liter deze maand]]/0.15</f>
        <v>416.66666666666669</v>
      </c>
      <c r="AP7" s="53">
        <v>666.3</v>
      </c>
      <c r="AQ7">
        <f>november2025!AP7</f>
        <v>630.4</v>
      </c>
      <c r="AR7">
        <f>Tabel242567891011121314151716181921202223261415181920212224[[#This Row],[Stand licht bruisend liter einde maand]]-Tabel242567891011121314151716181921202223261415181920212224[[#This Row],[Stand licht bruisend liter vorige maand]]</f>
        <v>35.899999999999977</v>
      </c>
      <c r="AS7" s="2">
        <f>Tabel242567891011121314151716181921202223261415181920212224[[#This Row],[Verbruik licht bruisend liter deze maand]]/0.15</f>
        <v>239.3333333333332</v>
      </c>
      <c r="AT7" s="53">
        <v>2711.9</v>
      </c>
      <c r="AU7">
        <f>november2025!AT7</f>
        <v>2507</v>
      </c>
      <c r="AV7">
        <f>Tabel242567891011121314151716181921202223261415181920212224[[#This Row],[Stand heet water liter einde maand]]-Tabel242567891011121314151716181921202223261415181920212224[[#This Row],[Stand heet water liter vorige maand]]</f>
        <v>204.90000000000009</v>
      </c>
      <c r="AW7" s="2">
        <f>Tabel242567891011121314151716181921202223261415181920212224[[#This Row],[Verbruik heet Water liter deze maand ]]/0.15</f>
        <v>1366.0000000000007</v>
      </c>
      <c r="AX7" s="77">
        <f>Tabel242567891011121314151716181921202223261415181920212224[[#This Row],[Aantal consumpties heet water deze maand]]+Tabel242567891011121314151716181921202223261415181920212224[[#This Row],[Aantal consumpties licht bruisend water deze maand]]+Tabel242567891011121314151716181921202223261415181920212224[[#This Row],[aantal consumpties Bruisend water deze maand]]+Tabel242567891011121314151716181921202223261415181920212224[[#This Row],[Aantal consumpties gekoeld water deze maand]]+Tabel242567891011121314151716181921202223261415181920212224[[#This Row],[Aantal consumpties Kamertemp deze maand]]</f>
        <v>3066.6666666666674</v>
      </c>
      <c r="AY7" s="95">
        <f>Tabel242567891011121314151716181921202223261415181920212224[[#This Row],[Subtotaal waterbar in consumpties]]+Tabel242567891011121314151716181921202223261415181920212224[[#This Row],[Subtotaal koffieautomaten]]</f>
        <v>4730.6666666666679</v>
      </c>
    </row>
    <row r="8" spans="1:130" ht="14.45" customHeight="1" x14ac:dyDescent="0.25">
      <c r="A8" s="65" t="s">
        <v>37</v>
      </c>
      <c r="B8" t="s">
        <v>38</v>
      </c>
      <c r="C8" t="s">
        <v>31</v>
      </c>
      <c r="E8">
        <v>23898</v>
      </c>
      <c r="F8">
        <f>november2025!E8</f>
        <v>23483</v>
      </c>
      <c r="G8">
        <f>Tabel242567891011121314151716181921202223261415181920212224[[#This Row],[Stand Coffee einde maand]]-Tabel242567891011121314151716181921202223261415181920212224[[#This Row],[Coffee vorige maand]]</f>
        <v>415</v>
      </c>
      <c r="H8" s="53">
        <v>5166</v>
      </c>
      <c r="I8">
        <f>november2025!H8</f>
        <v>5036</v>
      </c>
      <c r="J8">
        <f>Tabel242567891011121314151716181921202223261415181920212224[[#This Row],[Stand Espresso Einde maand]]-Tabel242567891011121314151716181921202223261415181920212224[[#This Row],[Espresso vorige maand]]</f>
        <v>130</v>
      </c>
      <c r="K8" s="53">
        <v>2502</v>
      </c>
      <c r="L8">
        <f>november2025!K8</f>
        <v>2480</v>
      </c>
      <c r="M8">
        <f>Tabel242567891011121314151716181921202223261415181920212224[[#This Row],[Stand Latte Macchiato einde maand]]-Tabel242567891011121314151716181921202223261415181920212224[[#This Row],[Latte Macchiato vorige maand]]</f>
        <v>22</v>
      </c>
      <c r="N8" s="53">
        <v>4020</v>
      </c>
      <c r="O8">
        <f>november2025!N8</f>
        <v>3890</v>
      </c>
      <c r="P8">
        <f>Tabel242567891011121314151716181921202223261415181920212224[[#This Row],[Stand Coffee Latte einde maand]]-Tabel242567891011121314151716181921202223261415181920212224[[#This Row],[Coffee Latte vorige maand]]</f>
        <v>130</v>
      </c>
      <c r="Q8" s="53">
        <v>53717</v>
      </c>
      <c r="R8">
        <f>november2025!Q8</f>
        <v>52592</v>
      </c>
      <c r="S8">
        <f>Tabel242567891011121314151716181921202223261415181920212224[[#This Row],[Stand Hot Water einde maand]]-Tabel242567891011121314151716181921202223261415181920212224[[#This Row],[Hot Water vorige maand]]</f>
        <v>1125</v>
      </c>
      <c r="T8" s="53">
        <v>13792</v>
      </c>
      <c r="U8">
        <f>november2025!T8</f>
        <v>13507</v>
      </c>
      <c r="V8">
        <f>Tabel242567891011121314151716181921202223261415181920212224[[#This Row],[Stand Cappucino einde maand]]-Tabel242567891011121314151716181921202223261415181920212224[[#This Row],[Stand Cappucino vorige maand]]</f>
        <v>285</v>
      </c>
      <c r="W8" s="53">
        <v>1370</v>
      </c>
      <c r="X8">
        <f>november2025!W8</f>
        <v>1344</v>
      </c>
      <c r="Y8">
        <f>Tabel242567891011121314151716181921202223261415181920212224[[#This Row],[Stand Cappucino Plantaardig einde maand]]-Tabel242567891011121314151716181921202223261415181920212224[[#This Row],[Stand Cappucino Plantaardig vorige maand]]</f>
        <v>26</v>
      </c>
      <c r="Z8" s="53">
        <v>683</v>
      </c>
      <c r="AA8">
        <f>november2025!Z8</f>
        <v>677</v>
      </c>
      <c r="AB8">
        <f>Tabel242567891011121314151716181921202223261415181920212224[[#This Row],[Stand Latte Macchiato Plantaardig einde maand]]-Tabel242567891011121314151716181921202223261415181920212224[[#This Row],[Stand Latte Macchiato Plantaardig vorige maand]]</f>
        <v>6</v>
      </c>
      <c r="AC8" s="71">
        <f>Tabel242567891011121314151716181921202223261415181920212224[[#This Row],[Verbruik Stand Latte Macchiato Plantaardig deze maand]]+Tabel242567891011121314151716181921202223261415181920212224[[#This Row],[Verbruik  Cappucino Plantaardig deze maand]]+Tabel242567891011121314151716181921202223261415181920212224[[#This Row],[Verbruik Cappucino deze maand]]+Tabel242567891011121314151716181921202223261415181920212224[[#This Row],[Verbruik Hot Water deze maand]]+Tabel242567891011121314151716181921202223261415181920212224[[#This Row],[Verbruik Coffee Latte deze maand]]+Tabel242567891011121314151716181921202223261415181920212224[[#This Row],[Verbruik Latte Macchiato deze maand]]+Tabel242567891011121314151716181921202223261415181920212224[[#This Row],[Verbruik Espresso deze maand]]+Tabel242567891011121314151716181921202223261415181920212224[[#This Row],[Verbruik Coffee deze maand]]</f>
        <v>2139</v>
      </c>
      <c r="AD8" s="69"/>
      <c r="AE8" s="41"/>
      <c r="AF8" s="5"/>
      <c r="AG8" s="41"/>
      <c r="AH8" s="69"/>
      <c r="AI8" s="41"/>
      <c r="AJ8" s="41"/>
      <c r="AK8" s="41"/>
      <c r="AL8" s="75"/>
      <c r="AM8" s="41"/>
      <c r="AN8" s="41"/>
      <c r="AO8" s="5"/>
      <c r="AP8" s="69"/>
      <c r="AQ8" s="41"/>
      <c r="AR8" s="5"/>
      <c r="AS8" s="41"/>
      <c r="AT8" s="69"/>
      <c r="AU8" s="41"/>
      <c r="AV8" s="41"/>
      <c r="AW8" s="41"/>
      <c r="AX8" s="79"/>
      <c r="AY8" s="95">
        <f>Tabel242567891011121314151716181921202223261415181920212224[[#This Row],[Subtotaal waterbar in consumpties]]+Tabel242567891011121314151716181921202223261415181920212224[[#This Row],[Subtotaal koffieautomaten]]</f>
        <v>2139</v>
      </c>
    </row>
    <row r="9" spans="1:130" ht="14.45" customHeight="1" x14ac:dyDescent="0.25">
      <c r="A9" s="65" t="s">
        <v>39</v>
      </c>
      <c r="B9" t="s">
        <v>40</v>
      </c>
      <c r="C9" t="s">
        <v>31</v>
      </c>
      <c r="E9">
        <v>28295</v>
      </c>
      <c r="F9">
        <f>november2025!E9</f>
        <v>27681</v>
      </c>
      <c r="G9">
        <f>Tabel242567891011121314151716181921202223261415181920212224[[#This Row],[Stand Coffee einde maand]]-Tabel242567891011121314151716181921202223261415181920212224[[#This Row],[Coffee vorige maand]]</f>
        <v>614</v>
      </c>
      <c r="H9" s="53">
        <v>4854</v>
      </c>
      <c r="I9">
        <f>november2025!H9</f>
        <v>4747</v>
      </c>
      <c r="J9">
        <f>Tabel242567891011121314151716181921202223261415181920212224[[#This Row],[Stand Espresso Einde maand]]-Tabel242567891011121314151716181921202223261415181920212224[[#This Row],[Espresso vorige maand]]</f>
        <v>107</v>
      </c>
      <c r="K9" s="53">
        <v>3201</v>
      </c>
      <c r="L9">
        <f>november2025!K9</f>
        <v>3148</v>
      </c>
      <c r="M9">
        <f>Tabel242567891011121314151716181921202223261415181920212224[[#This Row],[Stand Latte Macchiato einde maand]]-Tabel242567891011121314151716181921202223261415181920212224[[#This Row],[Latte Macchiato vorige maand]]</f>
        <v>53</v>
      </c>
      <c r="N9" s="53">
        <v>2531</v>
      </c>
      <c r="O9">
        <f>november2025!N9</f>
        <v>2450</v>
      </c>
      <c r="P9">
        <f>Tabel242567891011121314151716181921202223261415181920212224[[#This Row],[Stand Coffee Latte einde maand]]-Tabel242567891011121314151716181921202223261415181920212224[[#This Row],[Coffee Latte vorige maand]]</f>
        <v>81</v>
      </c>
      <c r="Q9" s="53">
        <v>40775</v>
      </c>
      <c r="R9">
        <f>november2025!Q9</f>
        <v>39869</v>
      </c>
      <c r="S9">
        <f>Tabel242567891011121314151716181921202223261415181920212224[[#This Row],[Stand Hot Water einde maand]]-Tabel242567891011121314151716181921202223261415181920212224[[#This Row],[Hot Water vorige maand]]</f>
        <v>906</v>
      </c>
      <c r="T9" s="53">
        <v>22405</v>
      </c>
      <c r="U9">
        <f>november2025!T9</f>
        <v>21906</v>
      </c>
      <c r="V9">
        <f>Tabel242567891011121314151716181921202223261415181920212224[[#This Row],[Stand Cappucino einde maand]]-Tabel242567891011121314151716181921202223261415181920212224[[#This Row],[Stand Cappucino vorige maand]]</f>
        <v>499</v>
      </c>
      <c r="W9" s="53">
        <v>845</v>
      </c>
      <c r="X9">
        <f>november2025!W9</f>
        <v>830</v>
      </c>
      <c r="Y9">
        <f>Tabel242567891011121314151716181921202223261415181920212224[[#This Row],[Stand Cappucino Plantaardig einde maand]]-Tabel242567891011121314151716181921202223261415181920212224[[#This Row],[Stand Cappucino Plantaardig vorige maand]]</f>
        <v>15</v>
      </c>
      <c r="Z9" s="53">
        <v>237</v>
      </c>
      <c r="AA9">
        <f>november2025!Z9</f>
        <v>235</v>
      </c>
      <c r="AB9">
        <f>Tabel242567891011121314151716181921202223261415181920212224[[#This Row],[Stand Latte Macchiato Plantaardig einde maand]]-Tabel242567891011121314151716181921202223261415181920212224[[#This Row],[Stand Latte Macchiato Plantaardig vorige maand]]</f>
        <v>2</v>
      </c>
      <c r="AC9" s="71">
        <f>Tabel242567891011121314151716181921202223261415181920212224[[#This Row],[Verbruik Stand Latte Macchiato Plantaardig deze maand]]+Tabel242567891011121314151716181921202223261415181920212224[[#This Row],[Verbruik  Cappucino Plantaardig deze maand]]+Tabel242567891011121314151716181921202223261415181920212224[[#This Row],[Verbruik Cappucino deze maand]]+Tabel242567891011121314151716181921202223261415181920212224[[#This Row],[Verbruik Hot Water deze maand]]+Tabel242567891011121314151716181921202223261415181920212224[[#This Row],[Verbruik Coffee Latte deze maand]]+Tabel242567891011121314151716181921202223261415181920212224[[#This Row],[Verbruik Latte Macchiato deze maand]]+Tabel242567891011121314151716181921202223261415181920212224[[#This Row],[Verbruik Espresso deze maand]]+Tabel242567891011121314151716181921202223261415181920212224[[#This Row],[Verbruik Coffee deze maand]]</f>
        <v>2277</v>
      </c>
      <c r="AD9" s="69"/>
      <c r="AE9" s="41"/>
      <c r="AF9" s="5"/>
      <c r="AG9" s="41"/>
      <c r="AH9" s="69"/>
      <c r="AI9" s="41"/>
      <c r="AJ9" s="41"/>
      <c r="AK9" s="41"/>
      <c r="AL9" s="75"/>
      <c r="AM9" s="41"/>
      <c r="AN9" s="41"/>
      <c r="AO9" s="5"/>
      <c r="AP9" s="69"/>
      <c r="AQ9" s="41"/>
      <c r="AR9" s="5"/>
      <c r="AS9" s="41"/>
      <c r="AT9" s="69"/>
      <c r="AU9" s="41"/>
      <c r="AV9" s="41"/>
      <c r="AW9" s="41"/>
      <c r="AX9" s="79"/>
      <c r="AY9" s="95">
        <f>Tabel242567891011121314151716181921202223261415181920212224[[#This Row],[Subtotaal waterbar in consumpties]]+Tabel242567891011121314151716181921202223261415181920212224[[#This Row],[Subtotaal koffieautomaten]]</f>
        <v>2277</v>
      </c>
    </row>
    <row r="10" spans="1:130" ht="14.45" customHeight="1" x14ac:dyDescent="0.25">
      <c r="A10" s="65" t="s">
        <v>41</v>
      </c>
      <c r="B10" t="s">
        <v>42</v>
      </c>
      <c r="C10" t="s">
        <v>31</v>
      </c>
      <c r="E10">
        <v>16483</v>
      </c>
      <c r="F10">
        <f>november2025!E10</f>
        <v>16175</v>
      </c>
      <c r="G10">
        <f>Tabel242567891011121314151716181921202223261415181920212224[[#This Row],[Stand Coffee einde maand]]-Tabel242567891011121314151716181921202223261415181920212224[[#This Row],[Coffee vorige maand]]</f>
        <v>308</v>
      </c>
      <c r="H10" s="53">
        <v>3711</v>
      </c>
      <c r="I10">
        <f>november2025!H10</f>
        <v>3643</v>
      </c>
      <c r="J10">
        <f>Tabel242567891011121314151716181921202223261415181920212224[[#This Row],[Stand Espresso Einde maand]]-Tabel242567891011121314151716181921202223261415181920212224[[#This Row],[Espresso vorige maand]]</f>
        <v>68</v>
      </c>
      <c r="K10" s="53">
        <v>2626</v>
      </c>
      <c r="L10">
        <f>november2025!K10</f>
        <v>2587</v>
      </c>
      <c r="M10">
        <f>Tabel242567891011121314151716181921202223261415181920212224[[#This Row],[Stand Latte Macchiato einde maand]]-Tabel242567891011121314151716181921202223261415181920212224[[#This Row],[Latte Macchiato vorige maand]]</f>
        <v>39</v>
      </c>
      <c r="N10" s="53">
        <v>1522</v>
      </c>
      <c r="O10">
        <f>november2025!N10</f>
        <v>1490</v>
      </c>
      <c r="P10">
        <f>Tabel242567891011121314151716181921202223261415181920212224[[#This Row],[Stand Coffee Latte einde maand]]-Tabel242567891011121314151716181921202223261415181920212224[[#This Row],[Coffee Latte vorige maand]]</f>
        <v>32</v>
      </c>
      <c r="Q10" s="53">
        <v>46317</v>
      </c>
      <c r="R10">
        <f>november2025!Q10</f>
        <v>45253</v>
      </c>
      <c r="S10">
        <f>Tabel242567891011121314151716181921202223261415181920212224[[#This Row],[Stand Hot Water einde maand]]-Tabel242567891011121314151716181921202223261415181920212224[[#This Row],[Hot Water vorige maand]]</f>
        <v>1064</v>
      </c>
      <c r="T10" s="53">
        <v>11191</v>
      </c>
      <c r="U10">
        <f>november2025!T10</f>
        <v>10859</v>
      </c>
      <c r="V10">
        <f>Tabel242567891011121314151716181921202223261415181920212224[[#This Row],[Stand Cappucino einde maand]]-Tabel242567891011121314151716181921202223261415181920212224[[#This Row],[Stand Cappucino vorige maand]]</f>
        <v>332</v>
      </c>
      <c r="W10" s="53">
        <v>2385</v>
      </c>
      <c r="X10">
        <f>november2025!W10</f>
        <v>2338</v>
      </c>
      <c r="Y10">
        <f>Tabel242567891011121314151716181921202223261415181920212224[[#This Row],[Stand Cappucino Plantaardig einde maand]]-Tabel242567891011121314151716181921202223261415181920212224[[#This Row],[Stand Cappucino Plantaardig vorige maand]]</f>
        <v>47</v>
      </c>
      <c r="Z10" s="53">
        <v>787</v>
      </c>
      <c r="AA10">
        <f>november2025!Z10</f>
        <v>776</v>
      </c>
      <c r="AB10">
        <f>Tabel242567891011121314151716181921202223261415181920212224[[#This Row],[Stand Latte Macchiato Plantaardig einde maand]]-Tabel242567891011121314151716181921202223261415181920212224[[#This Row],[Stand Latte Macchiato Plantaardig vorige maand]]</f>
        <v>11</v>
      </c>
      <c r="AC10" s="71">
        <f>Tabel242567891011121314151716181921202223261415181920212224[[#This Row],[Verbruik Stand Latte Macchiato Plantaardig deze maand]]+Tabel242567891011121314151716181921202223261415181920212224[[#This Row],[Verbruik  Cappucino Plantaardig deze maand]]+Tabel242567891011121314151716181921202223261415181920212224[[#This Row],[Verbruik Cappucino deze maand]]+Tabel242567891011121314151716181921202223261415181920212224[[#This Row],[Verbruik Hot Water deze maand]]+Tabel242567891011121314151716181921202223261415181920212224[[#This Row],[Verbruik Coffee Latte deze maand]]+Tabel242567891011121314151716181921202223261415181920212224[[#This Row],[Verbruik Latte Macchiato deze maand]]+Tabel242567891011121314151716181921202223261415181920212224[[#This Row],[Verbruik Espresso deze maand]]+Tabel242567891011121314151716181921202223261415181920212224[[#This Row],[Verbruik Coffee deze maand]]</f>
        <v>1901</v>
      </c>
      <c r="AD10" s="69"/>
      <c r="AE10" s="41"/>
      <c r="AF10" s="5"/>
      <c r="AG10" s="41"/>
      <c r="AH10" s="69"/>
      <c r="AI10" s="41"/>
      <c r="AJ10" s="41"/>
      <c r="AK10" s="41"/>
      <c r="AL10" s="75"/>
      <c r="AM10" s="41"/>
      <c r="AN10" s="41"/>
      <c r="AO10" s="5"/>
      <c r="AP10" s="69"/>
      <c r="AQ10" s="41"/>
      <c r="AR10" s="5"/>
      <c r="AS10" s="41"/>
      <c r="AT10" s="69"/>
      <c r="AU10" s="41"/>
      <c r="AV10" s="41"/>
      <c r="AW10" s="41"/>
      <c r="AX10" s="79"/>
      <c r="AY10" s="95">
        <f>Tabel242567891011121314151716181921202223261415181920212224[[#This Row],[Subtotaal waterbar in consumpties]]+Tabel242567891011121314151716181921202223261415181920212224[[#This Row],[Subtotaal koffieautomaten]]</f>
        <v>1901</v>
      </c>
    </row>
    <row r="11" spans="1:130" ht="14.45" customHeight="1" x14ac:dyDescent="0.25">
      <c r="A11" s="65" t="s">
        <v>43</v>
      </c>
      <c r="B11" t="s">
        <v>44</v>
      </c>
      <c r="C11" t="s">
        <v>31</v>
      </c>
      <c r="E11">
        <v>20406</v>
      </c>
      <c r="F11">
        <f>november2025!E11</f>
        <v>19824</v>
      </c>
      <c r="G11">
        <f>Tabel242567891011121314151716181921202223261415181920212224[[#This Row],[Stand Coffee einde maand]]-Tabel242567891011121314151716181921202223261415181920212224[[#This Row],[Coffee vorige maand]]</f>
        <v>582</v>
      </c>
      <c r="H11" s="53">
        <v>4531</v>
      </c>
      <c r="I11">
        <f>november2025!H11</f>
        <v>4426</v>
      </c>
      <c r="J11">
        <f>Tabel242567891011121314151716181921202223261415181920212224[[#This Row],[Stand Espresso Einde maand]]-Tabel242567891011121314151716181921202223261415181920212224[[#This Row],[Espresso vorige maand]]</f>
        <v>105</v>
      </c>
      <c r="K11" s="53">
        <v>1033</v>
      </c>
      <c r="L11">
        <f>november2025!K11</f>
        <v>1026</v>
      </c>
      <c r="M11">
        <f>Tabel242567891011121314151716181921202223261415181920212224[[#This Row],[Stand Latte Macchiato einde maand]]-Tabel242567891011121314151716181921202223261415181920212224[[#This Row],[Latte Macchiato vorige maand]]</f>
        <v>7</v>
      </c>
      <c r="N11" s="53">
        <v>1417</v>
      </c>
      <c r="O11">
        <f>november2025!N11</f>
        <v>1401</v>
      </c>
      <c r="P11">
        <f>Tabel242567891011121314151716181921202223261415181920212224[[#This Row],[Stand Coffee Latte einde maand]]-Tabel242567891011121314151716181921202223261415181920212224[[#This Row],[Coffee Latte vorige maand]]</f>
        <v>16</v>
      </c>
      <c r="Q11" s="53">
        <v>33372</v>
      </c>
      <c r="R11">
        <f>november2025!Q11</f>
        <v>32628</v>
      </c>
      <c r="S11">
        <f>Tabel242567891011121314151716181921202223261415181920212224[[#This Row],[Stand Hot Water einde maand]]-Tabel242567891011121314151716181921202223261415181920212224[[#This Row],[Hot Water vorige maand]]</f>
        <v>744</v>
      </c>
      <c r="T11" s="53">
        <v>10199</v>
      </c>
      <c r="U11">
        <f>november2025!T11</f>
        <v>10071</v>
      </c>
      <c r="V11">
        <f>Tabel242567891011121314151716181921202223261415181920212224[[#This Row],[Stand Cappucino einde maand]]-Tabel242567891011121314151716181921202223261415181920212224[[#This Row],[Stand Cappucino vorige maand]]</f>
        <v>128</v>
      </c>
      <c r="W11" s="53">
        <v>1765</v>
      </c>
      <c r="X11">
        <f>november2025!W11</f>
        <v>1755</v>
      </c>
      <c r="Y11">
        <f>Tabel242567891011121314151716181921202223261415181920212224[[#This Row],[Stand Cappucino Plantaardig einde maand]]-Tabel242567891011121314151716181921202223261415181920212224[[#This Row],[Stand Cappucino Plantaardig vorige maand]]</f>
        <v>10</v>
      </c>
      <c r="Z11" s="53">
        <v>1447</v>
      </c>
      <c r="AA11">
        <f>november2025!Z11</f>
        <v>1442</v>
      </c>
      <c r="AB11">
        <f>Tabel242567891011121314151716181921202223261415181920212224[[#This Row],[Stand Latte Macchiato Plantaardig einde maand]]-Tabel242567891011121314151716181921202223261415181920212224[[#This Row],[Stand Latte Macchiato Plantaardig vorige maand]]</f>
        <v>5</v>
      </c>
      <c r="AC11" s="71">
        <f>Tabel242567891011121314151716181921202223261415181920212224[[#This Row],[Verbruik Stand Latte Macchiato Plantaardig deze maand]]+Tabel242567891011121314151716181921202223261415181920212224[[#This Row],[Verbruik  Cappucino Plantaardig deze maand]]+Tabel242567891011121314151716181921202223261415181920212224[[#This Row],[Verbruik Cappucino deze maand]]+Tabel242567891011121314151716181921202223261415181920212224[[#This Row],[Verbruik Hot Water deze maand]]+Tabel242567891011121314151716181921202223261415181920212224[[#This Row],[Verbruik Coffee Latte deze maand]]+Tabel242567891011121314151716181921202223261415181920212224[[#This Row],[Verbruik Latte Macchiato deze maand]]+Tabel242567891011121314151716181921202223261415181920212224[[#This Row],[Verbruik Espresso deze maand]]+Tabel242567891011121314151716181921202223261415181920212224[[#This Row],[Verbruik Coffee deze maand]]</f>
        <v>1597</v>
      </c>
      <c r="AD11" s="69"/>
      <c r="AE11" s="41"/>
      <c r="AF11" s="5"/>
      <c r="AG11" s="41"/>
      <c r="AH11" s="69"/>
      <c r="AI11" s="41"/>
      <c r="AJ11" s="41"/>
      <c r="AK11" s="41"/>
      <c r="AL11" s="75"/>
      <c r="AM11" s="41"/>
      <c r="AN11" s="41"/>
      <c r="AO11" s="5"/>
      <c r="AP11" s="69"/>
      <c r="AQ11" s="41"/>
      <c r="AR11" s="5"/>
      <c r="AS11" s="41"/>
      <c r="AT11" s="69"/>
      <c r="AU11" s="41"/>
      <c r="AV11" s="41"/>
      <c r="AW11" s="41"/>
      <c r="AX11" s="79"/>
      <c r="AY11" s="95">
        <f>Tabel242567891011121314151716181921202223261415181920212224[[#This Row],[Subtotaal waterbar in consumpties]]+Tabel242567891011121314151716181921202223261415181920212224[[#This Row],[Subtotaal koffieautomaten]]</f>
        <v>1597</v>
      </c>
    </row>
    <row r="12" spans="1:130" ht="14.45" customHeight="1" x14ac:dyDescent="0.25">
      <c r="A12" s="65" t="s">
        <v>45</v>
      </c>
      <c r="B12" t="s">
        <v>46</v>
      </c>
      <c r="C12" t="s">
        <v>47</v>
      </c>
      <c r="E12">
        <v>34573</v>
      </c>
      <c r="F12">
        <f>november2025!E12</f>
        <v>33856</v>
      </c>
      <c r="G12">
        <f>Tabel242567891011121314151716181921202223261415181920212224[[#This Row],[Stand Coffee einde maand]]-Tabel242567891011121314151716181921202223261415181920212224[[#This Row],[Coffee vorige maand]]</f>
        <v>717</v>
      </c>
      <c r="H12" s="53">
        <v>3953</v>
      </c>
      <c r="I12">
        <f>november2025!H12</f>
        <v>3820</v>
      </c>
      <c r="J12">
        <f>Tabel242567891011121314151716181921202223261415181920212224[[#This Row],[Stand Espresso Einde maand]]-Tabel242567891011121314151716181921202223261415181920212224[[#This Row],[Espresso vorige maand]]</f>
        <v>133</v>
      </c>
      <c r="K12" s="53">
        <v>2021</v>
      </c>
      <c r="L12">
        <f>november2025!K12</f>
        <v>1995</v>
      </c>
      <c r="M12">
        <f>Tabel242567891011121314151716181921202223261415181920212224[[#This Row],[Stand Latte Macchiato einde maand]]-Tabel242567891011121314151716181921202223261415181920212224[[#This Row],[Latte Macchiato vorige maand]]</f>
        <v>26</v>
      </c>
      <c r="N12" s="53">
        <v>1139</v>
      </c>
      <c r="O12">
        <f>november2025!N12</f>
        <v>1127</v>
      </c>
      <c r="P12">
        <f>Tabel242567891011121314151716181921202223261415181920212224[[#This Row],[Stand Coffee Latte einde maand]]-Tabel242567891011121314151716181921202223261415181920212224[[#This Row],[Coffee Latte vorige maand]]</f>
        <v>12</v>
      </c>
      <c r="Q12" s="53">
        <v>1</v>
      </c>
      <c r="R12">
        <f>november2025!Q12</f>
        <v>1</v>
      </c>
      <c r="S12">
        <f>Tabel242567891011121314151716181921202223261415181920212224[[#This Row],[Stand Hot Water einde maand]]-Tabel242567891011121314151716181921202223261415181920212224[[#This Row],[Hot Water vorige maand]]</f>
        <v>0</v>
      </c>
      <c r="T12" s="53">
        <v>10586</v>
      </c>
      <c r="U12">
        <f>november2025!T12</f>
        <v>10318</v>
      </c>
      <c r="V12">
        <f>Tabel242567891011121314151716181921202223261415181920212224[[#This Row],[Stand Cappucino einde maand]]-Tabel242567891011121314151716181921202223261415181920212224[[#This Row],[Stand Cappucino vorige maand]]</f>
        <v>268</v>
      </c>
      <c r="W12" s="53">
        <v>4282</v>
      </c>
      <c r="X12">
        <f>november2025!W12</f>
        <v>4233</v>
      </c>
      <c r="Y12">
        <f>Tabel242567891011121314151716181921202223261415181920212224[[#This Row],[Stand Cappucino Plantaardig einde maand]]-Tabel242567891011121314151716181921202223261415181920212224[[#This Row],[Stand Cappucino Plantaardig vorige maand]]</f>
        <v>49</v>
      </c>
      <c r="Z12" s="53">
        <v>890</v>
      </c>
      <c r="AA12">
        <f>november2025!Z12</f>
        <v>883</v>
      </c>
      <c r="AB12">
        <f>Tabel242567891011121314151716181921202223261415181920212224[[#This Row],[Stand Latte Macchiato Plantaardig einde maand]]-Tabel242567891011121314151716181921202223261415181920212224[[#This Row],[Stand Latte Macchiato Plantaardig vorige maand]]</f>
        <v>7</v>
      </c>
      <c r="AC12" s="71">
        <f>Tabel242567891011121314151716181921202223261415181920212224[[#This Row],[Verbruik Stand Latte Macchiato Plantaardig deze maand]]+Tabel242567891011121314151716181921202223261415181920212224[[#This Row],[Verbruik  Cappucino Plantaardig deze maand]]+Tabel242567891011121314151716181921202223261415181920212224[[#This Row],[Verbruik Cappucino deze maand]]+Tabel242567891011121314151716181921202223261415181920212224[[#This Row],[Verbruik Hot Water deze maand]]+Tabel242567891011121314151716181921202223261415181920212224[[#This Row],[Verbruik Coffee Latte deze maand]]+Tabel242567891011121314151716181921202223261415181920212224[[#This Row],[Verbruik Latte Macchiato deze maand]]+Tabel242567891011121314151716181921202223261415181920212224[[#This Row],[Verbruik Espresso deze maand]]+Tabel242567891011121314151716181921202223261415181920212224[[#This Row],[Verbruik Coffee deze maand]]</f>
        <v>1212</v>
      </c>
      <c r="AD12" s="53">
        <v>842.1</v>
      </c>
      <c r="AE12">
        <f>november2025!AD12</f>
        <v>816</v>
      </c>
      <c r="AF12">
        <f>Tabel242567891011121314151716181921202223261415181920212224[[#This Row],[Stand Kamertemp liter einde maand]]-Tabel242567891011121314151716181921202223261415181920212224[[#This Row],[Stand Kamertemp liter vorige maand]]</f>
        <v>26.100000000000023</v>
      </c>
      <c r="AG12" s="2">
        <f>Tabel242567891011121314151716181921202223261415181920212224[[#This Row],[Verbruik Kamertemp liter deze maand]]/0.15</f>
        <v>174.00000000000017</v>
      </c>
      <c r="AH12" s="53">
        <v>3771.3</v>
      </c>
      <c r="AI12">
        <f>november2025!AH12</f>
        <v>3761.5</v>
      </c>
      <c r="AJ12">
        <f>Tabel242567891011121314151716181921202223261415181920212224[[#This Row],[Stand Gekoeld liter einde maand]]-Tabel242567891011121314151716181921202223261415181920212224[[#This Row],[Stand Gekoeld liter vorige maand]]</f>
        <v>9.8000000000001819</v>
      </c>
      <c r="AK12" s="2">
        <f>Tabel242567891011121314151716181921202223261415181920212224[[#This Row],[Verbruik Gekoeld liter deze maand]]/0.15</f>
        <v>65.333333333334551</v>
      </c>
      <c r="AL12" s="53">
        <v>2847.3</v>
      </c>
      <c r="AM12">
        <f>november2025!AL12</f>
        <v>2743.6</v>
      </c>
      <c r="AN12">
        <f>Tabel242567891011121314151716181921202223261415181920212224[[#This Row],[Stand Bruisend liter einde maand]]-Tabel242567891011121314151716181921202223261415181920212224[[#This Row],[Stand Bruisend liter vorige maand]]</f>
        <v>103.70000000000027</v>
      </c>
      <c r="AO12" s="2">
        <f>Tabel242567891011121314151716181921202223261415181920212224[[#This Row],[Verbruik Bruisend liter deze maand]]/0.15</f>
        <v>691.33333333333519</v>
      </c>
      <c r="AP12" s="53">
        <v>1005.9</v>
      </c>
      <c r="AQ12">
        <f>november2025!AP12</f>
        <v>976.5</v>
      </c>
      <c r="AR12">
        <f>Tabel242567891011121314151716181921202223261415181920212224[[#This Row],[Stand licht bruisend liter einde maand]]-Tabel242567891011121314151716181921202223261415181920212224[[#This Row],[Stand licht bruisend liter vorige maand]]</f>
        <v>29.399999999999977</v>
      </c>
      <c r="AS12" s="2">
        <f>Tabel242567891011121314151716181921202223261415181920212224[[#This Row],[Verbruik licht bruisend liter deze maand]]/0.15</f>
        <v>195.99999999999986</v>
      </c>
      <c r="AT12" s="53">
        <v>6583.1</v>
      </c>
      <c r="AU12">
        <f>november2025!AT12</f>
        <v>6540</v>
      </c>
      <c r="AV12">
        <f>Tabel242567891011121314151716181921202223261415181920212224[[#This Row],[Stand heet water liter einde maand]]-Tabel242567891011121314151716181921202223261415181920212224[[#This Row],[Stand heet water liter vorige maand]]</f>
        <v>43.100000000000364</v>
      </c>
      <c r="AW12" s="2">
        <f>Tabel242567891011121314151716181921202223261415181920212224[[#This Row],[Verbruik heet Water liter deze maand ]]/0.15</f>
        <v>287.33333333333576</v>
      </c>
      <c r="AX12" s="77">
        <f>Tabel242567891011121314151716181921202223261415181920212224[[#This Row],[Aantal consumpties heet water deze maand]]+Tabel242567891011121314151716181921202223261415181920212224[[#This Row],[Aantal consumpties licht bruisend water deze maand]]+Tabel242567891011121314151716181921202223261415181920212224[[#This Row],[aantal consumpties Bruisend water deze maand]]+Tabel242567891011121314151716181921202223261415181920212224[[#This Row],[Aantal consumpties gekoeld water deze maand]]+Tabel242567891011121314151716181921202223261415181920212224[[#This Row],[Aantal consumpties Kamertemp deze maand]]</f>
        <v>1414.0000000000057</v>
      </c>
      <c r="AY12" s="95">
        <f>Tabel242567891011121314151716181921202223261415181920212224[[#This Row],[Subtotaal waterbar in consumpties]]+Tabel242567891011121314151716181921202223261415181920212224[[#This Row],[Subtotaal koffieautomaten]]</f>
        <v>2626.0000000000055</v>
      </c>
    </row>
    <row r="13" spans="1:130" ht="14.45" customHeight="1" x14ac:dyDescent="0.25">
      <c r="A13" s="65" t="s">
        <v>48</v>
      </c>
      <c r="B13" t="s">
        <v>49</v>
      </c>
      <c r="C13" t="s">
        <v>31</v>
      </c>
      <c r="E13">
        <v>32132</v>
      </c>
      <c r="F13">
        <f>november2025!E13</f>
        <v>31619</v>
      </c>
      <c r="G13">
        <f>Tabel242567891011121314151716181921202223261415181920212224[[#This Row],[Stand Coffee einde maand]]-Tabel242567891011121314151716181921202223261415181920212224[[#This Row],[Coffee vorige maand]]</f>
        <v>513</v>
      </c>
      <c r="H13" s="53">
        <v>9448</v>
      </c>
      <c r="I13">
        <f>november2025!H13</f>
        <v>9170</v>
      </c>
      <c r="J13">
        <f>Tabel242567891011121314151716181921202223261415181920212224[[#This Row],[Stand Espresso Einde maand]]-Tabel242567891011121314151716181921202223261415181920212224[[#This Row],[Espresso vorige maand]]</f>
        <v>278</v>
      </c>
      <c r="K13" s="53">
        <v>1647</v>
      </c>
      <c r="L13">
        <f>november2025!K13</f>
        <v>1638</v>
      </c>
      <c r="M13">
        <f>Tabel242567891011121314151716181921202223261415181920212224[[#This Row],[Stand Latte Macchiato einde maand]]-Tabel242567891011121314151716181921202223261415181920212224[[#This Row],[Latte Macchiato vorige maand]]</f>
        <v>9</v>
      </c>
      <c r="N13" s="53">
        <v>717</v>
      </c>
      <c r="O13">
        <f>november2025!N13</f>
        <v>700</v>
      </c>
      <c r="P13">
        <f>Tabel242567891011121314151716181921202223261415181920212224[[#This Row],[Stand Coffee Latte einde maand]]-Tabel242567891011121314151716181921202223261415181920212224[[#This Row],[Coffee Latte vorige maand]]</f>
        <v>17</v>
      </c>
      <c r="Q13" s="53">
        <v>86710</v>
      </c>
      <c r="R13">
        <f>november2025!Q13</f>
        <v>84444</v>
      </c>
      <c r="S13">
        <f>Tabel242567891011121314151716181921202223261415181920212224[[#This Row],[Stand Hot Water einde maand]]-Tabel242567891011121314151716181921202223261415181920212224[[#This Row],[Hot Water vorige maand]]</f>
        <v>2266</v>
      </c>
      <c r="T13" s="53">
        <v>17480</v>
      </c>
      <c r="U13">
        <f>november2025!T13</f>
        <v>17168</v>
      </c>
      <c r="V13">
        <f>Tabel242567891011121314151716181921202223261415181920212224[[#This Row],[Stand Cappucino einde maand]]-Tabel242567891011121314151716181921202223261415181920212224[[#This Row],[Stand Cappucino vorige maand]]</f>
        <v>312</v>
      </c>
      <c r="W13" s="53">
        <v>2822</v>
      </c>
      <c r="X13">
        <f>november2025!W13</f>
        <v>2801</v>
      </c>
      <c r="Y13">
        <f>Tabel242567891011121314151716181921202223261415181920212224[[#This Row],[Stand Cappucino Plantaardig einde maand]]-Tabel242567891011121314151716181921202223261415181920212224[[#This Row],[Stand Cappucino Plantaardig vorige maand]]</f>
        <v>21</v>
      </c>
      <c r="Z13" s="53">
        <v>1110</v>
      </c>
      <c r="AA13">
        <f>november2025!Z13</f>
        <v>1093</v>
      </c>
      <c r="AB13">
        <f>Tabel242567891011121314151716181921202223261415181920212224[[#This Row],[Stand Latte Macchiato Plantaardig einde maand]]-Tabel242567891011121314151716181921202223261415181920212224[[#This Row],[Stand Latte Macchiato Plantaardig vorige maand]]</f>
        <v>17</v>
      </c>
      <c r="AC13" s="71">
        <f>Tabel242567891011121314151716181921202223261415181920212224[[#This Row],[Verbruik Stand Latte Macchiato Plantaardig deze maand]]+Tabel242567891011121314151716181921202223261415181920212224[[#This Row],[Verbruik  Cappucino Plantaardig deze maand]]+Tabel242567891011121314151716181921202223261415181920212224[[#This Row],[Verbruik Cappucino deze maand]]+Tabel242567891011121314151716181921202223261415181920212224[[#This Row],[Verbruik Hot Water deze maand]]+Tabel242567891011121314151716181921202223261415181920212224[[#This Row],[Verbruik Coffee Latte deze maand]]+Tabel242567891011121314151716181921202223261415181920212224[[#This Row],[Verbruik Latte Macchiato deze maand]]+Tabel242567891011121314151716181921202223261415181920212224[[#This Row],[Verbruik Espresso deze maand]]+Tabel242567891011121314151716181921202223261415181920212224[[#This Row],[Verbruik Coffee deze maand]]</f>
        <v>3433</v>
      </c>
      <c r="AD13" s="69"/>
      <c r="AE13" s="41"/>
      <c r="AF13" s="5"/>
      <c r="AG13" s="5"/>
      <c r="AH13" s="75"/>
      <c r="AI13" s="41"/>
      <c r="AJ13" s="5"/>
      <c r="AK13" s="5"/>
      <c r="AL13" s="75"/>
      <c r="AM13" s="41"/>
      <c r="AN13" s="5"/>
      <c r="AO13" s="5"/>
      <c r="AP13" s="75"/>
      <c r="AQ13" s="41"/>
      <c r="AR13" s="5"/>
      <c r="AS13" s="5"/>
      <c r="AT13" s="75"/>
      <c r="AU13" s="41"/>
      <c r="AV13" s="5"/>
      <c r="AW13" s="5"/>
      <c r="AX13" s="79"/>
      <c r="AY13" s="95">
        <f>Tabel242567891011121314151716181921202223261415181920212224[[#This Row],[Subtotaal waterbar in consumpties]]+Tabel242567891011121314151716181921202223261415181920212224[[#This Row],[Subtotaal koffieautomaten]]</f>
        <v>3433</v>
      </c>
    </row>
    <row r="14" spans="1:130" ht="14.45" customHeight="1" x14ac:dyDescent="0.25">
      <c r="A14" s="65" t="s">
        <v>50</v>
      </c>
      <c r="B14" t="s">
        <v>51</v>
      </c>
      <c r="C14" t="s">
        <v>47</v>
      </c>
      <c r="E14">
        <v>27088</v>
      </c>
      <c r="F14">
        <f>november2025!E14</f>
        <v>26402</v>
      </c>
      <c r="G14">
        <f>Tabel242567891011121314151716181921202223261415181920212224[[#This Row],[Stand Coffee einde maand]]-Tabel242567891011121314151716181921202223261415181920212224[[#This Row],[Coffee vorige maand]]</f>
        <v>686</v>
      </c>
      <c r="H14" s="53">
        <f>7731+29</f>
        <v>7760</v>
      </c>
      <c r="I14">
        <f>november2025!H14</f>
        <v>7451</v>
      </c>
      <c r="J14">
        <f>Tabel242567891011121314151716181921202223261415181920212224[[#This Row],[Stand Espresso Einde maand]]-Tabel242567891011121314151716181921202223261415181920212224[[#This Row],[Espresso vorige maand]]</f>
        <v>309</v>
      </c>
      <c r="K14" s="53">
        <v>2809</v>
      </c>
      <c r="L14">
        <f>november2025!K14</f>
        <v>2766</v>
      </c>
      <c r="M14">
        <f>Tabel242567891011121314151716181921202223261415181920212224[[#This Row],[Stand Latte Macchiato einde maand]]-Tabel242567891011121314151716181921202223261415181920212224[[#This Row],[Latte Macchiato vorige maand]]</f>
        <v>43</v>
      </c>
      <c r="N14" s="53">
        <v>1295</v>
      </c>
      <c r="O14">
        <f>november2025!N14</f>
        <v>1294</v>
      </c>
      <c r="P14">
        <f>Tabel242567891011121314151716181921202223261415181920212224[[#This Row],[Stand Coffee Latte einde maand]]-Tabel242567891011121314151716181921202223261415181920212224[[#This Row],[Coffee Latte vorige maand]]</f>
        <v>1</v>
      </c>
      <c r="Q14" s="53">
        <v>1</v>
      </c>
      <c r="R14">
        <f>november2025!Q14</f>
        <v>1</v>
      </c>
      <c r="S14">
        <f>Tabel242567891011121314151716181921202223261415181920212224[[#This Row],[Stand Hot Water einde maand]]-Tabel242567891011121314151716181921202223261415181920212224[[#This Row],[Hot Water vorige maand]]</f>
        <v>0</v>
      </c>
      <c r="T14" s="53">
        <v>11685</v>
      </c>
      <c r="U14">
        <f>november2025!T14</f>
        <v>11508</v>
      </c>
      <c r="V14">
        <f>Tabel242567891011121314151716181921202223261415181920212224[[#This Row],[Stand Cappucino einde maand]]-Tabel242567891011121314151716181921202223261415181920212224[[#This Row],[Stand Cappucino vorige maand]]</f>
        <v>177</v>
      </c>
      <c r="W14" s="53">
        <v>1435</v>
      </c>
      <c r="X14">
        <f>november2025!W14</f>
        <v>1423</v>
      </c>
      <c r="Y14">
        <f>Tabel242567891011121314151716181921202223261415181920212224[[#This Row],[Stand Cappucino Plantaardig einde maand]]-Tabel242567891011121314151716181921202223261415181920212224[[#This Row],[Stand Cappucino Plantaardig vorige maand]]</f>
        <v>12</v>
      </c>
      <c r="Z14" s="53">
        <v>831</v>
      </c>
      <c r="AA14">
        <f>november2025!Z14</f>
        <v>824</v>
      </c>
      <c r="AB14">
        <f>Tabel242567891011121314151716181921202223261415181920212224[[#This Row],[Stand Latte Macchiato Plantaardig einde maand]]-Tabel242567891011121314151716181921202223261415181920212224[[#This Row],[Stand Latte Macchiato Plantaardig vorige maand]]</f>
        <v>7</v>
      </c>
      <c r="AC14" s="71">
        <f>Tabel242567891011121314151716181921202223261415181920212224[[#This Row],[Verbruik Stand Latte Macchiato Plantaardig deze maand]]+Tabel242567891011121314151716181921202223261415181920212224[[#This Row],[Verbruik  Cappucino Plantaardig deze maand]]+Tabel242567891011121314151716181921202223261415181920212224[[#This Row],[Verbruik Cappucino deze maand]]+Tabel242567891011121314151716181921202223261415181920212224[[#This Row],[Verbruik Hot Water deze maand]]+Tabel242567891011121314151716181921202223261415181920212224[[#This Row],[Verbruik Coffee Latte deze maand]]+Tabel242567891011121314151716181921202223261415181920212224[[#This Row],[Verbruik Latte Macchiato deze maand]]+Tabel242567891011121314151716181921202223261415181920212224[[#This Row],[Verbruik Espresso deze maand]]+Tabel242567891011121314151716181921202223261415181920212224[[#This Row],[Verbruik Coffee deze maand]]</f>
        <v>1235</v>
      </c>
      <c r="AD14" s="53">
        <v>94.6</v>
      </c>
      <c r="AE14">
        <f>november2025!AD14</f>
        <v>78.2</v>
      </c>
      <c r="AF14">
        <f>Tabel242567891011121314151716181921202223261415181920212224[[#This Row],[Stand Kamertemp liter einde maand]]-Tabel242567891011121314151716181921202223261415181920212224[[#This Row],[Stand Kamertemp liter vorige maand]]</f>
        <v>16.399999999999991</v>
      </c>
      <c r="AG14" s="2">
        <f>Tabel242567891011121314151716181921202223261415181920212224[[#This Row],[Verbruik Kamertemp liter deze maand]]/0.15</f>
        <v>109.33333333333329</v>
      </c>
      <c r="AH14" s="53">
        <v>719.6</v>
      </c>
      <c r="AI14">
        <f>november2025!AH14</f>
        <v>571.20000000000005</v>
      </c>
      <c r="AJ14">
        <f>Tabel242567891011121314151716181921202223261415181920212224[[#This Row],[Stand Gekoeld liter einde maand]]-Tabel242567891011121314151716181921202223261415181920212224[[#This Row],[Stand Gekoeld liter vorige maand]]</f>
        <v>148.39999999999998</v>
      </c>
      <c r="AK14" s="2">
        <f>Tabel242567891011121314151716181921202223261415181920212224[[#This Row],[Verbruik Gekoeld liter deze maand]]/0.15</f>
        <v>989.33333333333326</v>
      </c>
      <c r="AL14" s="53">
        <v>411</v>
      </c>
      <c r="AM14">
        <f>november2025!AL14</f>
        <v>326.8</v>
      </c>
      <c r="AN14">
        <f>Tabel242567891011121314151716181921202223261415181920212224[[#This Row],[Stand Bruisend liter einde maand]]-Tabel242567891011121314151716181921202223261415181920212224[[#This Row],[Stand Bruisend liter vorige maand]]</f>
        <v>84.199999999999989</v>
      </c>
      <c r="AO14" s="2">
        <f>Tabel242567891011121314151716181921202223261415181920212224[[#This Row],[Verbruik Bruisend liter deze maand]]/0.15</f>
        <v>561.33333333333326</v>
      </c>
      <c r="AP14" s="53">
        <v>234</v>
      </c>
      <c r="AQ14">
        <f>november2025!AP14</f>
        <v>179.8</v>
      </c>
      <c r="AR14">
        <f>Tabel242567891011121314151716181921202223261415181920212224[[#This Row],[Stand licht bruisend liter einde maand]]-Tabel242567891011121314151716181921202223261415181920212224[[#This Row],[Stand licht bruisend liter vorige maand]]</f>
        <v>54.199999999999989</v>
      </c>
      <c r="AS14" s="2">
        <f>Tabel242567891011121314151716181921202223261415181920212224[[#This Row],[Verbruik licht bruisend liter deze maand]]/0.15</f>
        <v>361.33333333333326</v>
      </c>
      <c r="AT14" s="53">
        <v>1645.8</v>
      </c>
      <c r="AU14">
        <f>november2025!AT14</f>
        <v>1242.5</v>
      </c>
      <c r="AV14">
        <f>Tabel242567891011121314151716181921202223261415181920212224[[#This Row],[Stand heet water liter einde maand]]-Tabel242567891011121314151716181921202223261415181920212224[[#This Row],[Stand heet water liter vorige maand]]</f>
        <v>403.29999999999995</v>
      </c>
      <c r="AW14" s="2">
        <f>Tabel242567891011121314151716181921202223261415181920212224[[#This Row],[Verbruik heet Water liter deze maand ]]/0.15</f>
        <v>2688.6666666666665</v>
      </c>
      <c r="AX14" s="77">
        <f>Tabel242567891011121314151716181921202223261415181920212224[[#This Row],[Aantal consumpties heet water deze maand]]+Tabel242567891011121314151716181921202223261415181920212224[[#This Row],[Aantal consumpties licht bruisend water deze maand]]+Tabel242567891011121314151716181921202223261415181920212224[[#This Row],[aantal consumpties Bruisend water deze maand]]+Tabel242567891011121314151716181921202223261415181920212224[[#This Row],[Aantal consumpties gekoeld water deze maand]]+Tabel242567891011121314151716181921202223261415181920212224[[#This Row],[Aantal consumpties Kamertemp deze maand]]</f>
        <v>4709.9999999999991</v>
      </c>
      <c r="AY14" s="95">
        <f>Tabel242567891011121314151716181921202223261415181920212224[[#This Row],[Subtotaal waterbar in consumpties]]+Tabel242567891011121314151716181921202223261415181920212224[[#This Row],[Subtotaal koffieautomaten]]</f>
        <v>5944.9999999999991</v>
      </c>
    </row>
    <row r="15" spans="1:130" ht="14.45" customHeight="1" x14ac:dyDescent="0.25">
      <c r="A15" s="65" t="s">
        <v>52</v>
      </c>
      <c r="B15" t="s">
        <v>53</v>
      </c>
      <c r="C15" t="s">
        <v>31</v>
      </c>
      <c r="E15">
        <v>22779</v>
      </c>
      <c r="F15">
        <f>november2025!E15</f>
        <v>22258</v>
      </c>
      <c r="G15">
        <f>Tabel242567891011121314151716181921202223261415181920212224[[#This Row],[Stand Coffee einde maand]]-Tabel242567891011121314151716181921202223261415181920212224[[#This Row],[Coffee vorige maand]]</f>
        <v>521</v>
      </c>
      <c r="H15" s="53">
        <v>6131</v>
      </c>
      <c r="I15">
        <f>november2025!H15</f>
        <v>6082</v>
      </c>
      <c r="J15">
        <f>Tabel242567891011121314151716181921202223261415181920212224[[#This Row],[Stand Espresso Einde maand]]-Tabel242567891011121314151716181921202223261415181920212224[[#This Row],[Espresso vorige maand]]</f>
        <v>49</v>
      </c>
      <c r="K15" s="53">
        <v>1407</v>
      </c>
      <c r="L15">
        <f>november2025!K15</f>
        <v>1400</v>
      </c>
      <c r="M15">
        <f>Tabel242567891011121314151716181921202223261415181920212224[[#This Row],[Stand Latte Macchiato einde maand]]-Tabel242567891011121314151716181921202223261415181920212224[[#This Row],[Latte Macchiato vorige maand]]</f>
        <v>7</v>
      </c>
      <c r="N15" s="53">
        <v>1484</v>
      </c>
      <c r="O15">
        <f>november2025!N15</f>
        <v>1450</v>
      </c>
      <c r="P15">
        <f>Tabel242567891011121314151716181921202223261415181920212224[[#This Row],[Stand Coffee Latte einde maand]]-Tabel242567891011121314151716181921202223261415181920212224[[#This Row],[Coffee Latte vorige maand]]</f>
        <v>34</v>
      </c>
      <c r="Q15" s="53">
        <v>43689</v>
      </c>
      <c r="R15">
        <f>november2025!Q15</f>
        <v>42336</v>
      </c>
      <c r="S15">
        <f>Tabel242567891011121314151716181921202223261415181920212224[[#This Row],[Stand Hot Water einde maand]]-Tabel242567891011121314151716181921202223261415181920212224[[#This Row],[Hot Water vorige maand]]</f>
        <v>1353</v>
      </c>
      <c r="T15" s="53">
        <v>10269</v>
      </c>
      <c r="U15">
        <f>november2025!T15</f>
        <v>10043</v>
      </c>
      <c r="V15">
        <f>Tabel242567891011121314151716181921202223261415181920212224[[#This Row],[Stand Cappucino einde maand]]-Tabel242567891011121314151716181921202223261415181920212224[[#This Row],[Stand Cappucino vorige maand]]</f>
        <v>226</v>
      </c>
      <c r="W15" s="53">
        <v>2119</v>
      </c>
      <c r="X15">
        <f>november2025!W15</f>
        <v>2082</v>
      </c>
      <c r="Y15">
        <f>Tabel242567891011121314151716181921202223261415181920212224[[#This Row],[Stand Cappucino Plantaardig einde maand]]-Tabel242567891011121314151716181921202223261415181920212224[[#This Row],[Stand Cappucino Plantaardig vorige maand]]</f>
        <v>37</v>
      </c>
      <c r="Z15" s="53">
        <v>533</v>
      </c>
      <c r="AA15">
        <f>november2025!Z15</f>
        <v>520</v>
      </c>
      <c r="AB15">
        <f>Tabel242567891011121314151716181921202223261415181920212224[[#This Row],[Stand Latte Macchiato Plantaardig einde maand]]-Tabel242567891011121314151716181921202223261415181920212224[[#This Row],[Stand Latte Macchiato Plantaardig vorige maand]]</f>
        <v>13</v>
      </c>
      <c r="AC15" s="71">
        <f>Tabel242567891011121314151716181921202223261415181920212224[[#This Row],[Verbruik Stand Latte Macchiato Plantaardig deze maand]]+Tabel242567891011121314151716181921202223261415181920212224[[#This Row],[Verbruik  Cappucino Plantaardig deze maand]]+Tabel242567891011121314151716181921202223261415181920212224[[#This Row],[Verbruik Cappucino deze maand]]+Tabel242567891011121314151716181921202223261415181920212224[[#This Row],[Verbruik Hot Water deze maand]]+Tabel242567891011121314151716181921202223261415181920212224[[#This Row],[Verbruik Coffee Latte deze maand]]+Tabel242567891011121314151716181921202223261415181920212224[[#This Row],[Verbruik Latte Macchiato deze maand]]+Tabel242567891011121314151716181921202223261415181920212224[[#This Row],[Verbruik Espresso deze maand]]+Tabel242567891011121314151716181921202223261415181920212224[[#This Row],[Verbruik Coffee deze maand]]</f>
        <v>2240</v>
      </c>
      <c r="AD15" s="69"/>
      <c r="AE15" s="41"/>
      <c r="AF15" s="5"/>
      <c r="AG15" s="5"/>
      <c r="AH15" s="75"/>
      <c r="AI15" s="41"/>
      <c r="AJ15" s="5"/>
      <c r="AK15" s="5"/>
      <c r="AL15" s="75"/>
      <c r="AM15" s="41"/>
      <c r="AN15" s="5"/>
      <c r="AO15" s="5"/>
      <c r="AP15" s="75"/>
      <c r="AQ15" s="41"/>
      <c r="AR15" s="5"/>
      <c r="AS15" s="5"/>
      <c r="AT15" s="75"/>
      <c r="AU15" s="41"/>
      <c r="AV15" s="5"/>
      <c r="AW15" s="5"/>
      <c r="AX15" s="79"/>
      <c r="AY15" s="95">
        <f>Tabel242567891011121314151716181921202223261415181920212224[[#This Row],[Subtotaal waterbar in consumpties]]+Tabel242567891011121314151716181921202223261415181920212224[[#This Row],[Subtotaal koffieautomaten]]</f>
        <v>2240</v>
      </c>
    </row>
    <row r="16" spans="1:130" ht="14.45" customHeight="1" x14ac:dyDescent="0.25">
      <c r="A16" s="65" t="s">
        <v>54</v>
      </c>
      <c r="B16" t="s">
        <v>55</v>
      </c>
      <c r="C16" t="s">
        <v>47</v>
      </c>
      <c r="E16">
        <v>4111</v>
      </c>
      <c r="F16">
        <f>november2025!E16</f>
        <v>3937</v>
      </c>
      <c r="G16">
        <f>Tabel242567891011121314151716181921202223261415181920212224[[#This Row],[Stand Coffee einde maand]]-Tabel242567891011121314151716181921202223261415181920212224[[#This Row],[Coffee vorige maand]]</f>
        <v>174</v>
      </c>
      <c r="H16" s="53">
        <v>4915</v>
      </c>
      <c r="I16">
        <f>november2025!H16</f>
        <v>4677</v>
      </c>
      <c r="J16">
        <f>Tabel242567891011121314151716181921202223261415181920212224[[#This Row],[Stand Espresso Einde maand]]-Tabel242567891011121314151716181921202223261415181920212224[[#This Row],[Espresso vorige maand]]</f>
        <v>238</v>
      </c>
      <c r="K16" s="53">
        <v>488</v>
      </c>
      <c r="L16">
        <f>november2025!K16</f>
        <v>451</v>
      </c>
      <c r="M16">
        <f>Tabel242567891011121314151716181921202223261415181920212224[[#This Row],[Stand Latte Macchiato einde maand]]-Tabel242567891011121314151716181921202223261415181920212224[[#This Row],[Latte Macchiato vorige maand]]</f>
        <v>37</v>
      </c>
      <c r="N16" s="53">
        <v>210</v>
      </c>
      <c r="O16">
        <f>november2025!N16</f>
        <v>201</v>
      </c>
      <c r="P16">
        <f>Tabel242567891011121314151716181921202223261415181920212224[[#This Row],[Stand Coffee Latte einde maand]]-Tabel242567891011121314151716181921202223261415181920212224[[#This Row],[Coffee Latte vorige maand]]</f>
        <v>9</v>
      </c>
      <c r="Q16" s="53">
        <v>1424</v>
      </c>
      <c r="R16">
        <f>november2025!Q16</f>
        <v>1314</v>
      </c>
      <c r="S16">
        <f>Tabel242567891011121314151716181921202223261415181920212224[[#This Row],[Stand Hot Water einde maand]]-Tabel242567891011121314151716181921202223261415181920212224[[#This Row],[Hot Water vorige maand]]</f>
        <v>110</v>
      </c>
      <c r="T16" s="53">
        <v>6003</v>
      </c>
      <c r="U16">
        <f>november2025!T16</f>
        <v>5779</v>
      </c>
      <c r="V16">
        <f>Tabel242567891011121314151716181921202223261415181920212224[[#This Row],[Stand Cappucino einde maand]]-Tabel242567891011121314151716181921202223261415181920212224[[#This Row],[Stand Cappucino vorige maand]]</f>
        <v>224</v>
      </c>
      <c r="W16" s="53">
        <v>563</v>
      </c>
      <c r="X16">
        <f>november2025!W16</f>
        <v>539</v>
      </c>
      <c r="Y16">
        <f>Tabel242567891011121314151716181921202223261415181920212224[[#This Row],[Stand Cappucino Plantaardig einde maand]]-Tabel242567891011121314151716181921202223261415181920212224[[#This Row],[Stand Cappucino Plantaardig vorige maand]]</f>
        <v>24</v>
      </c>
      <c r="Z16" s="53">
        <v>62</v>
      </c>
      <c r="AA16">
        <f>november2025!Z16</f>
        <v>62</v>
      </c>
      <c r="AB16">
        <f>Tabel242567891011121314151716181921202223261415181920212224[[#This Row],[Stand Latte Macchiato Plantaardig einde maand]]-Tabel242567891011121314151716181921202223261415181920212224[[#This Row],[Stand Latte Macchiato Plantaardig vorige maand]]</f>
        <v>0</v>
      </c>
      <c r="AC16" s="71">
        <f>Tabel242567891011121314151716181921202223261415181920212224[[#This Row],[Verbruik Stand Latte Macchiato Plantaardig deze maand]]+Tabel242567891011121314151716181921202223261415181920212224[[#This Row],[Verbruik  Cappucino Plantaardig deze maand]]+Tabel242567891011121314151716181921202223261415181920212224[[#This Row],[Verbruik Cappucino deze maand]]+Tabel242567891011121314151716181921202223261415181920212224[[#This Row],[Verbruik Hot Water deze maand]]+Tabel242567891011121314151716181921202223261415181920212224[[#This Row],[Verbruik Coffee Latte deze maand]]+Tabel242567891011121314151716181921202223261415181920212224[[#This Row],[Verbruik Latte Macchiato deze maand]]+Tabel242567891011121314151716181921202223261415181920212224[[#This Row],[Verbruik Espresso deze maand]]+Tabel242567891011121314151716181921202223261415181920212224[[#This Row],[Verbruik Coffee deze maand]]</f>
        <v>816</v>
      </c>
      <c r="AD16" s="53">
        <v>107.5</v>
      </c>
      <c r="AE16">
        <f>november2025!AD16</f>
        <v>102.6</v>
      </c>
      <c r="AF16">
        <f>Tabel242567891011121314151716181921202223261415181920212224[[#This Row],[Stand Kamertemp liter einde maand]]-Tabel242567891011121314151716181921202223261415181920212224[[#This Row],[Stand Kamertemp liter vorige maand]]</f>
        <v>4.9000000000000057</v>
      </c>
      <c r="AG16" s="2">
        <f>Tabel242567891011121314151716181921202223261415181920212224[[#This Row],[Verbruik Kamertemp liter deze maand]]/0.15</f>
        <v>32.666666666666707</v>
      </c>
      <c r="AH16" s="51">
        <v>1309.7</v>
      </c>
      <c r="AI16">
        <f>november2025!AH16</f>
        <v>1214.4000000000001</v>
      </c>
      <c r="AJ16">
        <f>Tabel242567891011121314151716181921202223261415181920212224[[#This Row],[Stand Gekoeld liter einde maand]]-Tabel242567891011121314151716181921202223261415181920212224[[#This Row],[Stand Gekoeld liter vorige maand]]</f>
        <v>95.299999999999955</v>
      </c>
      <c r="AK16" s="2">
        <f>Tabel242567891011121314151716181921202223261415181920212224[[#This Row],[Verbruik Gekoeld liter deze maand]]/0.15</f>
        <v>635.33333333333303</v>
      </c>
      <c r="AL16" s="51">
        <v>1036</v>
      </c>
      <c r="AM16">
        <f>november2025!AL16</f>
        <v>966.5</v>
      </c>
      <c r="AN16">
        <f>Tabel242567891011121314151716181921202223261415181920212224[[#This Row],[Stand Bruisend liter einde maand]]-Tabel242567891011121314151716181921202223261415181920212224[[#This Row],[Stand Bruisend liter vorige maand]]</f>
        <v>69.5</v>
      </c>
      <c r="AO16" s="2">
        <f>Tabel242567891011121314151716181921202223261415181920212224[[#This Row],[Verbruik Bruisend liter deze maand]]/0.15</f>
        <v>463.33333333333337</v>
      </c>
      <c r="AP16" s="51">
        <v>185.5</v>
      </c>
      <c r="AQ16">
        <f>november2025!AP16</f>
        <v>173.5</v>
      </c>
      <c r="AR16">
        <f>Tabel242567891011121314151716181921202223261415181920212224[[#This Row],[Stand licht bruisend liter einde maand]]-Tabel242567891011121314151716181921202223261415181920212224[[#This Row],[Stand licht bruisend liter vorige maand]]</f>
        <v>12</v>
      </c>
      <c r="AS16" s="2">
        <f>Tabel242567891011121314151716181921202223261415181920212224[[#This Row],[Verbruik licht bruisend liter deze maand]]/0.15</f>
        <v>80</v>
      </c>
      <c r="AT16" s="51">
        <v>2559.5</v>
      </c>
      <c r="AU16">
        <f>november2025!AT16</f>
        <v>2330.9</v>
      </c>
      <c r="AV16">
        <f>Tabel242567891011121314151716181921202223261415181920212224[[#This Row],[Stand heet water liter einde maand]]-Tabel242567891011121314151716181921202223261415181920212224[[#This Row],[Stand heet water liter vorige maand]]</f>
        <v>228.59999999999991</v>
      </c>
      <c r="AW16" s="2">
        <f>Tabel242567891011121314151716181921202223261415181920212224[[#This Row],[Verbruik heet Water liter deze maand ]]/0.15</f>
        <v>1523.9999999999995</v>
      </c>
      <c r="AX16" s="77">
        <f>Tabel242567891011121314151716181921202223261415181920212224[[#This Row],[Aantal consumpties heet water deze maand]]+Tabel242567891011121314151716181921202223261415181920212224[[#This Row],[Aantal consumpties licht bruisend water deze maand]]+Tabel242567891011121314151716181921202223261415181920212224[[#This Row],[aantal consumpties Bruisend water deze maand]]+Tabel242567891011121314151716181921202223261415181920212224[[#This Row],[Aantal consumpties gekoeld water deze maand]]+Tabel242567891011121314151716181921202223261415181920212224[[#This Row],[Aantal consumpties Kamertemp deze maand]]</f>
        <v>2735.3333333333326</v>
      </c>
      <c r="AY16" s="95">
        <f>Tabel242567891011121314151716181921202223261415181920212224[[#This Row],[Subtotaal waterbar in consumpties]]+Tabel242567891011121314151716181921202223261415181920212224[[#This Row],[Subtotaal koffieautomaten]]</f>
        <v>3551.3333333333326</v>
      </c>
    </row>
    <row r="17" spans="1:130" ht="14.45" customHeight="1" x14ac:dyDescent="0.25">
      <c r="A17" s="65" t="s">
        <v>56</v>
      </c>
      <c r="B17" t="s">
        <v>57</v>
      </c>
      <c r="C17" t="s">
        <v>31</v>
      </c>
      <c r="E17">
        <v>35191</v>
      </c>
      <c r="F17">
        <f>november2025!E17</f>
        <v>34536</v>
      </c>
      <c r="G17">
        <f>Tabel242567891011121314151716181921202223261415181920212224[[#This Row],[Stand Coffee einde maand]]-Tabel242567891011121314151716181921202223261415181920212224[[#This Row],[Coffee vorige maand]]</f>
        <v>655</v>
      </c>
      <c r="H17" s="53">
        <v>6543</v>
      </c>
      <c r="I17">
        <f>november2025!H17</f>
        <v>6472</v>
      </c>
      <c r="J17">
        <f>Tabel242567891011121314151716181921202223261415181920212224[[#This Row],[Stand Espresso Einde maand]]-Tabel242567891011121314151716181921202223261415181920212224[[#This Row],[Espresso vorige maand]]</f>
        <v>71</v>
      </c>
      <c r="K17" s="53">
        <v>894</v>
      </c>
      <c r="L17">
        <f>november2025!K17</f>
        <v>892</v>
      </c>
      <c r="M17">
        <f>Tabel242567891011121314151716181921202223261415181920212224[[#This Row],[Stand Latte Macchiato einde maand]]-Tabel242567891011121314151716181921202223261415181920212224[[#This Row],[Latte Macchiato vorige maand]]</f>
        <v>2</v>
      </c>
      <c r="N17" s="53">
        <v>1922</v>
      </c>
      <c r="O17">
        <f>november2025!N17</f>
        <v>1900</v>
      </c>
      <c r="P17">
        <f>Tabel242567891011121314151716181921202223261415181920212224[[#This Row],[Stand Coffee Latte einde maand]]-Tabel242567891011121314151716181921202223261415181920212224[[#This Row],[Coffee Latte vorige maand]]</f>
        <v>22</v>
      </c>
      <c r="Q17" s="53">
        <v>57226</v>
      </c>
      <c r="R17">
        <f>november2025!Q17</f>
        <v>55749</v>
      </c>
      <c r="S17">
        <f>Tabel242567891011121314151716181921202223261415181920212224[[#This Row],[Stand Hot Water einde maand]]-Tabel242567891011121314151716181921202223261415181920212224[[#This Row],[Hot Water vorige maand]]</f>
        <v>1477</v>
      </c>
      <c r="T17" s="53">
        <v>13149</v>
      </c>
      <c r="U17">
        <f>november2025!T17</f>
        <v>13012</v>
      </c>
      <c r="V17">
        <f>Tabel242567891011121314151716181921202223261415181920212224[[#This Row],[Stand Cappucino einde maand]]-Tabel242567891011121314151716181921202223261415181920212224[[#This Row],[Stand Cappucino vorige maand]]</f>
        <v>137</v>
      </c>
      <c r="W17" s="53">
        <v>4054</v>
      </c>
      <c r="X17">
        <f>november2025!W17</f>
        <v>4005</v>
      </c>
      <c r="Y17">
        <f>Tabel242567891011121314151716181921202223261415181920212224[[#This Row],[Stand Cappucino Plantaardig einde maand]]-Tabel242567891011121314151716181921202223261415181920212224[[#This Row],[Stand Cappucino Plantaardig vorige maand]]</f>
        <v>49</v>
      </c>
      <c r="Z17" s="53">
        <v>1071</v>
      </c>
      <c r="AA17">
        <f>november2025!Z17</f>
        <v>1065</v>
      </c>
      <c r="AB17">
        <f>Tabel242567891011121314151716181921202223261415181920212224[[#This Row],[Stand Latte Macchiato Plantaardig einde maand]]-Tabel242567891011121314151716181921202223261415181920212224[[#This Row],[Stand Latte Macchiato Plantaardig vorige maand]]</f>
        <v>6</v>
      </c>
      <c r="AC17" s="71">
        <f>Tabel242567891011121314151716181921202223261415181920212224[[#This Row],[Verbruik Stand Latte Macchiato Plantaardig deze maand]]+Tabel242567891011121314151716181921202223261415181920212224[[#This Row],[Verbruik  Cappucino Plantaardig deze maand]]+Tabel242567891011121314151716181921202223261415181920212224[[#This Row],[Verbruik Cappucino deze maand]]+Tabel242567891011121314151716181921202223261415181920212224[[#This Row],[Verbruik Hot Water deze maand]]+Tabel242567891011121314151716181921202223261415181920212224[[#This Row],[Verbruik Coffee Latte deze maand]]+Tabel242567891011121314151716181921202223261415181920212224[[#This Row],[Verbruik Latte Macchiato deze maand]]+Tabel242567891011121314151716181921202223261415181920212224[[#This Row],[Verbruik Espresso deze maand]]+Tabel242567891011121314151716181921202223261415181920212224[[#This Row],[Verbruik Coffee deze maand]]</f>
        <v>2419</v>
      </c>
      <c r="AD17" s="69"/>
      <c r="AE17" s="41"/>
      <c r="AF17" s="5"/>
      <c r="AG17" s="5"/>
      <c r="AH17" s="75"/>
      <c r="AI17" s="41"/>
      <c r="AJ17" s="5"/>
      <c r="AK17" s="5"/>
      <c r="AL17" s="75"/>
      <c r="AM17" s="41"/>
      <c r="AN17" s="5"/>
      <c r="AO17" s="5"/>
      <c r="AP17" s="75"/>
      <c r="AQ17" s="41"/>
      <c r="AR17" s="5"/>
      <c r="AS17" s="5"/>
      <c r="AT17" s="75"/>
      <c r="AU17" s="41"/>
      <c r="AV17" s="5"/>
      <c r="AW17" s="5"/>
      <c r="AX17" s="79"/>
      <c r="AY17" s="95">
        <f>Tabel242567891011121314151716181921202223261415181920212224[[#This Row],[Subtotaal waterbar in consumpties]]+Tabel242567891011121314151716181921202223261415181920212224[[#This Row],[Subtotaal koffieautomaten]]</f>
        <v>2419</v>
      </c>
    </row>
    <row r="18" spans="1:130" ht="14.45" customHeight="1" x14ac:dyDescent="0.25">
      <c r="A18" s="65" t="s">
        <v>58</v>
      </c>
      <c r="B18" t="s">
        <v>59</v>
      </c>
      <c r="C18" t="s">
        <v>47</v>
      </c>
      <c r="E18">
        <v>24168</v>
      </c>
      <c r="F18">
        <f>november2025!E18</f>
        <v>23701</v>
      </c>
      <c r="G18">
        <f>Tabel242567891011121314151716181921202223261415181920212224[[#This Row],[Stand Coffee einde maand]]-Tabel242567891011121314151716181921202223261415181920212224[[#This Row],[Coffee vorige maand]]</f>
        <v>467</v>
      </c>
      <c r="H18" s="53">
        <v>7429</v>
      </c>
      <c r="I18">
        <f>november2025!H18</f>
        <v>7218</v>
      </c>
      <c r="J18">
        <f>Tabel242567891011121314151716181921202223261415181920212224[[#This Row],[Stand Espresso Einde maand]]-Tabel242567891011121314151716181921202223261415181920212224[[#This Row],[Espresso vorige maand]]</f>
        <v>211</v>
      </c>
      <c r="K18" s="53">
        <v>3397</v>
      </c>
      <c r="L18">
        <f>november2025!K18</f>
        <v>3312</v>
      </c>
      <c r="M18">
        <f>Tabel242567891011121314151716181921202223261415181920212224[[#This Row],[Stand Latte Macchiato einde maand]]-Tabel242567891011121314151716181921202223261415181920212224[[#This Row],[Latte Macchiato vorige maand]]</f>
        <v>85</v>
      </c>
      <c r="N18" s="53">
        <v>898</v>
      </c>
      <c r="O18">
        <f>november2025!N18</f>
        <v>886</v>
      </c>
      <c r="P18">
        <f>Tabel242567891011121314151716181921202223261415181920212224[[#This Row],[Stand Coffee Latte einde maand]]-Tabel242567891011121314151716181921202223261415181920212224[[#This Row],[Coffee Latte vorige maand]]</f>
        <v>12</v>
      </c>
      <c r="Q18" s="53">
        <v>1</v>
      </c>
      <c r="R18">
        <f>november2025!Q18</f>
        <v>1</v>
      </c>
      <c r="S18">
        <f>Tabel242567891011121314151716181921202223261415181920212224[[#This Row],[Stand Hot Water einde maand]]-Tabel242567891011121314151716181921202223261415181920212224[[#This Row],[Hot Water vorige maand]]</f>
        <v>0</v>
      </c>
      <c r="T18" s="53">
        <v>13234</v>
      </c>
      <c r="U18">
        <f>november2025!T18</f>
        <v>13040</v>
      </c>
      <c r="V18">
        <f>Tabel242567891011121314151716181921202223261415181920212224[[#This Row],[Stand Cappucino einde maand]]-Tabel242567891011121314151716181921202223261415181920212224[[#This Row],[Stand Cappucino vorige maand]]</f>
        <v>194</v>
      </c>
      <c r="W18" s="53">
        <v>4780</v>
      </c>
      <c r="X18">
        <f>november2025!W18</f>
        <v>4701</v>
      </c>
      <c r="Y18">
        <f>Tabel242567891011121314151716181921202223261415181920212224[[#This Row],[Stand Cappucino Plantaardig einde maand]]-Tabel242567891011121314151716181921202223261415181920212224[[#This Row],[Stand Cappucino Plantaardig vorige maand]]</f>
        <v>79</v>
      </c>
      <c r="Z18" s="53">
        <v>565</v>
      </c>
      <c r="AA18">
        <f>november2025!Z18</f>
        <v>554</v>
      </c>
      <c r="AB18">
        <f>Tabel242567891011121314151716181921202223261415181920212224[[#This Row],[Stand Latte Macchiato Plantaardig einde maand]]-Tabel242567891011121314151716181921202223261415181920212224[[#This Row],[Stand Latte Macchiato Plantaardig vorige maand]]</f>
        <v>11</v>
      </c>
      <c r="AC18" s="71">
        <f>Tabel242567891011121314151716181921202223261415181920212224[[#This Row],[Verbruik Stand Latte Macchiato Plantaardig deze maand]]+Tabel242567891011121314151716181921202223261415181920212224[[#This Row],[Verbruik  Cappucino Plantaardig deze maand]]+Tabel242567891011121314151716181921202223261415181920212224[[#This Row],[Verbruik Cappucino deze maand]]+Tabel242567891011121314151716181921202223261415181920212224[[#This Row],[Verbruik Hot Water deze maand]]+Tabel242567891011121314151716181921202223261415181920212224[[#This Row],[Verbruik Coffee Latte deze maand]]+Tabel242567891011121314151716181921202223261415181920212224[[#This Row],[Verbruik Latte Macchiato deze maand]]+Tabel242567891011121314151716181921202223261415181920212224[[#This Row],[Verbruik Espresso deze maand]]+Tabel242567891011121314151716181921202223261415181920212224[[#This Row],[Verbruik Coffee deze maand]]</f>
        <v>1059</v>
      </c>
      <c r="AD18" s="53">
        <v>800.3</v>
      </c>
      <c r="AE18">
        <f>november2025!AD18</f>
        <v>778.7</v>
      </c>
      <c r="AF18">
        <f>Tabel242567891011121314151716181921202223261415181920212224[[#This Row],[Stand Kamertemp liter einde maand]]-Tabel242567891011121314151716181921202223261415181920212224[[#This Row],[Stand Kamertemp liter vorige maand]]</f>
        <v>21.599999999999909</v>
      </c>
      <c r="AG18" s="2">
        <f>Tabel242567891011121314151716181921202223261415181920212224[[#This Row],[Verbruik Kamertemp liter deze maand]]/0.15</f>
        <v>143.9999999999994</v>
      </c>
      <c r="AH18" s="53">
        <v>3626.9</v>
      </c>
      <c r="AI18">
        <f>november2025!AH18</f>
        <v>3489.6</v>
      </c>
      <c r="AJ18">
        <f>Tabel242567891011121314151716181921202223261415181920212224[[#This Row],[Stand Gekoeld liter einde maand]]-Tabel242567891011121314151716181921202223261415181920212224[[#This Row],[Stand Gekoeld liter vorige maand]]</f>
        <v>137.30000000000018</v>
      </c>
      <c r="AK18" s="2">
        <f>Tabel242567891011121314151716181921202223261415181920212224[[#This Row],[Verbruik Gekoeld liter deze maand]]/0.15</f>
        <v>915.33333333333462</v>
      </c>
      <c r="AL18" s="53">
        <v>2723.5</v>
      </c>
      <c r="AM18">
        <f>november2025!AL18</f>
        <v>2656.2</v>
      </c>
      <c r="AN18">
        <f>Tabel242567891011121314151716181921202223261415181920212224[[#This Row],[Stand Bruisend liter einde maand]]-Tabel242567891011121314151716181921202223261415181920212224[[#This Row],[Stand Bruisend liter vorige maand]]</f>
        <v>67.300000000000182</v>
      </c>
      <c r="AO18" s="2">
        <f>Tabel242567891011121314151716181921202223261415181920212224[[#This Row],[Verbruik Bruisend liter deze maand]]/0.15</f>
        <v>448.66666666666788</v>
      </c>
      <c r="AP18" s="53">
        <v>1065.2</v>
      </c>
      <c r="AQ18">
        <f>november2025!AP18</f>
        <v>1020.5</v>
      </c>
      <c r="AR18">
        <f>Tabel242567891011121314151716181921202223261415181920212224[[#This Row],[Stand licht bruisend liter einde maand]]-Tabel242567891011121314151716181921202223261415181920212224[[#This Row],[Stand licht bruisend liter vorige maand]]</f>
        <v>44.700000000000045</v>
      </c>
      <c r="AS18" s="2">
        <f>Tabel242567891011121314151716181921202223261415181920212224[[#This Row],[Verbruik licht bruisend liter deze maand]]/0.15</f>
        <v>298.00000000000034</v>
      </c>
      <c r="AT18" s="53">
        <v>7076.8</v>
      </c>
      <c r="AU18">
        <f>november2025!AT18</f>
        <v>6819.9</v>
      </c>
      <c r="AV18">
        <f>Tabel242567891011121314151716181921202223261415181920212224[[#This Row],[Stand heet water liter einde maand]]-Tabel242567891011121314151716181921202223261415181920212224[[#This Row],[Stand heet water liter vorige maand]]</f>
        <v>256.90000000000055</v>
      </c>
      <c r="AW18" s="2">
        <f>Tabel242567891011121314151716181921202223261415181920212224[[#This Row],[Verbruik heet Water liter deze maand ]]/0.15</f>
        <v>1712.6666666666704</v>
      </c>
      <c r="AX18" s="77">
        <f>Tabel242567891011121314151716181921202223261415181920212224[[#This Row],[Aantal consumpties heet water deze maand]]+Tabel242567891011121314151716181921202223261415181920212224[[#This Row],[Aantal consumpties licht bruisend water deze maand]]+Tabel242567891011121314151716181921202223261415181920212224[[#This Row],[aantal consumpties Bruisend water deze maand]]+Tabel242567891011121314151716181921202223261415181920212224[[#This Row],[Aantal consumpties gekoeld water deze maand]]+Tabel242567891011121314151716181921202223261415181920212224[[#This Row],[Aantal consumpties Kamertemp deze maand]]</f>
        <v>3518.6666666666729</v>
      </c>
      <c r="AY18" s="95">
        <f>Tabel242567891011121314151716181921202223261415181920212224[[#This Row],[Subtotaal waterbar in consumpties]]+Tabel242567891011121314151716181921202223261415181920212224[[#This Row],[Subtotaal koffieautomaten]]</f>
        <v>4577.6666666666733</v>
      </c>
    </row>
    <row r="19" spans="1:130" ht="14.45" customHeight="1" x14ac:dyDescent="0.25">
      <c r="A19" s="65" t="s">
        <v>60</v>
      </c>
      <c r="B19" t="s">
        <v>61</v>
      </c>
      <c r="C19" t="s">
        <v>31</v>
      </c>
      <c r="E19">
        <v>27204</v>
      </c>
      <c r="F19">
        <f>november2025!E19</f>
        <v>26478</v>
      </c>
      <c r="G19">
        <f>Tabel242567891011121314151716181921202223261415181920212224[[#This Row],[Stand Coffee einde maand]]-Tabel242567891011121314151716181921202223261415181920212224[[#This Row],[Coffee vorige maand]]</f>
        <v>726</v>
      </c>
      <c r="H19" s="53">
        <v>5683</v>
      </c>
      <c r="I19">
        <f>november2025!H19</f>
        <v>5593</v>
      </c>
      <c r="J19">
        <f>Tabel242567891011121314151716181921202223261415181920212224[[#This Row],[Stand Espresso Einde maand]]-Tabel242567891011121314151716181921202223261415181920212224[[#This Row],[Espresso vorige maand]]</f>
        <v>90</v>
      </c>
      <c r="K19" s="53">
        <v>2054</v>
      </c>
      <c r="L19">
        <f>november2025!K19</f>
        <v>1996</v>
      </c>
      <c r="M19">
        <f>Tabel242567891011121314151716181921202223261415181920212224[[#This Row],[Stand Latte Macchiato einde maand]]-Tabel242567891011121314151716181921202223261415181920212224[[#This Row],[Latte Macchiato vorige maand]]</f>
        <v>58</v>
      </c>
      <c r="N19" s="53">
        <v>1168</v>
      </c>
      <c r="O19">
        <f>november2025!N19</f>
        <v>1153</v>
      </c>
      <c r="P19">
        <f>Tabel242567891011121314151716181921202223261415181920212224[[#This Row],[Stand Coffee Latte einde maand]]-Tabel242567891011121314151716181921202223261415181920212224[[#This Row],[Coffee Latte vorige maand]]</f>
        <v>15</v>
      </c>
      <c r="Q19" s="53">
        <v>61856</v>
      </c>
      <c r="R19">
        <f>november2025!Q19</f>
        <v>60437</v>
      </c>
      <c r="S19">
        <f>Tabel242567891011121314151716181921202223261415181920212224[[#This Row],[Stand Hot Water einde maand]]-Tabel242567891011121314151716181921202223261415181920212224[[#This Row],[Hot Water vorige maand]]</f>
        <v>1419</v>
      </c>
      <c r="T19" s="53">
        <v>13905</v>
      </c>
      <c r="U19">
        <f>november2025!T19</f>
        <v>13656</v>
      </c>
      <c r="V19">
        <f>Tabel242567891011121314151716181921202223261415181920212224[[#This Row],[Stand Cappucino einde maand]]-Tabel242567891011121314151716181921202223261415181920212224[[#This Row],[Stand Cappucino vorige maand]]</f>
        <v>249</v>
      </c>
      <c r="W19" s="53">
        <v>2323</v>
      </c>
      <c r="X19">
        <f>november2025!W19</f>
        <v>2277</v>
      </c>
      <c r="Y19">
        <f>Tabel242567891011121314151716181921202223261415181920212224[[#This Row],[Stand Cappucino Plantaardig einde maand]]-Tabel242567891011121314151716181921202223261415181920212224[[#This Row],[Stand Cappucino Plantaardig vorige maand]]</f>
        <v>46</v>
      </c>
      <c r="Z19" s="53">
        <v>621</v>
      </c>
      <c r="AA19">
        <f>november2025!Z19</f>
        <v>614</v>
      </c>
      <c r="AB19">
        <f>Tabel242567891011121314151716181921202223261415181920212224[[#This Row],[Stand Latte Macchiato Plantaardig einde maand]]-Tabel242567891011121314151716181921202223261415181920212224[[#This Row],[Stand Latte Macchiato Plantaardig vorige maand]]</f>
        <v>7</v>
      </c>
      <c r="AC19" s="71">
        <f>Tabel242567891011121314151716181921202223261415181920212224[[#This Row],[Verbruik Stand Latte Macchiato Plantaardig deze maand]]+Tabel242567891011121314151716181921202223261415181920212224[[#This Row],[Verbruik  Cappucino Plantaardig deze maand]]+Tabel242567891011121314151716181921202223261415181920212224[[#This Row],[Verbruik Cappucino deze maand]]+Tabel242567891011121314151716181921202223261415181920212224[[#This Row],[Verbruik Hot Water deze maand]]+Tabel242567891011121314151716181921202223261415181920212224[[#This Row],[Verbruik Coffee Latte deze maand]]+Tabel242567891011121314151716181921202223261415181920212224[[#This Row],[Verbruik Latte Macchiato deze maand]]+Tabel242567891011121314151716181921202223261415181920212224[[#This Row],[Verbruik Espresso deze maand]]+Tabel242567891011121314151716181921202223261415181920212224[[#This Row],[Verbruik Coffee deze maand]]</f>
        <v>2610</v>
      </c>
      <c r="AD19" s="69"/>
      <c r="AE19" s="41"/>
      <c r="AF19" s="5"/>
      <c r="AG19" s="5"/>
      <c r="AH19" s="75"/>
      <c r="AI19" s="41"/>
      <c r="AJ19" s="5"/>
      <c r="AK19" s="5"/>
      <c r="AL19" s="75"/>
      <c r="AM19" s="41"/>
      <c r="AN19" s="5"/>
      <c r="AO19" s="5"/>
      <c r="AP19" s="75"/>
      <c r="AQ19" s="41"/>
      <c r="AR19" s="5"/>
      <c r="AS19" s="5"/>
      <c r="AT19" s="75"/>
      <c r="AU19" s="41"/>
      <c r="AV19" s="5"/>
      <c r="AW19" s="5"/>
      <c r="AX19" s="79"/>
      <c r="AY19" s="95">
        <f>Tabel242567891011121314151716181921202223261415181920212224[[#This Row],[Subtotaal waterbar in consumpties]]+Tabel242567891011121314151716181921202223261415181920212224[[#This Row],[Subtotaal koffieautomaten]]</f>
        <v>2610</v>
      </c>
    </row>
    <row r="20" spans="1:130" ht="14.45" customHeight="1" x14ac:dyDescent="0.25">
      <c r="A20" s="65" t="s">
        <v>62</v>
      </c>
      <c r="B20" t="s">
        <v>63</v>
      </c>
      <c r="C20" t="s">
        <v>47</v>
      </c>
      <c r="E20">
        <v>12300</v>
      </c>
      <c r="F20">
        <f>november2025!E20</f>
        <v>11716</v>
      </c>
      <c r="G20">
        <f>Tabel242567891011121314151716181921202223261415181920212224[[#This Row],[Stand Coffee einde maand]]-Tabel242567891011121314151716181921202223261415181920212224[[#This Row],[Coffee vorige maand]]</f>
        <v>584</v>
      </c>
      <c r="H20" s="53">
        <v>2276</v>
      </c>
      <c r="I20">
        <f>november2025!H20</f>
        <v>2178</v>
      </c>
      <c r="J20">
        <f>Tabel242567891011121314151716181921202223261415181920212224[[#This Row],[Stand Espresso Einde maand]]-Tabel242567891011121314151716181921202223261415181920212224[[#This Row],[Espresso vorige maand]]</f>
        <v>98</v>
      </c>
      <c r="K20" s="53">
        <v>476</v>
      </c>
      <c r="L20">
        <f>november2025!K20</f>
        <v>443</v>
      </c>
      <c r="M20">
        <f>Tabel242567891011121314151716181921202223261415181920212224[[#This Row],[Stand Latte Macchiato einde maand]]-Tabel242567891011121314151716181921202223261415181920212224[[#This Row],[Latte Macchiato vorige maand]]</f>
        <v>33</v>
      </c>
      <c r="N20" s="53">
        <v>957</v>
      </c>
      <c r="O20">
        <f>november2025!N20</f>
        <v>917</v>
      </c>
      <c r="P20">
        <f>Tabel242567891011121314151716181921202223261415181920212224[[#This Row],[Stand Coffee Latte einde maand]]-Tabel242567891011121314151716181921202223261415181920212224[[#This Row],[Coffee Latte vorige maand]]</f>
        <v>40</v>
      </c>
      <c r="Q20" s="53">
        <v>4264</v>
      </c>
      <c r="R20">
        <f>november2025!Q20</f>
        <v>4065</v>
      </c>
      <c r="S20">
        <f>Tabel242567891011121314151716181921202223261415181920212224[[#This Row],[Stand Hot Water einde maand]]-Tabel242567891011121314151716181921202223261415181920212224[[#This Row],[Hot Water vorige maand]]</f>
        <v>199</v>
      </c>
      <c r="T20" s="53">
        <v>3916</v>
      </c>
      <c r="U20">
        <f>november2025!T20</f>
        <v>3746</v>
      </c>
      <c r="V20">
        <f>Tabel242567891011121314151716181921202223261415181920212224[[#This Row],[Stand Cappucino einde maand]]-Tabel242567891011121314151716181921202223261415181920212224[[#This Row],[Stand Cappucino vorige maand]]</f>
        <v>170</v>
      </c>
      <c r="W20" s="53">
        <v>1201</v>
      </c>
      <c r="X20">
        <f>november2025!W20</f>
        <v>1140</v>
      </c>
      <c r="Y20">
        <f>Tabel242567891011121314151716181921202223261415181920212224[[#This Row],[Stand Cappucino Plantaardig einde maand]]-Tabel242567891011121314151716181921202223261415181920212224[[#This Row],[Stand Cappucino Plantaardig vorige maand]]</f>
        <v>61</v>
      </c>
      <c r="Z20" s="53">
        <v>451</v>
      </c>
      <c r="AA20">
        <f>november2025!Z20</f>
        <v>431</v>
      </c>
      <c r="AB20">
        <f>Tabel242567891011121314151716181921202223261415181920212224[[#This Row],[Stand Latte Macchiato Plantaardig einde maand]]-Tabel242567891011121314151716181921202223261415181920212224[[#This Row],[Stand Latte Macchiato Plantaardig vorige maand]]</f>
        <v>20</v>
      </c>
      <c r="AC20" s="71">
        <f>Tabel242567891011121314151716181921202223261415181920212224[[#This Row],[Verbruik Stand Latte Macchiato Plantaardig deze maand]]+Tabel242567891011121314151716181921202223261415181920212224[[#This Row],[Verbruik  Cappucino Plantaardig deze maand]]+Tabel242567891011121314151716181921202223261415181920212224[[#This Row],[Verbruik Cappucino deze maand]]+Tabel242567891011121314151716181921202223261415181920212224[[#This Row],[Verbruik Hot Water deze maand]]+Tabel242567891011121314151716181921202223261415181920212224[[#This Row],[Verbruik Coffee Latte deze maand]]+Tabel242567891011121314151716181921202223261415181920212224[[#This Row],[Verbruik Latte Macchiato deze maand]]+Tabel242567891011121314151716181921202223261415181920212224[[#This Row],[Verbruik Espresso deze maand]]+Tabel242567891011121314151716181921202223261415181920212224[[#This Row],[Verbruik Coffee deze maand]]</f>
        <v>1205</v>
      </c>
      <c r="AD20" s="53">
        <v>300.2</v>
      </c>
      <c r="AE20">
        <f>november2025!AD20</f>
        <v>284.2</v>
      </c>
      <c r="AF20">
        <f>Tabel242567891011121314151716181921202223261415181920212224[[#This Row],[Stand Kamertemp liter einde maand]]-Tabel242567891011121314151716181921202223261415181920212224[[#This Row],[Stand Kamertemp liter vorige maand]]</f>
        <v>16</v>
      </c>
      <c r="AG20" s="2">
        <f>Tabel242567891011121314151716181921202223261415181920212224[[#This Row],[Verbruik Kamertemp liter deze maand]]/0.15</f>
        <v>106.66666666666667</v>
      </c>
      <c r="AH20" s="51">
        <v>2530.4</v>
      </c>
      <c r="AI20">
        <f>november2025!AH20</f>
        <v>2431.9</v>
      </c>
      <c r="AJ20">
        <f>Tabel242567891011121314151716181921202223261415181920212224[[#This Row],[Stand Gekoeld liter einde maand]]-Tabel242567891011121314151716181921202223261415181920212224[[#This Row],[Stand Gekoeld liter vorige maand]]</f>
        <v>98.5</v>
      </c>
      <c r="AK20" s="2">
        <f>Tabel242567891011121314151716181921202223261415181920212224[[#This Row],[Verbruik Gekoeld liter deze maand]]/0.15</f>
        <v>656.66666666666674</v>
      </c>
      <c r="AL20" s="51">
        <v>2870.5</v>
      </c>
      <c r="AM20">
        <f>november2025!AL20</f>
        <v>2780.4</v>
      </c>
      <c r="AN20">
        <f>Tabel242567891011121314151716181921202223261415181920212224[[#This Row],[Stand Bruisend liter einde maand]]-Tabel242567891011121314151716181921202223261415181920212224[[#This Row],[Stand Bruisend liter vorige maand]]</f>
        <v>90.099999999999909</v>
      </c>
      <c r="AO20" s="2">
        <f>Tabel242567891011121314151716181921202223261415181920212224[[#This Row],[Verbruik Bruisend liter deze maand]]/0.15</f>
        <v>600.66666666666606</v>
      </c>
      <c r="AP20" s="51">
        <v>751.5</v>
      </c>
      <c r="AQ20">
        <f>november2025!AP20</f>
        <v>724.2</v>
      </c>
      <c r="AR20">
        <f>Tabel242567891011121314151716181921202223261415181920212224[[#This Row],[Stand licht bruisend liter einde maand]]-Tabel242567891011121314151716181921202223261415181920212224[[#This Row],[Stand licht bruisend liter vorige maand]]</f>
        <v>27.299999999999955</v>
      </c>
      <c r="AS20" s="2">
        <f>Tabel242567891011121314151716181921202223261415181920212224[[#This Row],[Verbruik licht bruisend liter deze maand]]/0.15</f>
        <v>181.99999999999972</v>
      </c>
      <c r="AT20" s="51">
        <v>6774.2</v>
      </c>
      <c r="AU20">
        <f>november2025!AT20</f>
        <v>6504.8</v>
      </c>
      <c r="AV20">
        <f>Tabel242567891011121314151716181921202223261415181920212224[[#This Row],[Stand heet water liter einde maand]]-Tabel242567891011121314151716181921202223261415181920212224[[#This Row],[Stand heet water liter vorige maand]]</f>
        <v>269.39999999999964</v>
      </c>
      <c r="AW20" s="2">
        <f>Tabel242567891011121314151716181921202223261415181920212224[[#This Row],[Verbruik heet Water liter deze maand ]]/0.15</f>
        <v>1795.9999999999977</v>
      </c>
      <c r="AX20" s="77">
        <f>Tabel242567891011121314151716181921202223261415181920212224[[#This Row],[Aantal consumpties heet water deze maand]]+Tabel242567891011121314151716181921202223261415181920212224[[#This Row],[Aantal consumpties licht bruisend water deze maand]]+Tabel242567891011121314151716181921202223261415181920212224[[#This Row],[aantal consumpties Bruisend water deze maand]]+Tabel242567891011121314151716181921202223261415181920212224[[#This Row],[Aantal consumpties gekoeld water deze maand]]+Tabel242567891011121314151716181921202223261415181920212224[[#This Row],[Aantal consumpties Kamertemp deze maand]]</f>
        <v>3341.9999999999968</v>
      </c>
      <c r="AY20" s="95">
        <f>Tabel242567891011121314151716181921202223261415181920212224[[#This Row],[Subtotaal waterbar in consumpties]]+Tabel242567891011121314151716181921202223261415181920212224[[#This Row],[Subtotaal koffieautomaten]]</f>
        <v>4546.9999999999964</v>
      </c>
    </row>
    <row r="21" spans="1:130" ht="14.45" customHeight="1" x14ac:dyDescent="0.25">
      <c r="A21" s="65" t="s">
        <v>64</v>
      </c>
      <c r="B21" t="s">
        <v>65</v>
      </c>
      <c r="C21" t="s">
        <v>31</v>
      </c>
      <c r="E21">
        <v>31006</v>
      </c>
      <c r="F21">
        <f>november2025!E21</f>
        <v>30205</v>
      </c>
      <c r="G21">
        <f>Tabel242567891011121314151716181921202223261415181920212224[[#This Row],[Stand Coffee einde maand]]-Tabel242567891011121314151716181921202223261415181920212224[[#This Row],[Coffee vorige maand]]</f>
        <v>801</v>
      </c>
      <c r="H21" s="53">
        <v>9679</v>
      </c>
      <c r="I21">
        <f>november2025!H21</f>
        <v>9085</v>
      </c>
      <c r="J21">
        <f>Tabel242567891011121314151716181921202223261415181920212224[[#This Row],[Stand Espresso Einde maand]]-Tabel242567891011121314151716181921202223261415181920212224[[#This Row],[Espresso vorige maand]]</f>
        <v>594</v>
      </c>
      <c r="K21" s="53">
        <v>3358</v>
      </c>
      <c r="L21">
        <f>november2025!K21</f>
        <v>3311</v>
      </c>
      <c r="M21">
        <f>Tabel242567891011121314151716181921202223261415181920212224[[#This Row],[Stand Latte Macchiato einde maand]]-Tabel242567891011121314151716181921202223261415181920212224[[#This Row],[Latte Macchiato vorige maand]]</f>
        <v>47</v>
      </c>
      <c r="N21" s="53">
        <v>1444</v>
      </c>
      <c r="O21">
        <f>november2025!N21</f>
        <v>1401</v>
      </c>
      <c r="P21">
        <f>Tabel242567891011121314151716181921202223261415181920212224[[#This Row],[Stand Coffee Latte einde maand]]-Tabel242567891011121314151716181921202223261415181920212224[[#This Row],[Coffee Latte vorige maand]]</f>
        <v>43</v>
      </c>
      <c r="Q21" s="53">
        <v>68761</v>
      </c>
      <c r="R21">
        <f>november2025!Q21</f>
        <v>66741</v>
      </c>
      <c r="S21">
        <f>Tabel242567891011121314151716181921202223261415181920212224[[#This Row],[Stand Hot Water einde maand]]-Tabel242567891011121314151716181921202223261415181920212224[[#This Row],[Hot Water vorige maand]]</f>
        <v>2020</v>
      </c>
      <c r="T21" s="53">
        <v>18367</v>
      </c>
      <c r="U21">
        <f>november2025!T21</f>
        <v>18080</v>
      </c>
      <c r="V21">
        <f>Tabel242567891011121314151716181921202223261415181920212224[[#This Row],[Stand Cappucino einde maand]]-Tabel242567891011121314151716181921202223261415181920212224[[#This Row],[Stand Cappucino vorige maand]]</f>
        <v>287</v>
      </c>
      <c r="W21" s="53">
        <v>3231</v>
      </c>
      <c r="X21">
        <f>november2025!W21</f>
        <v>3178</v>
      </c>
      <c r="Y21">
        <f>Tabel242567891011121314151716181921202223261415181920212224[[#This Row],[Stand Cappucino Plantaardig einde maand]]-Tabel242567891011121314151716181921202223261415181920212224[[#This Row],[Stand Cappucino Plantaardig vorige maand]]</f>
        <v>53</v>
      </c>
      <c r="Z21" s="53">
        <v>1029</v>
      </c>
      <c r="AA21">
        <f>november2025!Z21</f>
        <v>1016</v>
      </c>
      <c r="AB21">
        <f>Tabel242567891011121314151716181921202223261415181920212224[[#This Row],[Stand Latte Macchiato Plantaardig einde maand]]-Tabel242567891011121314151716181921202223261415181920212224[[#This Row],[Stand Latte Macchiato Plantaardig vorige maand]]</f>
        <v>13</v>
      </c>
      <c r="AC21" s="71">
        <f>Tabel242567891011121314151716181921202223261415181920212224[[#This Row],[Verbruik Stand Latte Macchiato Plantaardig deze maand]]+Tabel242567891011121314151716181921202223261415181920212224[[#This Row],[Verbruik  Cappucino Plantaardig deze maand]]+Tabel242567891011121314151716181921202223261415181920212224[[#This Row],[Verbruik Cappucino deze maand]]+Tabel242567891011121314151716181921202223261415181920212224[[#This Row],[Verbruik Hot Water deze maand]]+Tabel242567891011121314151716181921202223261415181920212224[[#This Row],[Verbruik Coffee Latte deze maand]]+Tabel242567891011121314151716181921202223261415181920212224[[#This Row],[Verbruik Latte Macchiato deze maand]]+Tabel242567891011121314151716181921202223261415181920212224[[#This Row],[Verbruik Espresso deze maand]]+Tabel242567891011121314151716181921202223261415181920212224[[#This Row],[Verbruik Coffee deze maand]]</f>
        <v>3858</v>
      </c>
      <c r="AD21" s="69"/>
      <c r="AE21" s="41"/>
      <c r="AF21" s="5"/>
      <c r="AG21" s="5"/>
      <c r="AH21" s="75"/>
      <c r="AI21" s="41"/>
      <c r="AJ21" s="5"/>
      <c r="AK21" s="5"/>
      <c r="AL21" s="75"/>
      <c r="AM21" s="41"/>
      <c r="AN21" s="5"/>
      <c r="AO21" s="5"/>
      <c r="AP21" s="75"/>
      <c r="AQ21" s="41"/>
      <c r="AR21" s="5"/>
      <c r="AS21" s="5"/>
      <c r="AT21" s="75"/>
      <c r="AU21" s="41"/>
      <c r="AV21" s="5"/>
      <c r="AW21" s="5"/>
      <c r="AX21" s="79"/>
      <c r="AY21" s="95">
        <f>Tabel242567891011121314151716181921202223261415181920212224[[#This Row],[Subtotaal waterbar in consumpties]]+Tabel242567891011121314151716181921202223261415181920212224[[#This Row],[Subtotaal koffieautomaten]]</f>
        <v>3858</v>
      </c>
    </row>
    <row r="22" spans="1:130" ht="14.45" customHeight="1" x14ac:dyDescent="0.25">
      <c r="A22" s="65" t="s">
        <v>66</v>
      </c>
      <c r="B22" t="s">
        <v>67</v>
      </c>
      <c r="C22" t="s">
        <v>31</v>
      </c>
      <c r="E22">
        <v>36138</v>
      </c>
      <c r="F22">
        <f>november2025!E22</f>
        <v>36138</v>
      </c>
      <c r="G22">
        <f>Tabel242567891011121314151716181921202223261415181920212224[[#This Row],[Stand Coffee einde maand]]-Tabel242567891011121314151716181921202223261415181920212224[[#This Row],[Coffee vorige maand]]</f>
        <v>0</v>
      </c>
      <c r="H22" s="53">
        <v>6539</v>
      </c>
      <c r="I22">
        <f>november2025!H22</f>
        <v>6539</v>
      </c>
      <c r="J22">
        <f>Tabel242567891011121314151716181921202223261415181920212224[[#This Row],[Stand Espresso Einde maand]]-Tabel242567891011121314151716181921202223261415181920212224[[#This Row],[Espresso vorige maand]]</f>
        <v>0</v>
      </c>
      <c r="K22" s="53">
        <v>4056</v>
      </c>
      <c r="L22">
        <f>november2025!K22</f>
        <v>4056</v>
      </c>
      <c r="M22">
        <f>Tabel242567891011121314151716181921202223261415181920212224[[#This Row],[Stand Latte Macchiato einde maand]]-Tabel242567891011121314151716181921202223261415181920212224[[#This Row],[Latte Macchiato vorige maand]]</f>
        <v>0</v>
      </c>
      <c r="N22" s="53">
        <v>1002</v>
      </c>
      <c r="O22">
        <f>november2025!N22</f>
        <v>1002</v>
      </c>
      <c r="P22">
        <f>Tabel242567891011121314151716181921202223261415181920212224[[#This Row],[Stand Coffee Latte einde maand]]-Tabel242567891011121314151716181921202223261415181920212224[[#This Row],[Coffee Latte vorige maand]]</f>
        <v>0</v>
      </c>
      <c r="Q22" s="53">
        <v>56949</v>
      </c>
      <c r="R22">
        <f>november2025!Q22</f>
        <v>56949</v>
      </c>
      <c r="S22">
        <f>Tabel242567891011121314151716181921202223261415181920212224[[#This Row],[Stand Hot Water einde maand]]-Tabel242567891011121314151716181921202223261415181920212224[[#This Row],[Hot Water vorige maand]]</f>
        <v>0</v>
      </c>
      <c r="T22" s="53">
        <v>19117</v>
      </c>
      <c r="U22">
        <f>november2025!T22</f>
        <v>19117</v>
      </c>
      <c r="V22">
        <f>Tabel242567891011121314151716181921202223261415181920212224[[#This Row],[Stand Cappucino einde maand]]-Tabel242567891011121314151716181921202223261415181920212224[[#This Row],[Stand Cappucino vorige maand]]</f>
        <v>0</v>
      </c>
      <c r="W22" s="53">
        <v>4213</v>
      </c>
      <c r="X22">
        <f>november2025!W22</f>
        <v>4213</v>
      </c>
      <c r="Y22">
        <f>Tabel242567891011121314151716181921202223261415181920212224[[#This Row],[Stand Cappucino Plantaardig einde maand]]-Tabel242567891011121314151716181921202223261415181920212224[[#This Row],[Stand Cappucino Plantaardig vorige maand]]</f>
        <v>0</v>
      </c>
      <c r="Z22" s="53">
        <v>786</v>
      </c>
      <c r="AA22">
        <f>november2025!Z22</f>
        <v>786</v>
      </c>
      <c r="AB22">
        <f>Tabel242567891011121314151716181921202223261415181920212224[[#This Row],[Stand Latte Macchiato Plantaardig einde maand]]-Tabel242567891011121314151716181921202223261415181920212224[[#This Row],[Stand Latte Macchiato Plantaardig vorige maand]]</f>
        <v>0</v>
      </c>
      <c r="AC22" s="71">
        <f>Tabel242567891011121314151716181921202223261415181920212224[[#This Row],[Verbruik Stand Latte Macchiato Plantaardig deze maand]]+Tabel242567891011121314151716181921202223261415181920212224[[#This Row],[Verbruik  Cappucino Plantaardig deze maand]]+Tabel242567891011121314151716181921202223261415181920212224[[#This Row],[Verbruik Cappucino deze maand]]+Tabel242567891011121314151716181921202223261415181920212224[[#This Row],[Verbruik Hot Water deze maand]]+Tabel242567891011121314151716181921202223261415181920212224[[#This Row],[Verbruik Coffee Latte deze maand]]+Tabel242567891011121314151716181921202223261415181920212224[[#This Row],[Verbruik Latte Macchiato deze maand]]+Tabel242567891011121314151716181921202223261415181920212224[[#This Row],[Verbruik Espresso deze maand]]+Tabel242567891011121314151716181921202223261415181920212224[[#This Row],[Verbruik Coffee deze maand]]</f>
        <v>0</v>
      </c>
      <c r="AD22" s="69"/>
      <c r="AE22" s="41"/>
      <c r="AF22" s="5"/>
      <c r="AG22" s="5"/>
      <c r="AH22" s="75"/>
      <c r="AI22" s="41"/>
      <c r="AJ22" s="5"/>
      <c r="AK22" s="5"/>
      <c r="AL22" s="75"/>
      <c r="AM22" s="41"/>
      <c r="AN22" s="5"/>
      <c r="AO22" s="5"/>
      <c r="AP22" s="75"/>
      <c r="AQ22" s="41"/>
      <c r="AR22" s="5"/>
      <c r="AS22" s="5"/>
      <c r="AT22" s="75"/>
      <c r="AU22" s="41"/>
      <c r="AV22" s="5"/>
      <c r="AW22" s="5"/>
      <c r="AX22" s="79"/>
      <c r="AY22" s="95">
        <f>Tabel242567891011121314151716181921202223261415181920212224[[#This Row],[Subtotaal waterbar in consumpties]]+Tabel242567891011121314151716181921202223261415181920212224[[#This Row],[Subtotaal koffieautomaten]]</f>
        <v>0</v>
      </c>
    </row>
    <row r="23" spans="1:130" ht="14.45" customHeight="1" x14ac:dyDescent="0.25">
      <c r="A23" s="65" t="s">
        <v>68</v>
      </c>
      <c r="B23" t="s">
        <v>69</v>
      </c>
      <c r="C23" t="s">
        <v>47</v>
      </c>
      <c r="E23">
        <v>21167</v>
      </c>
      <c r="F23">
        <f>november2025!E23</f>
        <v>21167</v>
      </c>
      <c r="G23">
        <f>Tabel242567891011121314151716181921202223261415181920212224[[#This Row],[Stand Coffee einde maand]]-Tabel242567891011121314151716181921202223261415181920212224[[#This Row],[Coffee vorige maand]]</f>
        <v>0</v>
      </c>
      <c r="H23" s="53">
        <v>8415</v>
      </c>
      <c r="I23">
        <f>november2025!H23</f>
        <v>8415</v>
      </c>
      <c r="J23">
        <f>Tabel242567891011121314151716181921202223261415181920212224[[#This Row],[Stand Espresso Einde maand]]-Tabel242567891011121314151716181921202223261415181920212224[[#This Row],[Espresso vorige maand]]</f>
        <v>0</v>
      </c>
      <c r="K23" s="53">
        <v>6021</v>
      </c>
      <c r="L23">
        <f>november2025!K23</f>
        <v>6021</v>
      </c>
      <c r="M23">
        <f>Tabel242567891011121314151716181921202223261415181920212224[[#This Row],[Stand Latte Macchiato einde maand]]-Tabel242567891011121314151716181921202223261415181920212224[[#This Row],[Latte Macchiato vorige maand]]</f>
        <v>0</v>
      </c>
      <c r="N23" s="53">
        <v>1324</v>
      </c>
      <c r="O23">
        <f>november2025!N23</f>
        <v>1324</v>
      </c>
      <c r="P23">
        <f>Tabel242567891011121314151716181921202223261415181920212224[[#This Row],[Stand Coffee Latte einde maand]]-Tabel242567891011121314151716181921202223261415181920212224[[#This Row],[Coffee Latte vorige maand]]</f>
        <v>0</v>
      </c>
      <c r="Q23" s="53">
        <v>1</v>
      </c>
      <c r="R23">
        <f>november2025!Q23</f>
        <v>1</v>
      </c>
      <c r="S23">
        <f>Tabel242567891011121314151716181921202223261415181920212224[[#This Row],[Stand Hot Water einde maand]]-Tabel242567891011121314151716181921202223261415181920212224[[#This Row],[Hot Water vorige maand]]</f>
        <v>0</v>
      </c>
      <c r="T23" s="53">
        <v>17015</v>
      </c>
      <c r="U23">
        <f>november2025!T23</f>
        <v>17015</v>
      </c>
      <c r="V23">
        <f>Tabel242567891011121314151716181921202223261415181920212224[[#This Row],[Stand Cappucino einde maand]]-Tabel242567891011121314151716181921202223261415181920212224[[#This Row],[Stand Cappucino vorige maand]]</f>
        <v>0</v>
      </c>
      <c r="W23" s="53">
        <v>3278</v>
      </c>
      <c r="X23">
        <f>november2025!W23</f>
        <v>3278</v>
      </c>
      <c r="Y23">
        <f>Tabel242567891011121314151716181921202223261415181920212224[[#This Row],[Stand Cappucino Plantaardig einde maand]]-Tabel242567891011121314151716181921202223261415181920212224[[#This Row],[Stand Cappucino Plantaardig vorige maand]]</f>
        <v>0</v>
      </c>
      <c r="Z23" s="53">
        <v>988</v>
      </c>
      <c r="AA23">
        <f>november2025!Z23</f>
        <v>988</v>
      </c>
      <c r="AB23">
        <f>Tabel242567891011121314151716181921202223261415181920212224[[#This Row],[Stand Latte Macchiato Plantaardig einde maand]]-Tabel242567891011121314151716181921202223261415181920212224[[#This Row],[Stand Latte Macchiato Plantaardig vorige maand]]</f>
        <v>0</v>
      </c>
      <c r="AC23" s="71">
        <f>Tabel242567891011121314151716181921202223261415181920212224[[#This Row],[Verbruik Stand Latte Macchiato Plantaardig deze maand]]+Tabel242567891011121314151716181921202223261415181920212224[[#This Row],[Verbruik  Cappucino Plantaardig deze maand]]+Tabel242567891011121314151716181921202223261415181920212224[[#This Row],[Verbruik Cappucino deze maand]]+Tabel242567891011121314151716181921202223261415181920212224[[#This Row],[Verbruik Hot Water deze maand]]+Tabel242567891011121314151716181921202223261415181920212224[[#This Row],[Verbruik Coffee Latte deze maand]]+Tabel242567891011121314151716181921202223261415181920212224[[#This Row],[Verbruik Latte Macchiato deze maand]]+Tabel242567891011121314151716181921202223261415181920212224[[#This Row],[Verbruik Espresso deze maand]]+Tabel242567891011121314151716181921202223261415181920212224[[#This Row],[Verbruik Coffee deze maand]]</f>
        <v>0</v>
      </c>
      <c r="AD23" s="53">
        <v>224.7</v>
      </c>
      <c r="AE23">
        <f>november2025!AD23</f>
        <v>206.2</v>
      </c>
      <c r="AF23">
        <f>Tabel242567891011121314151716181921202223261415181920212224[[#This Row],[Stand Kamertemp liter einde maand]]-Tabel242567891011121314151716181921202223261415181920212224[[#This Row],[Stand Kamertemp liter vorige maand]]</f>
        <v>18.5</v>
      </c>
      <c r="AG23" s="2">
        <f>Tabel242567891011121314151716181921202223261415181920212224[[#This Row],[Verbruik Kamertemp liter deze maand]]/0.15</f>
        <v>123.33333333333334</v>
      </c>
      <c r="AH23" s="53">
        <v>2355</v>
      </c>
      <c r="AI23">
        <f>november2025!AH23</f>
        <v>2228.6</v>
      </c>
      <c r="AJ23">
        <f>Tabel242567891011121314151716181921202223261415181920212224[[#This Row],[Stand Gekoeld liter einde maand]]-Tabel242567891011121314151716181921202223261415181920212224[[#This Row],[Stand Gekoeld liter vorige maand]]</f>
        <v>126.40000000000009</v>
      </c>
      <c r="AK23" s="2">
        <f>Tabel242567891011121314151716181921202223261415181920212224[[#This Row],[Verbruik Gekoeld liter deze maand]]/0.15</f>
        <v>842.66666666666731</v>
      </c>
      <c r="AL23" s="53">
        <v>1361.1</v>
      </c>
      <c r="AM23">
        <f>november2025!AL23</f>
        <v>1261</v>
      </c>
      <c r="AN23">
        <f>Tabel242567891011121314151716181921202223261415181920212224[[#This Row],[Stand Bruisend liter einde maand]]-Tabel242567891011121314151716181921202223261415181920212224[[#This Row],[Stand Bruisend liter vorige maand]]</f>
        <v>100.09999999999991</v>
      </c>
      <c r="AO23" s="2">
        <f>Tabel242567891011121314151716181921202223261415181920212224[[#This Row],[Verbruik Bruisend liter deze maand]]/0.15</f>
        <v>667.3333333333328</v>
      </c>
      <c r="AP23" s="53">
        <v>235.8</v>
      </c>
      <c r="AQ23">
        <f>november2025!AP23</f>
        <v>218.5</v>
      </c>
      <c r="AR23">
        <f>Tabel242567891011121314151716181921202223261415181920212224[[#This Row],[Stand licht bruisend liter einde maand]]-Tabel242567891011121314151716181921202223261415181920212224[[#This Row],[Stand licht bruisend liter vorige maand]]</f>
        <v>17.300000000000011</v>
      </c>
      <c r="AS23" s="2">
        <f>Tabel242567891011121314151716181921202223261415181920212224[[#This Row],[Verbruik licht bruisend liter deze maand]]/0.15</f>
        <v>115.33333333333341</v>
      </c>
      <c r="AT23" s="53">
        <v>5041.5</v>
      </c>
      <c r="AU23">
        <f>november2025!AT23</f>
        <v>4657.5</v>
      </c>
      <c r="AV23">
        <f>Tabel242567891011121314151716181921202223261415181920212224[[#This Row],[Stand heet water liter einde maand]]-Tabel242567891011121314151716181921202223261415181920212224[[#This Row],[Stand heet water liter vorige maand]]</f>
        <v>384</v>
      </c>
      <c r="AW23" s="2">
        <f>Tabel242567891011121314151716181921202223261415181920212224[[#This Row],[Verbruik heet Water liter deze maand ]]/0.15</f>
        <v>2560</v>
      </c>
      <c r="AX23" s="77">
        <f>Tabel242567891011121314151716181921202223261415181920212224[[#This Row],[Aantal consumpties heet water deze maand]]+Tabel242567891011121314151716181921202223261415181920212224[[#This Row],[Aantal consumpties licht bruisend water deze maand]]+Tabel242567891011121314151716181921202223261415181920212224[[#This Row],[aantal consumpties Bruisend water deze maand]]+Tabel242567891011121314151716181921202223261415181920212224[[#This Row],[Aantal consumpties gekoeld water deze maand]]+Tabel242567891011121314151716181921202223261415181920212224[[#This Row],[Aantal consumpties Kamertemp deze maand]]</f>
        <v>4308.6666666666661</v>
      </c>
      <c r="AY23" s="95">
        <f>Tabel242567891011121314151716181921202223261415181920212224[[#This Row],[Subtotaal waterbar in consumpties]]+Tabel242567891011121314151716181921202223261415181920212224[[#This Row],[Subtotaal koffieautomaten]]</f>
        <v>4308.6666666666661</v>
      </c>
    </row>
    <row r="24" spans="1:130" ht="14.45" customHeight="1" x14ac:dyDescent="0.25">
      <c r="A24" s="65" t="s">
        <v>70</v>
      </c>
      <c r="B24" t="s">
        <v>71</v>
      </c>
      <c r="C24" t="s">
        <v>31</v>
      </c>
      <c r="E24">
        <v>23992</v>
      </c>
      <c r="F24">
        <f>november2025!E24</f>
        <v>23372</v>
      </c>
      <c r="G24">
        <f>Tabel242567891011121314151716181921202223261415181920212224[[#This Row],[Stand Coffee einde maand]]-Tabel242567891011121314151716181921202223261415181920212224[[#This Row],[Coffee vorige maand]]</f>
        <v>620</v>
      </c>
      <c r="H24" s="53">
        <v>3885</v>
      </c>
      <c r="I24">
        <f>november2025!H24</f>
        <v>3674</v>
      </c>
      <c r="J24">
        <f>Tabel242567891011121314151716181921202223261415181920212224[[#This Row],[Stand Espresso Einde maand]]-Tabel242567891011121314151716181921202223261415181920212224[[#This Row],[Espresso vorige maand]]</f>
        <v>211</v>
      </c>
      <c r="K24" s="53">
        <v>1533</v>
      </c>
      <c r="L24">
        <f>november2025!K24</f>
        <v>1512</v>
      </c>
      <c r="M24">
        <f>Tabel242567891011121314151716181921202223261415181920212224[[#This Row],[Stand Latte Macchiato einde maand]]-Tabel242567891011121314151716181921202223261415181920212224[[#This Row],[Latte Macchiato vorige maand]]</f>
        <v>21</v>
      </c>
      <c r="N24" s="53">
        <v>2787</v>
      </c>
      <c r="O24">
        <f>november2025!N24</f>
        <v>2736</v>
      </c>
      <c r="P24">
        <f>Tabel242567891011121314151716181921202223261415181920212224[[#This Row],[Stand Coffee Latte einde maand]]-Tabel242567891011121314151716181921202223261415181920212224[[#This Row],[Coffee Latte vorige maand]]</f>
        <v>51</v>
      </c>
      <c r="Q24" s="53">
        <v>46873</v>
      </c>
      <c r="R24">
        <f>november2025!Q24</f>
        <v>45443</v>
      </c>
      <c r="S24">
        <f>Tabel242567891011121314151716181921202223261415181920212224[[#This Row],[Stand Hot Water einde maand]]-Tabel242567891011121314151716181921202223261415181920212224[[#This Row],[Hot Water vorige maand]]</f>
        <v>1430</v>
      </c>
      <c r="T24" s="53">
        <v>8506</v>
      </c>
      <c r="U24">
        <f>november2025!T24</f>
        <v>8326</v>
      </c>
      <c r="V24">
        <f>Tabel242567891011121314151716181921202223261415181920212224[[#This Row],[Stand Cappucino einde maand]]-Tabel242567891011121314151716181921202223261415181920212224[[#This Row],[Stand Cappucino vorige maand]]</f>
        <v>180</v>
      </c>
      <c r="W24" s="53">
        <v>1397</v>
      </c>
      <c r="X24">
        <f>november2025!W24</f>
        <v>1386</v>
      </c>
      <c r="Y24">
        <f>Tabel242567891011121314151716181921202223261415181920212224[[#This Row],[Stand Cappucino Plantaardig einde maand]]-Tabel242567891011121314151716181921202223261415181920212224[[#This Row],[Stand Cappucino Plantaardig vorige maand]]</f>
        <v>11</v>
      </c>
      <c r="Z24" s="53">
        <v>2902</v>
      </c>
      <c r="AA24">
        <f>november2025!Z24</f>
        <v>2836</v>
      </c>
      <c r="AB24">
        <f>Tabel242567891011121314151716181921202223261415181920212224[[#This Row],[Stand Latte Macchiato Plantaardig einde maand]]-Tabel242567891011121314151716181921202223261415181920212224[[#This Row],[Stand Latte Macchiato Plantaardig vorige maand]]</f>
        <v>66</v>
      </c>
      <c r="AC24" s="71">
        <f>Tabel242567891011121314151716181921202223261415181920212224[[#This Row],[Verbruik Stand Latte Macchiato Plantaardig deze maand]]+Tabel242567891011121314151716181921202223261415181920212224[[#This Row],[Verbruik  Cappucino Plantaardig deze maand]]+Tabel242567891011121314151716181921202223261415181920212224[[#This Row],[Verbruik Cappucino deze maand]]+Tabel242567891011121314151716181921202223261415181920212224[[#This Row],[Verbruik Hot Water deze maand]]+Tabel242567891011121314151716181921202223261415181920212224[[#This Row],[Verbruik Coffee Latte deze maand]]+Tabel242567891011121314151716181921202223261415181920212224[[#This Row],[Verbruik Latte Macchiato deze maand]]+Tabel242567891011121314151716181921202223261415181920212224[[#This Row],[Verbruik Espresso deze maand]]+Tabel242567891011121314151716181921202223261415181920212224[[#This Row],[Verbruik Coffee deze maand]]</f>
        <v>2590</v>
      </c>
      <c r="AD24" s="69"/>
      <c r="AE24" s="41"/>
      <c r="AF24" s="5"/>
      <c r="AG24" s="5"/>
      <c r="AH24" s="75"/>
      <c r="AI24" s="41"/>
      <c r="AJ24" s="5"/>
      <c r="AK24" s="5"/>
      <c r="AL24" s="75"/>
      <c r="AM24" s="41"/>
      <c r="AN24" s="5"/>
      <c r="AO24" s="5"/>
      <c r="AP24" s="75"/>
      <c r="AQ24" s="41"/>
      <c r="AR24" s="5"/>
      <c r="AS24" s="5"/>
      <c r="AT24" s="75"/>
      <c r="AU24" s="41"/>
      <c r="AV24" s="5"/>
      <c r="AW24" s="5"/>
      <c r="AX24" s="79"/>
      <c r="AY24" s="95">
        <f>Tabel242567891011121314151716181921202223261415181920212224[[#This Row],[Subtotaal waterbar in consumpties]]+Tabel242567891011121314151716181921202223261415181920212224[[#This Row],[Subtotaal koffieautomaten]]</f>
        <v>2590</v>
      </c>
    </row>
    <row r="25" spans="1:130" ht="14.45" customHeight="1" x14ac:dyDescent="0.25">
      <c r="A25" s="65" t="s">
        <v>72</v>
      </c>
      <c r="B25" t="s">
        <v>73</v>
      </c>
      <c r="C25" t="s">
        <v>47</v>
      </c>
      <c r="E25">
        <v>16556</v>
      </c>
      <c r="F25">
        <f>november2025!E25</f>
        <v>16214</v>
      </c>
      <c r="G25">
        <f>Tabel242567891011121314151716181921202223261415181920212224[[#This Row],[Stand Coffee einde maand]]-Tabel242567891011121314151716181921202223261415181920212224[[#This Row],[Coffee vorige maand]]</f>
        <v>342</v>
      </c>
      <c r="H25" s="53">
        <v>5381</v>
      </c>
      <c r="I25">
        <f>november2025!H25</f>
        <v>5233</v>
      </c>
      <c r="J25">
        <f>Tabel242567891011121314151716181921202223261415181920212224[[#This Row],[Stand Espresso Einde maand]]-Tabel242567891011121314151716181921202223261415181920212224[[#This Row],[Espresso vorige maand]]</f>
        <v>148</v>
      </c>
      <c r="K25" s="53">
        <v>2077</v>
      </c>
      <c r="L25">
        <f>november2025!K25</f>
        <v>2058</v>
      </c>
      <c r="M25">
        <f>Tabel242567891011121314151716181921202223261415181920212224[[#This Row],[Stand Latte Macchiato einde maand]]-Tabel242567891011121314151716181921202223261415181920212224[[#This Row],[Latte Macchiato vorige maand]]</f>
        <v>19</v>
      </c>
      <c r="N25" s="53">
        <v>1568</v>
      </c>
      <c r="O25">
        <f>november2025!N25</f>
        <v>1511</v>
      </c>
      <c r="P25">
        <f>Tabel242567891011121314151716181921202223261415181920212224[[#This Row],[Stand Coffee Latte einde maand]]-Tabel242567891011121314151716181921202223261415181920212224[[#This Row],[Coffee Latte vorige maand]]</f>
        <v>57</v>
      </c>
      <c r="Q25" s="53">
        <v>1</v>
      </c>
      <c r="R25">
        <f>november2025!Q25</f>
        <v>1</v>
      </c>
      <c r="S25">
        <f>Tabel242567891011121314151716181921202223261415181920212224[[#This Row],[Stand Hot Water einde maand]]-Tabel242567891011121314151716181921202223261415181920212224[[#This Row],[Hot Water vorige maand]]</f>
        <v>0</v>
      </c>
      <c r="T25" s="53">
        <v>10502</v>
      </c>
      <c r="U25">
        <f>november2025!T25</f>
        <v>10320</v>
      </c>
      <c r="V25">
        <f>Tabel242567891011121314151716181921202223261415181920212224[[#This Row],[Stand Cappucino einde maand]]-Tabel242567891011121314151716181921202223261415181920212224[[#This Row],[Stand Cappucino vorige maand]]</f>
        <v>182</v>
      </c>
      <c r="W25" s="53">
        <v>1895</v>
      </c>
      <c r="X25">
        <f>november2025!W25</f>
        <v>1824</v>
      </c>
      <c r="Y25">
        <f>Tabel242567891011121314151716181921202223261415181920212224[[#This Row],[Stand Cappucino Plantaardig einde maand]]-Tabel242567891011121314151716181921202223261415181920212224[[#This Row],[Stand Cappucino Plantaardig vorige maand]]</f>
        <v>71</v>
      </c>
      <c r="Z25" s="53">
        <v>623</v>
      </c>
      <c r="AA25">
        <f>november2025!Z25</f>
        <v>586</v>
      </c>
      <c r="AB25">
        <f>Tabel242567891011121314151716181921202223261415181920212224[[#This Row],[Stand Latte Macchiato Plantaardig einde maand]]-Tabel242567891011121314151716181921202223261415181920212224[[#This Row],[Stand Latte Macchiato Plantaardig vorige maand]]</f>
        <v>37</v>
      </c>
      <c r="AC25" s="71">
        <f>Tabel242567891011121314151716181921202223261415181920212224[[#This Row],[Verbruik Stand Latte Macchiato Plantaardig deze maand]]+Tabel242567891011121314151716181921202223261415181920212224[[#This Row],[Verbruik  Cappucino Plantaardig deze maand]]+Tabel242567891011121314151716181921202223261415181920212224[[#This Row],[Verbruik Cappucino deze maand]]+Tabel242567891011121314151716181921202223261415181920212224[[#This Row],[Verbruik Hot Water deze maand]]+Tabel242567891011121314151716181921202223261415181920212224[[#This Row],[Verbruik Coffee Latte deze maand]]+Tabel242567891011121314151716181921202223261415181920212224[[#This Row],[Verbruik Latte Macchiato deze maand]]+Tabel242567891011121314151716181921202223261415181920212224[[#This Row],[Verbruik Espresso deze maand]]+Tabel242567891011121314151716181921202223261415181920212224[[#This Row],[Verbruik Coffee deze maand]]</f>
        <v>856</v>
      </c>
      <c r="AD25" s="53">
        <v>598.9</v>
      </c>
      <c r="AE25">
        <f>november2025!AD25</f>
        <v>584.1</v>
      </c>
      <c r="AF25">
        <f>Tabel242567891011121314151716181921202223261415181920212224[[#This Row],[Stand Kamertemp liter einde maand]]-Tabel242567891011121314151716181921202223261415181920212224[[#This Row],[Stand Kamertemp liter vorige maand]]</f>
        <v>14.799999999999955</v>
      </c>
      <c r="AG25" s="2">
        <f>Tabel242567891011121314151716181921202223261415181920212224[[#This Row],[Verbruik Kamertemp liter deze maand]]/0.15</f>
        <v>98.666666666666373</v>
      </c>
      <c r="AH25" s="53">
        <v>3816.5</v>
      </c>
      <c r="AI25">
        <f>november2025!AH25</f>
        <v>3706</v>
      </c>
      <c r="AJ25">
        <f>Tabel242567891011121314151716181921202223261415181920212224[[#This Row],[Stand Gekoeld liter einde maand]]-Tabel242567891011121314151716181921202223261415181920212224[[#This Row],[Stand Gekoeld liter vorige maand]]</f>
        <v>110.5</v>
      </c>
      <c r="AK25" s="2">
        <f>Tabel242567891011121314151716181921202223261415181920212224[[#This Row],[Verbruik Gekoeld liter deze maand]]/0.15</f>
        <v>736.66666666666674</v>
      </c>
      <c r="AL25" s="53">
        <v>2763.2</v>
      </c>
      <c r="AM25">
        <f>november2025!AL25</f>
        <v>2711.6</v>
      </c>
      <c r="AN25">
        <f>Tabel242567891011121314151716181921202223261415181920212224[[#This Row],[Stand Bruisend liter einde maand]]-Tabel242567891011121314151716181921202223261415181920212224[[#This Row],[Stand Bruisend liter vorige maand]]</f>
        <v>51.599999999999909</v>
      </c>
      <c r="AO25" s="2">
        <f>Tabel242567891011121314151716181921202223261415181920212224[[#This Row],[Verbruik Bruisend liter deze maand]]/0.15</f>
        <v>343.99999999999943</v>
      </c>
      <c r="AP25" s="53">
        <v>831</v>
      </c>
      <c r="AQ25">
        <f>november2025!AP25</f>
        <v>821.3</v>
      </c>
      <c r="AR25">
        <f>Tabel242567891011121314151716181921202223261415181920212224[[#This Row],[Stand licht bruisend liter einde maand]]-Tabel242567891011121314151716181921202223261415181920212224[[#This Row],[Stand licht bruisend liter vorige maand]]</f>
        <v>9.7000000000000455</v>
      </c>
      <c r="AS25" s="2">
        <f>Tabel242567891011121314151716181921202223261415181920212224[[#This Row],[Verbruik licht bruisend liter deze maand]]/0.15</f>
        <v>64.66666666666697</v>
      </c>
      <c r="AT25" s="53">
        <v>4383</v>
      </c>
      <c r="AU25">
        <f>november2025!AT25</f>
        <v>4256.5</v>
      </c>
      <c r="AV25">
        <f>Tabel242567891011121314151716181921202223261415181920212224[[#This Row],[Stand heet water liter einde maand]]-Tabel242567891011121314151716181921202223261415181920212224[[#This Row],[Stand heet water liter vorige maand]]</f>
        <v>126.5</v>
      </c>
      <c r="AW25" s="2">
        <f>Tabel242567891011121314151716181921202223261415181920212224[[#This Row],[Verbruik heet Water liter deze maand ]]/0.15</f>
        <v>843.33333333333337</v>
      </c>
      <c r="AX25" s="77">
        <f>Tabel242567891011121314151716181921202223261415181920212224[[#This Row],[Aantal consumpties heet water deze maand]]+Tabel242567891011121314151716181921202223261415181920212224[[#This Row],[Aantal consumpties licht bruisend water deze maand]]+Tabel242567891011121314151716181921202223261415181920212224[[#This Row],[aantal consumpties Bruisend water deze maand]]+Tabel242567891011121314151716181921202223261415181920212224[[#This Row],[Aantal consumpties gekoeld water deze maand]]+Tabel242567891011121314151716181921202223261415181920212224[[#This Row],[Aantal consumpties Kamertemp deze maand]]</f>
        <v>2087.333333333333</v>
      </c>
      <c r="AY25" s="95">
        <f>Tabel242567891011121314151716181921202223261415181920212224[[#This Row],[Subtotaal waterbar in consumpties]]+Tabel242567891011121314151716181921202223261415181920212224[[#This Row],[Subtotaal koffieautomaten]]</f>
        <v>2943.333333333333</v>
      </c>
    </row>
    <row r="26" spans="1:130" s="81" customFormat="1" ht="14.45" customHeight="1" x14ac:dyDescent="0.25">
      <c r="A26" s="80" t="s">
        <v>74</v>
      </c>
      <c r="D26" s="82"/>
      <c r="H26" s="86"/>
      <c r="K26" s="86"/>
      <c r="N26" s="86"/>
      <c r="Q26" s="86"/>
      <c r="T26" s="86"/>
      <c r="W26" s="86"/>
      <c r="Z26" s="86"/>
      <c r="AC26" s="85"/>
      <c r="AD26" s="86"/>
      <c r="AG26" s="87"/>
      <c r="AH26" s="86"/>
      <c r="AK26" s="87"/>
      <c r="AL26" s="86"/>
      <c r="AO26" s="87"/>
      <c r="AP26" s="86"/>
      <c r="AS26" s="87"/>
      <c r="AT26" s="86"/>
      <c r="AW26" s="87"/>
      <c r="AX26" s="88"/>
      <c r="AY26" s="94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</row>
    <row r="27" spans="1:130" ht="14.45" customHeight="1" x14ac:dyDescent="0.25">
      <c r="A27" s="65" t="s">
        <v>32</v>
      </c>
      <c r="B27" t="s">
        <v>75</v>
      </c>
      <c r="C27" t="s">
        <v>47</v>
      </c>
      <c r="E27">
        <v>12247</v>
      </c>
      <c r="F27">
        <f>november2025!E27</f>
        <v>11838</v>
      </c>
      <c r="G27">
        <f>Tabel242567891011121314151716181921202223261415181920212224[[#This Row],[Stand Coffee einde maand]]-Tabel242567891011121314151716181921202223261415181920212224[[#This Row],[Coffee vorige maand]]</f>
        <v>409</v>
      </c>
      <c r="H27" s="53">
        <v>3212</v>
      </c>
      <c r="I27">
        <f>november2025!H27</f>
        <v>3144</v>
      </c>
      <c r="J27">
        <f>Tabel242567891011121314151716181921202223261415181920212224[[#This Row],[Stand Espresso Einde maand]]-Tabel242567891011121314151716181921202223261415181920212224[[#This Row],[Espresso vorige maand]]</f>
        <v>68</v>
      </c>
      <c r="K27" s="53">
        <v>2104</v>
      </c>
      <c r="L27">
        <f>november2025!K27</f>
        <v>2065</v>
      </c>
      <c r="M27">
        <f>Tabel242567891011121314151716181921202223261415181920212224[[#This Row],[Stand Latte Macchiato einde maand]]-Tabel242567891011121314151716181921202223261415181920212224[[#This Row],[Latte Macchiato vorige maand]]</f>
        <v>39</v>
      </c>
      <c r="N27" s="53">
        <v>989</v>
      </c>
      <c r="O27">
        <f>november2025!N27</f>
        <v>977</v>
      </c>
      <c r="P27">
        <f>Tabel242567891011121314151716181921202223261415181920212224[[#This Row],[Stand Coffee Latte einde maand]]-Tabel242567891011121314151716181921202223261415181920212224[[#This Row],[Coffee Latte vorige maand]]</f>
        <v>12</v>
      </c>
      <c r="Q27" s="53">
        <v>1</v>
      </c>
      <c r="R27">
        <f>november2025!Q27</f>
        <v>1</v>
      </c>
      <c r="S27">
        <f>Tabel242567891011121314151716181921202223261415181920212224[[#This Row],[Stand Hot Water einde maand]]-Tabel242567891011121314151716181921202223261415181920212224[[#This Row],[Hot Water vorige maand]]</f>
        <v>0</v>
      </c>
      <c r="T27" s="53">
        <v>7122</v>
      </c>
      <c r="U27">
        <f>november2025!T27</f>
        <v>7006</v>
      </c>
      <c r="V27">
        <f>Tabel242567891011121314151716181921202223261415181920212224[[#This Row],[Stand Cappucino einde maand]]-Tabel242567891011121314151716181921202223261415181920212224[[#This Row],[Stand Cappucino vorige maand]]</f>
        <v>116</v>
      </c>
      <c r="W27" s="53">
        <v>1069</v>
      </c>
      <c r="X27">
        <f>november2025!W27</f>
        <v>1049</v>
      </c>
      <c r="Y27">
        <f>Tabel242567891011121314151716181921202223261415181920212224[[#This Row],[Stand Cappucino Plantaardig einde maand]]-Tabel242567891011121314151716181921202223261415181920212224[[#This Row],[Stand Cappucino Plantaardig vorige maand]]</f>
        <v>20</v>
      </c>
      <c r="Z27" s="53">
        <v>596</v>
      </c>
      <c r="AA27">
        <f>november2025!Z27</f>
        <v>583</v>
      </c>
      <c r="AB27">
        <f>Tabel242567891011121314151716181921202223261415181920212224[[#This Row],[Stand Latte Macchiato Plantaardig einde maand]]-Tabel242567891011121314151716181921202223261415181920212224[[#This Row],[Stand Latte Macchiato Plantaardig vorige maand]]</f>
        <v>13</v>
      </c>
      <c r="AC27" s="71">
        <f>Tabel242567891011121314151716181921202223261415181920212224[[#This Row],[Verbruik Stand Latte Macchiato Plantaardig deze maand]]+Tabel242567891011121314151716181921202223261415181920212224[[#This Row],[Verbruik  Cappucino Plantaardig deze maand]]+Tabel242567891011121314151716181921202223261415181920212224[[#This Row],[Verbruik Cappucino deze maand]]+Tabel242567891011121314151716181921202223261415181920212224[[#This Row],[Verbruik Hot Water deze maand]]+Tabel242567891011121314151716181921202223261415181920212224[[#This Row],[Verbruik Coffee Latte deze maand]]+Tabel242567891011121314151716181921202223261415181920212224[[#This Row],[Verbruik Latte Macchiato deze maand]]+Tabel242567891011121314151716181921202223261415181920212224[[#This Row],[Verbruik Espresso deze maand]]+Tabel242567891011121314151716181921202223261415181920212224[[#This Row],[Verbruik Coffee deze maand]]</f>
        <v>677</v>
      </c>
      <c r="AD27" s="53">
        <v>27.9</v>
      </c>
      <c r="AE27">
        <f>november2025!AD27</f>
        <v>11.3</v>
      </c>
      <c r="AF27">
        <f>Tabel242567891011121314151716181921202223261415181920212224[[#This Row],[Stand Kamertemp liter einde maand]]-Tabel242567891011121314151716181921202223261415181920212224[[#This Row],[Stand Kamertemp liter vorige maand]]</f>
        <v>16.599999999999998</v>
      </c>
      <c r="AG27" s="2">
        <f>Tabel242567891011121314151716181921202223261415181920212224[[#This Row],[Verbruik Kamertemp liter deze maand]]/0.15</f>
        <v>110.66666666666666</v>
      </c>
      <c r="AH27" s="53">
        <v>108.4</v>
      </c>
      <c r="AI27">
        <f>november2025!AH27</f>
        <v>54.9</v>
      </c>
      <c r="AJ27">
        <f>Tabel242567891011121314151716181921202223261415181920212224[[#This Row],[Stand Gekoeld liter einde maand]]-Tabel242567891011121314151716181921202223261415181920212224[[#This Row],[Stand Gekoeld liter vorige maand]]</f>
        <v>53.500000000000007</v>
      </c>
      <c r="AK27" s="2">
        <f>Tabel242567891011121314151716181921202223261415181920212224[[#This Row],[Verbruik Gekoeld liter deze maand]]/0.15</f>
        <v>356.66666666666674</v>
      </c>
      <c r="AL27" s="53">
        <v>49</v>
      </c>
      <c r="AM27">
        <f>november2025!AL27</f>
        <v>21.1</v>
      </c>
      <c r="AN27">
        <f>Tabel242567891011121314151716181921202223261415181920212224[[#This Row],[Stand Bruisend liter einde maand]]-Tabel242567891011121314151716181921202223261415181920212224[[#This Row],[Stand Bruisend liter vorige maand]]</f>
        <v>27.9</v>
      </c>
      <c r="AO27" s="2">
        <f>Tabel242567891011121314151716181921202223261415181920212224[[#This Row],[Verbruik Bruisend liter deze maand]]/0.15</f>
        <v>186</v>
      </c>
      <c r="AP27" s="53">
        <v>33</v>
      </c>
      <c r="AQ27">
        <f>november2025!AP27</f>
        <v>15.2</v>
      </c>
      <c r="AR27">
        <f>Tabel242567891011121314151716181921202223261415181920212224[[#This Row],[Stand licht bruisend liter einde maand]]-Tabel242567891011121314151716181921202223261415181920212224[[#This Row],[Stand licht bruisend liter vorige maand]]</f>
        <v>17.8</v>
      </c>
      <c r="AS27" s="2">
        <f>Tabel242567891011121314151716181921202223261415181920212224[[#This Row],[Verbruik licht bruisend liter deze maand]]/0.15</f>
        <v>118.66666666666667</v>
      </c>
      <c r="AT27" s="53">
        <v>240.8</v>
      </c>
      <c r="AU27">
        <f>november2025!AT27</f>
        <v>125.4</v>
      </c>
      <c r="AV27">
        <f>Tabel242567891011121314151716181921202223261415181920212224[[#This Row],[Stand heet water liter einde maand]]-Tabel242567891011121314151716181921202223261415181920212224[[#This Row],[Stand heet water liter vorige maand]]</f>
        <v>115.4</v>
      </c>
      <c r="AW27" s="2">
        <f>Tabel242567891011121314151716181921202223261415181920212224[[#This Row],[Verbruik heet Water liter deze maand ]]/0.15</f>
        <v>769.33333333333337</v>
      </c>
      <c r="AX27" s="77">
        <f>Tabel242567891011121314151716181921202223261415181920212224[[#This Row],[Aantal consumpties heet water deze maand]]+Tabel242567891011121314151716181921202223261415181920212224[[#This Row],[Aantal consumpties licht bruisend water deze maand]]+Tabel242567891011121314151716181921202223261415181920212224[[#This Row],[aantal consumpties Bruisend water deze maand]]+Tabel242567891011121314151716181921202223261415181920212224[[#This Row],[Aantal consumpties gekoeld water deze maand]]+Tabel242567891011121314151716181921202223261415181920212224[[#This Row],[Aantal consumpties Kamertemp deze maand]]</f>
        <v>1541.3333333333335</v>
      </c>
      <c r="AY27" s="95">
        <f>Tabel242567891011121314151716181921202223261415181920212224[[#This Row],[Subtotaal waterbar in consumpties]]+Tabel242567891011121314151716181921202223261415181920212224[[#This Row],[Subtotaal koffieautomaten]]</f>
        <v>2218.3333333333335</v>
      </c>
    </row>
    <row r="28" spans="1:130" ht="14.45" customHeight="1" x14ac:dyDescent="0.25">
      <c r="A28" s="65" t="s">
        <v>39</v>
      </c>
      <c r="B28" t="s">
        <v>163</v>
      </c>
      <c r="C28" t="s">
        <v>31</v>
      </c>
      <c r="E28">
        <v>31308</v>
      </c>
      <c r="F28">
        <f>november2025!E28</f>
        <v>30791</v>
      </c>
      <c r="G28">
        <f>Tabel242567891011121314151716181921202223261415181920212224[[#This Row],[Stand Coffee einde maand]]-Tabel242567891011121314151716181921202223261415181920212224[[#This Row],[Coffee vorige maand]]</f>
        <v>517</v>
      </c>
      <c r="H28" s="53">
        <v>8032</v>
      </c>
      <c r="I28">
        <f>november2025!H28</f>
        <v>7877</v>
      </c>
      <c r="J28">
        <f>Tabel242567891011121314151716181921202223261415181920212224[[#This Row],[Stand Espresso Einde maand]]-Tabel242567891011121314151716181921202223261415181920212224[[#This Row],[Espresso vorige maand]]</f>
        <v>155</v>
      </c>
      <c r="K28" s="53">
        <v>3784</v>
      </c>
      <c r="L28">
        <f>november2025!K28</f>
        <v>3731</v>
      </c>
      <c r="M28">
        <f>Tabel242567891011121314151716181921202223261415181920212224[[#This Row],[Stand Latte Macchiato einde maand]]-Tabel242567891011121314151716181921202223261415181920212224[[#This Row],[Latte Macchiato vorige maand]]</f>
        <v>53</v>
      </c>
      <c r="N28" s="53">
        <v>1708</v>
      </c>
      <c r="O28">
        <f>november2025!N28</f>
        <v>1683</v>
      </c>
      <c r="P28">
        <f>Tabel242567891011121314151716181921202223261415181920212224[[#This Row],[Stand Coffee Latte einde maand]]-Tabel242567891011121314151716181921202223261415181920212224[[#This Row],[Coffee Latte vorige maand]]</f>
        <v>25</v>
      </c>
      <c r="Q28" s="53">
        <v>27262</v>
      </c>
      <c r="R28">
        <f>november2025!Q28</f>
        <v>26716</v>
      </c>
      <c r="S28">
        <f>Tabel242567891011121314151716181921202223261415181920212224[[#This Row],[Stand Hot Water einde maand]]-Tabel242567891011121314151716181921202223261415181920212224[[#This Row],[Hot Water vorige maand]]</f>
        <v>546</v>
      </c>
      <c r="T28" s="53">
        <v>21856</v>
      </c>
      <c r="U28">
        <f>november2025!T28</f>
        <v>21629</v>
      </c>
      <c r="V28">
        <f>Tabel242567891011121314151716181921202223261415181920212224[[#This Row],[Stand Cappucino einde maand]]-Tabel242567891011121314151716181921202223261415181920212224[[#This Row],[Stand Cappucino vorige maand]]</f>
        <v>227</v>
      </c>
      <c r="W28" s="53">
        <v>2654</v>
      </c>
      <c r="X28">
        <f>november2025!W28</f>
        <v>2617</v>
      </c>
      <c r="Y28">
        <f>Tabel242567891011121314151716181921202223261415181920212224[[#This Row],[Stand Cappucino Plantaardig einde maand]]-Tabel242567891011121314151716181921202223261415181920212224[[#This Row],[Stand Cappucino Plantaardig vorige maand]]</f>
        <v>37</v>
      </c>
      <c r="Z28" s="53">
        <v>845</v>
      </c>
      <c r="AA28">
        <f>november2025!Z28</f>
        <v>836</v>
      </c>
      <c r="AB28">
        <f>Tabel242567891011121314151716181921202223261415181920212224[[#This Row],[Stand Latte Macchiato Plantaardig einde maand]]-Tabel242567891011121314151716181921202223261415181920212224[[#This Row],[Stand Latte Macchiato Plantaardig vorige maand]]</f>
        <v>9</v>
      </c>
      <c r="AC28" s="71">
        <f>Tabel242567891011121314151716181921202223261415181920212224[[#This Row],[Verbruik Stand Latte Macchiato Plantaardig deze maand]]+Tabel242567891011121314151716181921202223261415181920212224[[#This Row],[Verbruik  Cappucino Plantaardig deze maand]]+Tabel242567891011121314151716181921202223261415181920212224[[#This Row],[Verbruik Cappucino deze maand]]+Tabel242567891011121314151716181921202223261415181920212224[[#This Row],[Verbruik Hot Water deze maand]]+Tabel242567891011121314151716181921202223261415181920212224[[#This Row],[Verbruik Coffee Latte deze maand]]+Tabel242567891011121314151716181921202223261415181920212224[[#This Row],[Verbruik Latte Macchiato deze maand]]+Tabel242567891011121314151716181921202223261415181920212224[[#This Row],[Verbruik Espresso deze maand]]+Tabel242567891011121314151716181921202223261415181920212224[[#This Row],[Verbruik Coffee deze maand]]</f>
        <v>1569</v>
      </c>
      <c r="AD28" s="69"/>
      <c r="AE28" s="41"/>
      <c r="AF28" s="5"/>
      <c r="AG28" s="5"/>
      <c r="AH28" s="75"/>
      <c r="AI28" s="41"/>
      <c r="AJ28" s="5"/>
      <c r="AK28" s="5"/>
      <c r="AL28" s="75"/>
      <c r="AM28" s="41"/>
      <c r="AN28" s="5"/>
      <c r="AO28" s="5"/>
      <c r="AP28" s="75"/>
      <c r="AQ28" s="41"/>
      <c r="AR28" s="5"/>
      <c r="AS28" s="5"/>
      <c r="AT28" s="75"/>
      <c r="AU28" s="41"/>
      <c r="AV28" s="5"/>
      <c r="AW28" s="5"/>
      <c r="AX28" s="79"/>
      <c r="AY28" s="95">
        <f>Tabel242567891011121314151716181921202223261415181920212224[[#This Row],[Subtotaal waterbar in consumpties]]+Tabel242567891011121314151716181921202223261415181920212224[[#This Row],[Subtotaal koffieautomaten]]</f>
        <v>1569</v>
      </c>
    </row>
    <row r="29" spans="1:130" ht="14.45" customHeight="1" x14ac:dyDescent="0.25">
      <c r="A29" s="65" t="s">
        <v>39</v>
      </c>
      <c r="B29" t="s">
        <v>77</v>
      </c>
      <c r="C29" t="s">
        <v>36</v>
      </c>
      <c r="E29" s="46"/>
      <c r="F29" s="46"/>
      <c r="G29" s="47"/>
      <c r="H29" s="54"/>
      <c r="I29" s="46"/>
      <c r="J29" s="47"/>
      <c r="K29" s="54"/>
      <c r="L29" s="46"/>
      <c r="M29" s="47"/>
      <c r="N29" s="54"/>
      <c r="O29" s="46"/>
      <c r="P29" s="47"/>
      <c r="Q29" s="54"/>
      <c r="R29" s="46"/>
      <c r="S29" s="47"/>
      <c r="T29" s="54"/>
      <c r="U29" s="46"/>
      <c r="V29" s="47"/>
      <c r="W29" s="54"/>
      <c r="X29" s="46"/>
      <c r="Y29" s="47"/>
      <c r="Z29" s="54"/>
      <c r="AA29" s="46"/>
      <c r="AB29" s="47"/>
      <c r="AC29" s="72"/>
      <c r="AD29" s="53">
        <v>204.1</v>
      </c>
      <c r="AE29">
        <f>november2025!AD29</f>
        <v>177.7</v>
      </c>
      <c r="AF29">
        <f>Tabel242567891011121314151716181921202223261415181920212224[[#This Row],[Stand Kamertemp liter einde maand]]-Tabel242567891011121314151716181921202223261415181920212224[[#This Row],[Stand Kamertemp liter vorige maand]]</f>
        <v>26.400000000000006</v>
      </c>
      <c r="AG29" s="2">
        <f>Tabel242567891011121314151716181921202223261415181920212224[[#This Row],[Verbruik Kamertemp liter deze maand]]/0.15</f>
        <v>176.00000000000006</v>
      </c>
      <c r="AH29" s="53">
        <v>1516</v>
      </c>
      <c r="AI29">
        <f>november2025!AH29</f>
        <v>1377.8</v>
      </c>
      <c r="AJ29">
        <f>Tabel242567891011121314151716181921202223261415181920212224[[#This Row],[Stand Gekoeld liter einde maand]]-Tabel242567891011121314151716181921202223261415181920212224[[#This Row],[Stand Gekoeld liter vorige maand]]</f>
        <v>138.20000000000005</v>
      </c>
      <c r="AK29" s="2">
        <f>Tabel242567891011121314151716181921202223261415181920212224[[#This Row],[Verbruik Gekoeld liter deze maand]]/0.15</f>
        <v>921.33333333333371</v>
      </c>
      <c r="AL29" s="53">
        <v>750.4</v>
      </c>
      <c r="AM29">
        <f>november2025!AL29</f>
        <v>674.9</v>
      </c>
      <c r="AN29">
        <f>Tabel242567891011121314151716181921202223261415181920212224[[#This Row],[Stand Bruisend liter einde maand]]-Tabel242567891011121314151716181921202223261415181920212224[[#This Row],[Stand Bruisend liter vorige maand]]</f>
        <v>75.5</v>
      </c>
      <c r="AO29" s="2">
        <f>Tabel242567891011121314151716181921202223261415181920212224[[#This Row],[Verbruik Bruisend liter deze maand]]/0.15</f>
        <v>503.33333333333337</v>
      </c>
      <c r="AP29" s="53">
        <v>219.2</v>
      </c>
      <c r="AQ29">
        <f>november2025!AP29</f>
        <v>208.1</v>
      </c>
      <c r="AR29">
        <f>Tabel242567891011121314151716181921202223261415181920212224[[#This Row],[Stand licht bruisend liter einde maand]]-Tabel242567891011121314151716181921202223261415181920212224[[#This Row],[Stand licht bruisend liter vorige maand]]</f>
        <v>11.099999999999994</v>
      </c>
      <c r="AS29" s="2">
        <f>Tabel242567891011121314151716181921202223261415181920212224[[#This Row],[Verbruik licht bruisend liter deze maand]]/0.15</f>
        <v>73.999999999999972</v>
      </c>
      <c r="AT29" s="53">
        <v>677.1</v>
      </c>
      <c r="AU29">
        <f>november2025!AT29</f>
        <v>588.20000000000005</v>
      </c>
      <c r="AV29">
        <f>Tabel242567891011121314151716181921202223261415181920212224[[#This Row],[Stand heet water liter einde maand]]-Tabel242567891011121314151716181921202223261415181920212224[[#This Row],[Stand heet water liter vorige maand]]</f>
        <v>88.899999999999977</v>
      </c>
      <c r="AW29" s="2">
        <f>Tabel242567891011121314151716181921202223261415181920212224[[#This Row],[Verbruik heet Water liter deze maand ]]/0.15</f>
        <v>592.66666666666652</v>
      </c>
      <c r="AX29" s="77">
        <f>Tabel242567891011121314151716181921202223261415181920212224[[#This Row],[Aantal consumpties heet water deze maand]]+Tabel242567891011121314151716181921202223261415181920212224[[#This Row],[Aantal consumpties licht bruisend water deze maand]]+Tabel242567891011121314151716181921202223261415181920212224[[#This Row],[aantal consumpties Bruisend water deze maand]]+Tabel242567891011121314151716181921202223261415181920212224[[#This Row],[Aantal consumpties gekoeld water deze maand]]+Tabel242567891011121314151716181921202223261415181920212224[[#This Row],[Aantal consumpties Kamertemp deze maand]]</f>
        <v>2267.3333333333339</v>
      </c>
      <c r="AY29" s="95">
        <f>Tabel242567891011121314151716181921202223261415181920212224[[#This Row],[Subtotaal waterbar in consumpties]]+Tabel242567891011121314151716181921202223261415181920212224[[#This Row],[Subtotaal koffieautomaten]]</f>
        <v>2267.3333333333339</v>
      </c>
    </row>
    <row r="30" spans="1:130" ht="14.45" customHeight="1" x14ac:dyDescent="0.25">
      <c r="A30" s="65" t="s">
        <v>41</v>
      </c>
      <c r="B30" t="s">
        <v>78</v>
      </c>
      <c r="C30" t="s">
        <v>47</v>
      </c>
      <c r="E30">
        <v>8484</v>
      </c>
      <c r="F30">
        <f>november2025!E30</f>
        <v>8288</v>
      </c>
      <c r="G30">
        <f>Tabel242567891011121314151716181921202223261415181920212224[[#This Row],[Stand Coffee einde maand]]-Tabel242567891011121314151716181921202223261415181920212224[[#This Row],[Coffee vorige maand]]</f>
        <v>196</v>
      </c>
      <c r="H30" s="53">
        <v>2306</v>
      </c>
      <c r="I30">
        <f>november2025!H30</f>
        <v>2297</v>
      </c>
      <c r="J30">
        <f>Tabel242567891011121314151716181921202223261415181920212224[[#This Row],[Stand Espresso Einde maand]]-Tabel242567891011121314151716181921202223261415181920212224[[#This Row],[Espresso vorige maand]]</f>
        <v>9</v>
      </c>
      <c r="K30" s="53">
        <v>654</v>
      </c>
      <c r="L30">
        <f>november2025!K30</f>
        <v>650</v>
      </c>
      <c r="M30">
        <f>Tabel242567891011121314151716181921202223261415181920212224[[#This Row],[Stand Latte Macchiato einde maand]]-Tabel242567891011121314151716181921202223261415181920212224[[#This Row],[Latte Macchiato vorige maand]]</f>
        <v>4</v>
      </c>
      <c r="N30" s="53">
        <v>425</v>
      </c>
      <c r="O30">
        <f>november2025!N30</f>
        <v>422</v>
      </c>
      <c r="P30">
        <f>Tabel242567891011121314151716181921202223261415181920212224[[#This Row],[Stand Coffee Latte einde maand]]-Tabel242567891011121314151716181921202223261415181920212224[[#This Row],[Coffee Latte vorige maand]]</f>
        <v>3</v>
      </c>
      <c r="Q30" s="53">
        <v>1</v>
      </c>
      <c r="R30">
        <f>november2025!Q30</f>
        <v>1</v>
      </c>
      <c r="S30">
        <f>Tabel242567891011121314151716181921202223261415181920212224[[#This Row],[Stand Hot Water einde maand]]-Tabel242567891011121314151716181921202223261415181920212224[[#This Row],[Hot Water vorige maand]]</f>
        <v>0</v>
      </c>
      <c r="T30" s="53">
        <v>3721</v>
      </c>
      <c r="U30">
        <f>november2025!T30</f>
        <v>3629</v>
      </c>
      <c r="V30">
        <f>Tabel242567891011121314151716181921202223261415181920212224[[#This Row],[Stand Cappucino einde maand]]-Tabel242567891011121314151716181921202223261415181920212224[[#This Row],[Stand Cappucino vorige maand]]</f>
        <v>92</v>
      </c>
      <c r="W30" s="53">
        <v>1745</v>
      </c>
      <c r="X30">
        <f>november2025!W30</f>
        <v>1704</v>
      </c>
      <c r="Y30">
        <f>Tabel242567891011121314151716181921202223261415181920212224[[#This Row],[Stand Cappucino Plantaardig einde maand]]-Tabel242567891011121314151716181921202223261415181920212224[[#This Row],[Stand Cappucino Plantaardig vorige maand]]</f>
        <v>41</v>
      </c>
      <c r="Z30" s="53">
        <v>1304</v>
      </c>
      <c r="AA30">
        <f>november2025!Z30</f>
        <v>1296</v>
      </c>
      <c r="AB30">
        <f>Tabel242567891011121314151716181921202223261415181920212224[[#This Row],[Stand Latte Macchiato Plantaardig einde maand]]-Tabel242567891011121314151716181921202223261415181920212224[[#This Row],[Stand Latte Macchiato Plantaardig vorige maand]]</f>
        <v>8</v>
      </c>
      <c r="AC30" s="71">
        <f>Tabel242567891011121314151716181921202223261415181920212224[[#This Row],[Verbruik Stand Latte Macchiato Plantaardig deze maand]]+Tabel242567891011121314151716181921202223261415181920212224[[#This Row],[Verbruik  Cappucino Plantaardig deze maand]]+Tabel242567891011121314151716181921202223261415181920212224[[#This Row],[Verbruik Cappucino deze maand]]+Tabel242567891011121314151716181921202223261415181920212224[[#This Row],[Verbruik Hot Water deze maand]]+Tabel242567891011121314151716181921202223261415181920212224[[#This Row],[Verbruik Coffee Latte deze maand]]+Tabel242567891011121314151716181921202223261415181920212224[[#This Row],[Verbruik Latte Macchiato deze maand]]+Tabel242567891011121314151716181921202223261415181920212224[[#This Row],[Verbruik Espresso deze maand]]+Tabel242567891011121314151716181921202223261415181920212224[[#This Row],[Verbruik Coffee deze maand]]</f>
        <v>353</v>
      </c>
      <c r="AD30" s="53">
        <v>336.1</v>
      </c>
      <c r="AE30">
        <f>november2025!AD30</f>
        <v>319.39999999999998</v>
      </c>
      <c r="AF30">
        <f>Tabel242567891011121314151716181921202223261415181920212224[[#This Row],[Stand Kamertemp liter einde maand]]-Tabel242567891011121314151716181921202223261415181920212224[[#This Row],[Stand Kamertemp liter vorige maand]]</f>
        <v>16.700000000000045</v>
      </c>
      <c r="AG30" s="2">
        <f>Tabel242567891011121314151716181921202223261415181920212224[[#This Row],[Verbruik Kamertemp liter deze maand]]/0.15</f>
        <v>111.33333333333364</v>
      </c>
      <c r="AH30" s="53">
        <v>2268.6</v>
      </c>
      <c r="AI30">
        <f>november2025!AH30</f>
        <v>2210.1999999999998</v>
      </c>
      <c r="AJ30">
        <f>Tabel242567891011121314151716181921202223261415181920212224[[#This Row],[Stand Gekoeld liter einde maand]]-Tabel242567891011121314151716181921202223261415181920212224[[#This Row],[Stand Gekoeld liter vorige maand]]</f>
        <v>58.400000000000091</v>
      </c>
      <c r="AK30" s="2">
        <f>Tabel242567891011121314151716181921202223261415181920212224[[#This Row],[Verbruik Gekoeld liter deze maand]]/0.15</f>
        <v>389.33333333333394</v>
      </c>
      <c r="AL30" s="53">
        <v>1186</v>
      </c>
      <c r="AM30">
        <f>november2025!AL30</f>
        <v>1144</v>
      </c>
      <c r="AN30">
        <f>Tabel242567891011121314151716181921202223261415181920212224[[#This Row],[Stand Bruisend liter einde maand]]-Tabel242567891011121314151716181921202223261415181920212224[[#This Row],[Stand Bruisend liter vorige maand]]</f>
        <v>42</v>
      </c>
      <c r="AO30" s="2">
        <f>Tabel242567891011121314151716181921202223261415181920212224[[#This Row],[Verbruik Bruisend liter deze maand]]/0.15</f>
        <v>280</v>
      </c>
      <c r="AP30" s="53">
        <v>833.2</v>
      </c>
      <c r="AQ30">
        <f>november2025!AP30</f>
        <v>803.3</v>
      </c>
      <c r="AR30">
        <f>Tabel242567891011121314151716181921202223261415181920212224[[#This Row],[Stand licht bruisend liter einde maand]]-Tabel242567891011121314151716181921202223261415181920212224[[#This Row],[Stand licht bruisend liter vorige maand]]</f>
        <v>29.900000000000091</v>
      </c>
      <c r="AS30" s="2">
        <f>Tabel242567891011121314151716181921202223261415181920212224[[#This Row],[Verbruik licht bruisend liter deze maand]]/0.15</f>
        <v>199.33333333333394</v>
      </c>
      <c r="AT30" s="53">
        <v>6105.9</v>
      </c>
      <c r="AU30">
        <f>november2025!AT30</f>
        <v>5728.8</v>
      </c>
      <c r="AV30">
        <f>Tabel242567891011121314151716181921202223261415181920212224[[#This Row],[Stand heet water liter einde maand]]-Tabel242567891011121314151716181921202223261415181920212224[[#This Row],[Stand heet water liter vorige maand]]</f>
        <v>377.09999999999945</v>
      </c>
      <c r="AW30" s="2">
        <f>Tabel242567891011121314151716181921202223261415181920212224[[#This Row],[Verbruik heet Water liter deze maand ]]/0.15</f>
        <v>2513.9999999999964</v>
      </c>
      <c r="AX30" s="77">
        <f>Tabel242567891011121314151716181921202223261415181920212224[[#This Row],[Aantal consumpties heet water deze maand]]+Tabel242567891011121314151716181921202223261415181920212224[[#This Row],[Aantal consumpties licht bruisend water deze maand]]+Tabel242567891011121314151716181921202223261415181920212224[[#This Row],[aantal consumpties Bruisend water deze maand]]+Tabel242567891011121314151716181921202223261415181920212224[[#This Row],[Aantal consumpties gekoeld water deze maand]]+Tabel242567891011121314151716181921202223261415181920212224[[#This Row],[Aantal consumpties Kamertemp deze maand]]</f>
        <v>3493.9999999999977</v>
      </c>
      <c r="AY30" s="95">
        <f>Tabel242567891011121314151716181921202223261415181920212224[[#This Row],[Subtotaal waterbar in consumpties]]+Tabel242567891011121314151716181921202223261415181920212224[[#This Row],[Subtotaal koffieautomaten]]</f>
        <v>3846.9999999999977</v>
      </c>
    </row>
    <row r="31" spans="1:130" ht="14.45" customHeight="1" x14ac:dyDescent="0.25">
      <c r="A31" s="65" t="s">
        <v>43</v>
      </c>
      <c r="B31" t="s">
        <v>79</v>
      </c>
      <c r="C31" t="s">
        <v>31</v>
      </c>
      <c r="E31">
        <v>15760</v>
      </c>
      <c r="F31">
        <f>november2025!E31</f>
        <v>15405</v>
      </c>
      <c r="G31">
        <f>Tabel242567891011121314151716181921202223261415181920212224[[#This Row],[Stand Coffee einde maand]]-Tabel242567891011121314151716181921202223261415181920212224[[#This Row],[Coffee vorige maand]]</f>
        <v>355</v>
      </c>
      <c r="H31" s="53">
        <v>7177</v>
      </c>
      <c r="I31">
        <f>november2025!H31</f>
        <v>6963</v>
      </c>
      <c r="J31">
        <f>Tabel242567891011121314151716181921202223261415181920212224[[#This Row],[Stand Espresso Einde maand]]-Tabel242567891011121314151716181921202223261415181920212224[[#This Row],[Espresso vorige maand]]</f>
        <v>214</v>
      </c>
      <c r="K31" s="53">
        <v>960</v>
      </c>
      <c r="L31">
        <f>november2025!K31</f>
        <v>937</v>
      </c>
      <c r="M31">
        <f>Tabel242567891011121314151716181921202223261415181920212224[[#This Row],[Stand Latte Macchiato einde maand]]-Tabel242567891011121314151716181921202223261415181920212224[[#This Row],[Latte Macchiato vorige maand]]</f>
        <v>23</v>
      </c>
      <c r="N31" s="53">
        <v>175</v>
      </c>
      <c r="O31">
        <f>november2025!N31</f>
        <v>170</v>
      </c>
      <c r="P31">
        <f>Tabel242567891011121314151716181921202223261415181920212224[[#This Row],[Stand Coffee Latte einde maand]]-Tabel242567891011121314151716181921202223261415181920212224[[#This Row],[Coffee Latte vorige maand]]</f>
        <v>5</v>
      </c>
      <c r="Q31" s="53">
        <v>13718</v>
      </c>
      <c r="R31">
        <f>november2025!Q31</f>
        <v>13440</v>
      </c>
      <c r="S31">
        <f>Tabel242567891011121314151716181921202223261415181920212224[[#This Row],[Stand Hot Water einde maand]]-Tabel242567891011121314151716181921202223261415181920212224[[#This Row],[Hot Water vorige maand]]</f>
        <v>278</v>
      </c>
      <c r="T31" s="53">
        <v>9034</v>
      </c>
      <c r="U31">
        <f>november2025!T31</f>
        <v>8813</v>
      </c>
      <c r="V31">
        <f>Tabel242567891011121314151716181921202223261415181920212224[[#This Row],[Stand Cappucino einde maand]]-Tabel242567891011121314151716181921202223261415181920212224[[#This Row],[Stand Cappucino vorige maand]]</f>
        <v>221</v>
      </c>
      <c r="W31" s="53">
        <v>588</v>
      </c>
      <c r="X31">
        <f>november2025!W31</f>
        <v>585</v>
      </c>
      <c r="Y31">
        <f>Tabel242567891011121314151716181921202223261415181920212224[[#This Row],[Stand Cappucino Plantaardig einde maand]]-Tabel242567891011121314151716181921202223261415181920212224[[#This Row],[Stand Cappucino Plantaardig vorige maand]]</f>
        <v>3</v>
      </c>
      <c r="Z31" s="53">
        <v>138</v>
      </c>
      <c r="AA31">
        <f>november2025!Z31</f>
        <v>137</v>
      </c>
      <c r="AB31">
        <f>Tabel242567891011121314151716181921202223261415181920212224[[#This Row],[Stand Latte Macchiato Plantaardig einde maand]]-Tabel242567891011121314151716181921202223261415181920212224[[#This Row],[Stand Latte Macchiato Plantaardig vorige maand]]</f>
        <v>1</v>
      </c>
      <c r="AC31" s="71">
        <f>Tabel242567891011121314151716181921202223261415181920212224[[#This Row],[Verbruik Stand Latte Macchiato Plantaardig deze maand]]+Tabel242567891011121314151716181921202223261415181920212224[[#This Row],[Verbruik  Cappucino Plantaardig deze maand]]+Tabel242567891011121314151716181921202223261415181920212224[[#This Row],[Verbruik Cappucino deze maand]]+Tabel242567891011121314151716181921202223261415181920212224[[#This Row],[Verbruik Hot Water deze maand]]+Tabel242567891011121314151716181921202223261415181920212224[[#This Row],[Verbruik Coffee Latte deze maand]]+Tabel242567891011121314151716181921202223261415181920212224[[#This Row],[Verbruik Latte Macchiato deze maand]]+Tabel242567891011121314151716181921202223261415181920212224[[#This Row],[Verbruik Espresso deze maand]]+Tabel242567891011121314151716181921202223261415181920212224[[#This Row],[Verbruik Coffee deze maand]]</f>
        <v>1100</v>
      </c>
      <c r="AD31" s="69"/>
      <c r="AE31" s="41"/>
      <c r="AF31" s="5"/>
      <c r="AG31" s="5"/>
      <c r="AH31" s="75"/>
      <c r="AI31" s="41"/>
      <c r="AJ31" s="5"/>
      <c r="AK31" s="5"/>
      <c r="AL31" s="75"/>
      <c r="AM31" s="41"/>
      <c r="AN31" s="5"/>
      <c r="AO31" s="5"/>
      <c r="AP31" s="75"/>
      <c r="AQ31" s="41"/>
      <c r="AR31" s="5"/>
      <c r="AS31" s="5"/>
      <c r="AT31" s="75"/>
      <c r="AU31" s="41"/>
      <c r="AV31" s="5"/>
      <c r="AW31" s="5"/>
      <c r="AX31" s="79"/>
      <c r="AY31" s="95">
        <f>Tabel242567891011121314151716181921202223261415181920212224[[#This Row],[Subtotaal waterbar in consumpties]]+Tabel242567891011121314151716181921202223261415181920212224[[#This Row],[Subtotaal koffieautomaten]]</f>
        <v>1100</v>
      </c>
    </row>
    <row r="32" spans="1:130" ht="14.45" customHeight="1" x14ac:dyDescent="0.25">
      <c r="A32" s="65" t="s">
        <v>45</v>
      </c>
      <c r="B32" t="s">
        <v>80</v>
      </c>
      <c r="C32" t="s">
        <v>36</v>
      </c>
      <c r="E32" s="46"/>
      <c r="F32" s="46"/>
      <c r="G32" s="47"/>
      <c r="H32" s="54"/>
      <c r="I32" s="46"/>
      <c r="J32" s="47"/>
      <c r="K32" s="54"/>
      <c r="L32" s="46"/>
      <c r="M32" s="47"/>
      <c r="N32" s="54"/>
      <c r="O32" s="46"/>
      <c r="P32" s="47"/>
      <c r="Q32" s="54"/>
      <c r="R32" s="46"/>
      <c r="S32" s="47"/>
      <c r="T32" s="54"/>
      <c r="U32" s="46"/>
      <c r="V32" s="47"/>
      <c r="W32" s="54"/>
      <c r="X32" s="46"/>
      <c r="Y32" s="47"/>
      <c r="Z32" s="54"/>
      <c r="AA32" s="46"/>
      <c r="AB32" s="47"/>
      <c r="AC32" s="72"/>
      <c r="AD32" s="53">
        <v>53.3</v>
      </c>
      <c r="AE32">
        <f>november2025!AD32</f>
        <v>47</v>
      </c>
      <c r="AF32">
        <f>Tabel242567891011121314151716181921202223261415181920212224[[#This Row],[Stand Kamertemp liter einde maand]]-Tabel242567891011121314151716181921202223261415181920212224[[#This Row],[Stand Kamertemp liter vorige maand]]</f>
        <v>6.2999999999999972</v>
      </c>
      <c r="AG32" s="2">
        <f>Tabel242567891011121314151716181921202223261415181920212224[[#This Row],[Verbruik Kamertemp liter deze maand]]/0.15</f>
        <v>41.999999999999986</v>
      </c>
      <c r="AH32" s="53">
        <v>378.6</v>
      </c>
      <c r="AI32">
        <f>november2025!AH32</f>
        <v>330.6</v>
      </c>
      <c r="AJ32">
        <f>Tabel242567891011121314151716181921202223261415181920212224[[#This Row],[Stand Gekoeld liter einde maand]]-Tabel242567891011121314151716181921202223261415181920212224[[#This Row],[Stand Gekoeld liter vorige maand]]</f>
        <v>48</v>
      </c>
      <c r="AK32" s="2">
        <f>Tabel242567891011121314151716181921202223261415181920212224[[#This Row],[Verbruik Gekoeld liter deze maand]]/0.15</f>
        <v>320</v>
      </c>
      <c r="AL32" s="53">
        <v>212</v>
      </c>
      <c r="AM32">
        <f>november2025!AL32</f>
        <v>183</v>
      </c>
      <c r="AN32">
        <f>Tabel242567891011121314151716181921202223261415181920212224[[#This Row],[Stand Bruisend liter einde maand]]-Tabel242567891011121314151716181921202223261415181920212224[[#This Row],[Stand Bruisend liter vorige maand]]</f>
        <v>29</v>
      </c>
      <c r="AO32" s="2">
        <f>Tabel242567891011121314151716181921202223261415181920212224[[#This Row],[Verbruik Bruisend liter deze maand]]/0.15</f>
        <v>193.33333333333334</v>
      </c>
      <c r="AP32" s="53">
        <v>51.7</v>
      </c>
      <c r="AQ32">
        <f>november2025!AP32</f>
        <v>48.5</v>
      </c>
      <c r="AR32">
        <f>Tabel242567891011121314151716181921202223261415181920212224[[#This Row],[Stand licht bruisend liter einde maand]]-Tabel242567891011121314151716181921202223261415181920212224[[#This Row],[Stand licht bruisend liter vorige maand]]</f>
        <v>3.2000000000000028</v>
      </c>
      <c r="AS32" s="2">
        <f>Tabel242567891011121314151716181921202223261415181920212224[[#This Row],[Verbruik licht bruisend liter deze maand]]/0.15</f>
        <v>21.333333333333353</v>
      </c>
      <c r="AT32" s="53">
        <v>744</v>
      </c>
      <c r="AU32">
        <f>november2025!AT32</f>
        <v>649.29999999999995</v>
      </c>
      <c r="AV32">
        <f>Tabel242567891011121314151716181921202223261415181920212224[[#This Row],[Stand heet water liter einde maand]]-Tabel242567891011121314151716181921202223261415181920212224[[#This Row],[Stand heet water liter vorige maand]]</f>
        <v>94.700000000000045</v>
      </c>
      <c r="AW32" s="2">
        <f>Tabel242567891011121314151716181921202223261415181920212224[[#This Row],[Verbruik heet Water liter deze maand ]]/0.15</f>
        <v>631.33333333333371</v>
      </c>
      <c r="AX32" s="77">
        <f>Tabel242567891011121314151716181921202223261415181920212224[[#This Row],[Aantal consumpties heet water deze maand]]+Tabel242567891011121314151716181921202223261415181920212224[[#This Row],[Aantal consumpties licht bruisend water deze maand]]+Tabel242567891011121314151716181921202223261415181920212224[[#This Row],[aantal consumpties Bruisend water deze maand]]+Tabel242567891011121314151716181921202223261415181920212224[[#This Row],[Aantal consumpties gekoeld water deze maand]]+Tabel242567891011121314151716181921202223261415181920212224[[#This Row],[Aantal consumpties Kamertemp deze maand]]</f>
        <v>1208.0000000000005</v>
      </c>
      <c r="AY32" s="95">
        <f>Tabel242567891011121314151716181921202223261415181920212224[[#This Row],[Subtotaal waterbar in consumpties]]+Tabel242567891011121314151716181921202223261415181920212224[[#This Row],[Subtotaal koffieautomaten]]</f>
        <v>1208.0000000000005</v>
      </c>
    </row>
    <row r="33" spans="1:130" ht="14.45" customHeight="1" x14ac:dyDescent="0.25">
      <c r="A33" s="65" t="s">
        <v>48</v>
      </c>
      <c r="B33" t="s">
        <v>81</v>
      </c>
      <c r="C33" t="s">
        <v>31</v>
      </c>
      <c r="E33">
        <v>14853</v>
      </c>
      <c r="F33">
        <f>november2025!E33</f>
        <v>14554</v>
      </c>
      <c r="G33">
        <f>Tabel242567891011121314151716181921202223261415181920212224[[#This Row],[Stand Coffee einde maand]]-Tabel242567891011121314151716181921202223261415181920212224[[#This Row],[Coffee vorige maand]]</f>
        <v>299</v>
      </c>
      <c r="H33" s="53">
        <v>977</v>
      </c>
      <c r="I33">
        <f>november2025!H33</f>
        <v>924</v>
      </c>
      <c r="J33">
        <f>Tabel242567891011121314151716181921202223261415181920212224[[#This Row],[Stand Espresso Einde maand]]-Tabel242567891011121314151716181921202223261415181920212224[[#This Row],[Espresso vorige maand]]</f>
        <v>53</v>
      </c>
      <c r="K33" s="53">
        <v>753</v>
      </c>
      <c r="L33">
        <f>november2025!K33</f>
        <v>752</v>
      </c>
      <c r="M33">
        <f>Tabel242567891011121314151716181921202223261415181920212224[[#This Row],[Stand Latte Macchiato einde maand]]-Tabel242567891011121314151716181921202223261415181920212224[[#This Row],[Latte Macchiato vorige maand]]</f>
        <v>1</v>
      </c>
      <c r="N33" s="53">
        <v>462</v>
      </c>
      <c r="O33">
        <f>november2025!N33</f>
        <v>462</v>
      </c>
      <c r="P33">
        <f>Tabel242567891011121314151716181921202223261415181920212224[[#This Row],[Stand Coffee Latte einde maand]]-Tabel242567891011121314151716181921202223261415181920212224[[#This Row],[Coffee Latte vorige maand]]</f>
        <v>0</v>
      </c>
      <c r="Q33" s="53">
        <v>31021</v>
      </c>
      <c r="R33">
        <f>november2025!Q33</f>
        <v>30439</v>
      </c>
      <c r="S33">
        <f>Tabel242567891011121314151716181921202223261415181920212224[[#This Row],[Stand Hot Water einde maand]]-Tabel242567891011121314151716181921202223261415181920212224[[#This Row],[Hot Water vorige maand]]</f>
        <v>582</v>
      </c>
      <c r="T33" s="53">
        <v>4869</v>
      </c>
      <c r="U33">
        <f>november2025!T33</f>
        <v>4822</v>
      </c>
      <c r="V33">
        <f>Tabel242567891011121314151716181921202223261415181920212224[[#This Row],[Stand Cappucino einde maand]]-Tabel242567891011121314151716181921202223261415181920212224[[#This Row],[Stand Cappucino vorige maand]]</f>
        <v>47</v>
      </c>
      <c r="W33" s="53">
        <v>450</v>
      </c>
      <c r="X33">
        <f>november2025!W33</f>
        <v>446</v>
      </c>
      <c r="Y33">
        <f>Tabel242567891011121314151716181921202223261415181920212224[[#This Row],[Stand Cappucino Plantaardig einde maand]]-Tabel242567891011121314151716181921202223261415181920212224[[#This Row],[Stand Cappucino Plantaardig vorige maand]]</f>
        <v>4</v>
      </c>
      <c r="Z33" s="53">
        <v>79</v>
      </c>
      <c r="AA33">
        <f>november2025!Z33</f>
        <v>79</v>
      </c>
      <c r="AB33">
        <f>Tabel242567891011121314151716181921202223261415181920212224[[#This Row],[Stand Latte Macchiato Plantaardig einde maand]]-Tabel242567891011121314151716181921202223261415181920212224[[#This Row],[Stand Latte Macchiato Plantaardig vorige maand]]</f>
        <v>0</v>
      </c>
      <c r="AC33" s="71">
        <f>Tabel242567891011121314151716181921202223261415181920212224[[#This Row],[Verbruik Stand Latte Macchiato Plantaardig deze maand]]+Tabel242567891011121314151716181921202223261415181920212224[[#This Row],[Verbruik  Cappucino Plantaardig deze maand]]+Tabel242567891011121314151716181921202223261415181920212224[[#This Row],[Verbruik Cappucino deze maand]]+Tabel242567891011121314151716181921202223261415181920212224[[#This Row],[Verbruik Hot Water deze maand]]+Tabel242567891011121314151716181921202223261415181920212224[[#This Row],[Verbruik Coffee Latte deze maand]]+Tabel242567891011121314151716181921202223261415181920212224[[#This Row],[Verbruik Latte Macchiato deze maand]]+Tabel242567891011121314151716181921202223261415181920212224[[#This Row],[Verbruik Espresso deze maand]]+Tabel242567891011121314151716181921202223261415181920212224[[#This Row],[Verbruik Coffee deze maand]]</f>
        <v>986</v>
      </c>
      <c r="AD33" s="69"/>
      <c r="AE33" s="41"/>
      <c r="AF33" s="5"/>
      <c r="AG33" s="5"/>
      <c r="AH33" s="75"/>
      <c r="AI33" s="41"/>
      <c r="AJ33" s="5"/>
      <c r="AK33" s="5"/>
      <c r="AL33" s="75"/>
      <c r="AM33" s="41"/>
      <c r="AN33" s="5"/>
      <c r="AO33" s="5"/>
      <c r="AP33" s="75"/>
      <c r="AQ33" s="41"/>
      <c r="AR33" s="5"/>
      <c r="AS33" s="5"/>
      <c r="AT33" s="75"/>
      <c r="AU33" s="41"/>
      <c r="AV33" s="5"/>
      <c r="AW33" s="5"/>
      <c r="AX33" s="79"/>
      <c r="AY33" s="95">
        <f>Tabel242567891011121314151716181921202223261415181920212224[[#This Row],[Subtotaal waterbar in consumpties]]+Tabel242567891011121314151716181921202223261415181920212224[[#This Row],[Subtotaal koffieautomaten]]</f>
        <v>986</v>
      </c>
    </row>
    <row r="34" spans="1:130" ht="14.45" customHeight="1" x14ac:dyDescent="0.25">
      <c r="A34" s="65" t="s">
        <v>50</v>
      </c>
      <c r="B34" t="s">
        <v>82</v>
      </c>
      <c r="C34" t="s">
        <v>47</v>
      </c>
      <c r="E34">
        <v>10125</v>
      </c>
      <c r="F34">
        <f>november2025!E34</f>
        <v>9835</v>
      </c>
      <c r="G34">
        <f>Tabel242567891011121314151716181921202223261415181920212224[[#This Row],[Stand Coffee einde maand]]-Tabel242567891011121314151716181921202223261415181920212224[[#This Row],[Coffee vorige maand]]</f>
        <v>290</v>
      </c>
      <c r="H34" s="53">
        <v>1867</v>
      </c>
      <c r="I34">
        <f>november2025!H34</f>
        <v>1816</v>
      </c>
      <c r="J34">
        <f>Tabel242567891011121314151716181921202223261415181920212224[[#This Row],[Stand Espresso Einde maand]]-Tabel242567891011121314151716181921202223261415181920212224[[#This Row],[Espresso vorige maand]]</f>
        <v>51</v>
      </c>
      <c r="K34" s="53">
        <v>2669</v>
      </c>
      <c r="L34">
        <f>november2025!K34</f>
        <v>2606</v>
      </c>
      <c r="M34">
        <f>Tabel242567891011121314151716181921202223261415181920212224[[#This Row],[Stand Latte Macchiato einde maand]]-Tabel242567891011121314151716181921202223261415181920212224[[#This Row],[Latte Macchiato vorige maand]]</f>
        <v>63</v>
      </c>
      <c r="N34" s="53">
        <v>2862</v>
      </c>
      <c r="O34">
        <f>november2025!N34</f>
        <v>2778</v>
      </c>
      <c r="P34">
        <f>Tabel242567891011121314151716181921202223261415181920212224[[#This Row],[Stand Coffee Latte einde maand]]-Tabel242567891011121314151716181921202223261415181920212224[[#This Row],[Coffee Latte vorige maand]]</f>
        <v>84</v>
      </c>
      <c r="Q34" s="53">
        <v>1</v>
      </c>
      <c r="R34">
        <f>november2025!Q34</f>
        <v>1</v>
      </c>
      <c r="S34">
        <f>Tabel242567891011121314151716181921202223261415181920212224[[#This Row],[Stand Hot Water einde maand]]-Tabel242567891011121314151716181921202223261415181920212224[[#This Row],[Hot Water vorige maand]]</f>
        <v>0</v>
      </c>
      <c r="T34" s="53">
        <v>5074</v>
      </c>
      <c r="U34">
        <f>november2025!T34</f>
        <v>5013</v>
      </c>
      <c r="V34">
        <f>Tabel242567891011121314151716181921202223261415181920212224[[#This Row],[Stand Cappucino einde maand]]-Tabel242567891011121314151716181921202223261415181920212224[[#This Row],[Stand Cappucino vorige maand]]</f>
        <v>61</v>
      </c>
      <c r="W34" s="53">
        <v>1172</v>
      </c>
      <c r="X34">
        <f>november2025!W34</f>
        <v>1131</v>
      </c>
      <c r="Y34">
        <f>Tabel242567891011121314151716181921202223261415181920212224[[#This Row],[Stand Cappucino Plantaardig einde maand]]-Tabel242567891011121314151716181921202223261415181920212224[[#This Row],[Stand Cappucino Plantaardig vorige maand]]</f>
        <v>41</v>
      </c>
      <c r="Z34" s="53">
        <v>119</v>
      </c>
      <c r="AA34">
        <f>november2025!Z34</f>
        <v>117</v>
      </c>
      <c r="AB34">
        <f>Tabel242567891011121314151716181921202223261415181920212224[[#This Row],[Stand Latte Macchiato Plantaardig einde maand]]-Tabel242567891011121314151716181921202223261415181920212224[[#This Row],[Stand Latte Macchiato Plantaardig vorige maand]]</f>
        <v>2</v>
      </c>
      <c r="AC34" s="71">
        <f>Tabel242567891011121314151716181921202223261415181920212224[[#This Row],[Verbruik Stand Latte Macchiato Plantaardig deze maand]]+Tabel242567891011121314151716181921202223261415181920212224[[#This Row],[Verbruik  Cappucino Plantaardig deze maand]]+Tabel242567891011121314151716181921202223261415181920212224[[#This Row],[Verbruik Cappucino deze maand]]+Tabel242567891011121314151716181921202223261415181920212224[[#This Row],[Verbruik Hot Water deze maand]]+Tabel242567891011121314151716181921202223261415181920212224[[#This Row],[Verbruik Coffee Latte deze maand]]+Tabel242567891011121314151716181921202223261415181920212224[[#This Row],[Verbruik Latte Macchiato deze maand]]+Tabel242567891011121314151716181921202223261415181920212224[[#This Row],[Verbruik Espresso deze maand]]+Tabel242567891011121314151716181921202223261415181920212224[[#This Row],[Verbruik Coffee deze maand]]</f>
        <v>592</v>
      </c>
      <c r="AD34" s="53">
        <v>116.1</v>
      </c>
      <c r="AE34">
        <f>november2025!AD34</f>
        <v>112.5</v>
      </c>
      <c r="AF34">
        <f>Tabel242567891011121314151716181921202223261415181920212224[[#This Row],[Stand Kamertemp liter einde maand]]-Tabel242567891011121314151716181921202223261415181920212224[[#This Row],[Stand Kamertemp liter vorige maand]]</f>
        <v>3.5999999999999943</v>
      </c>
      <c r="AG34" s="2">
        <f>Tabel242567891011121314151716181921202223261415181920212224[[#This Row],[Verbruik Kamertemp liter deze maand]]/0.15</f>
        <v>23.999999999999964</v>
      </c>
      <c r="AH34" s="53">
        <v>690.8</v>
      </c>
      <c r="AI34">
        <f>november2025!AH34</f>
        <v>640.70000000000005</v>
      </c>
      <c r="AJ34">
        <f>Tabel242567891011121314151716181921202223261415181920212224[[#This Row],[Stand Gekoeld liter einde maand]]-Tabel242567891011121314151716181921202223261415181920212224[[#This Row],[Stand Gekoeld liter vorige maand]]</f>
        <v>50.099999999999909</v>
      </c>
      <c r="AK34" s="2">
        <f>Tabel242567891011121314151716181921202223261415181920212224[[#This Row],[Verbruik Gekoeld liter deze maand]]/0.15</f>
        <v>333.99999999999943</v>
      </c>
      <c r="AL34" s="53">
        <v>476.2</v>
      </c>
      <c r="AM34">
        <f>november2025!AL34</f>
        <v>443.3</v>
      </c>
      <c r="AN34">
        <f>Tabel242567891011121314151716181921202223261415181920212224[[#This Row],[Stand Bruisend liter einde maand]]-Tabel242567891011121314151716181921202223261415181920212224[[#This Row],[Stand Bruisend liter vorige maand]]</f>
        <v>32.899999999999977</v>
      </c>
      <c r="AO34" s="2">
        <f>Tabel242567891011121314151716181921202223261415181920212224[[#This Row],[Verbruik Bruisend liter deze maand]]/0.15</f>
        <v>219.3333333333332</v>
      </c>
      <c r="AP34" s="53">
        <v>196.3</v>
      </c>
      <c r="AQ34">
        <f>november2025!AP34</f>
        <v>185.7</v>
      </c>
      <c r="AR34">
        <f>Tabel242567891011121314151716181921202223261415181920212224[[#This Row],[Stand licht bruisend liter einde maand]]-Tabel242567891011121314151716181921202223261415181920212224[[#This Row],[Stand licht bruisend liter vorige maand]]</f>
        <v>10.600000000000023</v>
      </c>
      <c r="AS34" s="2">
        <f>Tabel242567891011121314151716181921202223261415181920212224[[#This Row],[Verbruik licht bruisend liter deze maand]]/0.15</f>
        <v>70.666666666666828</v>
      </c>
      <c r="AT34" s="53">
        <v>2366</v>
      </c>
      <c r="AU34">
        <f>november2025!AT34</f>
        <v>2223.5</v>
      </c>
      <c r="AV34">
        <f>Tabel242567891011121314151716181921202223261415181920212224[[#This Row],[Stand heet water liter einde maand]]-Tabel242567891011121314151716181921202223261415181920212224[[#This Row],[Stand heet water liter vorige maand]]</f>
        <v>142.5</v>
      </c>
      <c r="AW34" s="2">
        <f>Tabel242567891011121314151716181921202223261415181920212224[[#This Row],[Verbruik heet Water liter deze maand ]]/0.15</f>
        <v>950</v>
      </c>
      <c r="AX34" s="77">
        <f>Tabel242567891011121314151716181921202223261415181920212224[[#This Row],[Aantal consumpties heet water deze maand]]+Tabel242567891011121314151716181921202223261415181920212224[[#This Row],[Aantal consumpties licht bruisend water deze maand]]+Tabel242567891011121314151716181921202223261415181920212224[[#This Row],[aantal consumpties Bruisend water deze maand]]+Tabel242567891011121314151716181921202223261415181920212224[[#This Row],[Aantal consumpties gekoeld water deze maand]]+Tabel242567891011121314151716181921202223261415181920212224[[#This Row],[Aantal consumpties Kamertemp deze maand]]</f>
        <v>1597.9999999999995</v>
      </c>
      <c r="AY34" s="95">
        <f>Tabel242567891011121314151716181921202223261415181920212224[[#This Row],[Subtotaal waterbar in consumpties]]+Tabel242567891011121314151716181921202223261415181920212224[[#This Row],[Subtotaal koffieautomaten]]</f>
        <v>2189.9999999999995</v>
      </c>
    </row>
    <row r="35" spans="1:130" ht="14.45" customHeight="1" x14ac:dyDescent="0.25">
      <c r="A35" s="65" t="s">
        <v>52</v>
      </c>
      <c r="B35" t="s">
        <v>83</v>
      </c>
      <c r="C35" t="s">
        <v>47</v>
      </c>
      <c r="E35">
        <v>10409</v>
      </c>
      <c r="F35">
        <f>november2025!E35</f>
        <v>10163</v>
      </c>
      <c r="G35">
        <f>Tabel242567891011121314151716181921202223261415181920212224[[#This Row],[Stand Coffee einde maand]]-Tabel242567891011121314151716181921202223261415181920212224[[#This Row],[Coffee vorige maand]]</f>
        <v>246</v>
      </c>
      <c r="H35" s="53">
        <v>3806</v>
      </c>
      <c r="I35">
        <f>november2025!H35</f>
        <v>3744</v>
      </c>
      <c r="J35">
        <f>Tabel242567891011121314151716181921202223261415181920212224[[#This Row],[Stand Espresso Einde maand]]-Tabel242567891011121314151716181921202223261415181920212224[[#This Row],[Espresso vorige maand]]</f>
        <v>62</v>
      </c>
      <c r="K35" s="53">
        <v>1779</v>
      </c>
      <c r="L35">
        <f>november2025!K35</f>
        <v>1757</v>
      </c>
      <c r="M35">
        <f>Tabel242567891011121314151716181921202223261415181920212224[[#This Row],[Stand Latte Macchiato einde maand]]-Tabel242567891011121314151716181921202223261415181920212224[[#This Row],[Latte Macchiato vorige maand]]</f>
        <v>22</v>
      </c>
      <c r="N35" s="53">
        <v>293</v>
      </c>
      <c r="O35">
        <f>november2025!N35</f>
        <v>291</v>
      </c>
      <c r="P35">
        <f>Tabel242567891011121314151716181921202223261415181920212224[[#This Row],[Stand Coffee Latte einde maand]]-Tabel242567891011121314151716181921202223261415181920212224[[#This Row],[Coffee Latte vorige maand]]</f>
        <v>2</v>
      </c>
      <c r="Q35" s="53">
        <v>1</v>
      </c>
      <c r="R35">
        <f>november2025!Q35</f>
        <v>1</v>
      </c>
      <c r="S35">
        <f>Tabel242567891011121314151716181921202223261415181920212224[[#This Row],[Stand Hot Water einde maand]]-Tabel242567891011121314151716181921202223261415181920212224[[#This Row],[Hot Water vorige maand]]</f>
        <v>0</v>
      </c>
      <c r="T35" s="53">
        <v>4429</v>
      </c>
      <c r="U35">
        <f>november2025!T35</f>
        <v>4324</v>
      </c>
      <c r="V35">
        <f>Tabel242567891011121314151716181921202223261415181920212224[[#This Row],[Stand Cappucino einde maand]]-Tabel242567891011121314151716181921202223261415181920212224[[#This Row],[Stand Cappucino vorige maand]]</f>
        <v>105</v>
      </c>
      <c r="W35" s="53">
        <v>1244</v>
      </c>
      <c r="X35">
        <f>november2025!W35</f>
        <v>1213</v>
      </c>
      <c r="Y35">
        <f>Tabel242567891011121314151716181921202223261415181920212224[[#This Row],[Stand Cappucino Plantaardig einde maand]]-Tabel242567891011121314151716181921202223261415181920212224[[#This Row],[Stand Cappucino Plantaardig vorige maand]]</f>
        <v>31</v>
      </c>
      <c r="Z35" s="53">
        <v>674</v>
      </c>
      <c r="AA35">
        <f>november2025!Z35</f>
        <v>664</v>
      </c>
      <c r="AB35">
        <f>Tabel242567891011121314151716181921202223261415181920212224[[#This Row],[Stand Latte Macchiato Plantaardig einde maand]]-Tabel242567891011121314151716181921202223261415181920212224[[#This Row],[Stand Latte Macchiato Plantaardig vorige maand]]</f>
        <v>10</v>
      </c>
      <c r="AC35" s="71">
        <f>Tabel242567891011121314151716181921202223261415181920212224[[#This Row],[Verbruik Stand Latte Macchiato Plantaardig deze maand]]+Tabel242567891011121314151716181921202223261415181920212224[[#This Row],[Verbruik  Cappucino Plantaardig deze maand]]+Tabel242567891011121314151716181921202223261415181920212224[[#This Row],[Verbruik Cappucino deze maand]]+Tabel242567891011121314151716181921202223261415181920212224[[#This Row],[Verbruik Hot Water deze maand]]+Tabel242567891011121314151716181921202223261415181920212224[[#This Row],[Verbruik Coffee Latte deze maand]]+Tabel242567891011121314151716181921202223261415181920212224[[#This Row],[Verbruik Latte Macchiato deze maand]]+Tabel242567891011121314151716181921202223261415181920212224[[#This Row],[Verbruik Espresso deze maand]]+Tabel242567891011121314151716181921202223261415181920212224[[#This Row],[Verbruik Coffee deze maand]]</f>
        <v>478</v>
      </c>
      <c r="AD35" s="53">
        <v>49</v>
      </c>
      <c r="AE35">
        <f>november2025!AD35</f>
        <v>41.5</v>
      </c>
      <c r="AF35">
        <f>Tabel242567891011121314151716181921202223261415181920212224[[#This Row],[Stand Kamertemp liter einde maand]]-Tabel242567891011121314151716181921202223261415181920212224[[#This Row],[Stand Kamertemp liter vorige maand]]</f>
        <v>7.5</v>
      </c>
      <c r="AG35" s="2">
        <f>Tabel242567891011121314151716181921202223261415181920212224[[#This Row],[Verbruik Kamertemp liter deze maand]]/0.15</f>
        <v>50</v>
      </c>
      <c r="AH35" s="53">
        <v>109.4</v>
      </c>
      <c r="AI35">
        <f>november2025!AH35</f>
        <v>84</v>
      </c>
      <c r="AJ35">
        <f>Tabel242567891011121314151716181921202223261415181920212224[[#This Row],[Stand Gekoeld liter einde maand]]-Tabel242567891011121314151716181921202223261415181920212224[[#This Row],[Stand Gekoeld liter vorige maand]]</f>
        <v>25.400000000000006</v>
      </c>
      <c r="AK35" s="2">
        <f>Tabel242567891011121314151716181921202223261415181920212224[[#This Row],[Verbruik Gekoeld liter deze maand]]/0.15</f>
        <v>169.33333333333337</v>
      </c>
      <c r="AL35" s="53">
        <v>97.7</v>
      </c>
      <c r="AM35">
        <f>november2025!AL35</f>
        <v>69.2</v>
      </c>
      <c r="AN35">
        <f>Tabel242567891011121314151716181921202223261415181920212224[[#This Row],[Stand Bruisend liter einde maand]]-Tabel242567891011121314151716181921202223261415181920212224[[#This Row],[Stand Bruisend liter vorige maand]]</f>
        <v>28.5</v>
      </c>
      <c r="AO35" s="2">
        <f>Tabel242567891011121314151716181921202223261415181920212224[[#This Row],[Verbruik Bruisend liter deze maand]]/0.15</f>
        <v>190</v>
      </c>
      <c r="AP35" s="53">
        <v>56.6</v>
      </c>
      <c r="AQ35">
        <f>november2025!AP35</f>
        <v>45.1</v>
      </c>
      <c r="AR35">
        <f>Tabel242567891011121314151716181921202223261415181920212224[[#This Row],[Stand licht bruisend liter einde maand]]-Tabel242567891011121314151716181921202223261415181920212224[[#This Row],[Stand licht bruisend liter vorige maand]]</f>
        <v>11.5</v>
      </c>
      <c r="AS35" s="2">
        <f>Tabel242567891011121314151716181921202223261415181920212224[[#This Row],[Verbruik licht bruisend liter deze maand]]/0.15</f>
        <v>76.666666666666671</v>
      </c>
      <c r="AT35" s="53">
        <v>952.2</v>
      </c>
      <c r="AU35">
        <f>november2025!AT35</f>
        <v>754.5</v>
      </c>
      <c r="AV35">
        <f>Tabel242567891011121314151716181921202223261415181920212224[[#This Row],[Stand heet water liter einde maand]]-Tabel242567891011121314151716181921202223261415181920212224[[#This Row],[Stand heet water liter vorige maand]]</f>
        <v>197.70000000000005</v>
      </c>
      <c r="AW35" s="2">
        <f>Tabel242567891011121314151716181921202223261415181920212224[[#This Row],[Verbruik heet Water liter deze maand ]]/0.15</f>
        <v>1318.0000000000005</v>
      </c>
      <c r="AX35" s="77">
        <f>Tabel242567891011121314151716181921202223261415181920212224[[#This Row],[Aantal consumpties heet water deze maand]]+Tabel242567891011121314151716181921202223261415181920212224[[#This Row],[Aantal consumpties licht bruisend water deze maand]]+Tabel242567891011121314151716181921202223261415181920212224[[#This Row],[aantal consumpties Bruisend water deze maand]]+Tabel242567891011121314151716181921202223261415181920212224[[#This Row],[Aantal consumpties gekoeld water deze maand]]+Tabel242567891011121314151716181921202223261415181920212224[[#This Row],[Aantal consumpties Kamertemp deze maand]]</f>
        <v>1804.0000000000005</v>
      </c>
      <c r="AY35" s="95">
        <f>Tabel242567891011121314151716181921202223261415181920212224[[#This Row],[Subtotaal waterbar in consumpties]]+Tabel242567891011121314151716181921202223261415181920212224[[#This Row],[Subtotaal koffieautomaten]]</f>
        <v>2282.0000000000005</v>
      </c>
    </row>
    <row r="36" spans="1:130" ht="14.45" customHeight="1" x14ac:dyDescent="0.25">
      <c r="A36" s="65" t="s">
        <v>54</v>
      </c>
      <c r="B36" t="s">
        <v>84</v>
      </c>
      <c r="C36" t="s">
        <v>31</v>
      </c>
      <c r="E36">
        <v>17490</v>
      </c>
      <c r="F36">
        <f>november2025!E36</f>
        <v>16992</v>
      </c>
      <c r="G36">
        <f>Tabel242567891011121314151716181921202223261415181920212224[[#This Row],[Stand Coffee einde maand]]-Tabel242567891011121314151716181921202223261415181920212224[[#This Row],[Coffee vorige maand]]</f>
        <v>498</v>
      </c>
      <c r="H36" s="53">
        <v>3172</v>
      </c>
      <c r="I36">
        <f>november2025!H36</f>
        <v>3012</v>
      </c>
      <c r="J36">
        <f>Tabel242567891011121314151716181921202223261415181920212224[[#This Row],[Stand Espresso Einde maand]]-Tabel242567891011121314151716181921202223261415181920212224[[#This Row],[Espresso vorige maand]]</f>
        <v>160</v>
      </c>
      <c r="K36" s="53">
        <v>1540</v>
      </c>
      <c r="L36">
        <f>november2025!K36</f>
        <v>1489</v>
      </c>
      <c r="M36">
        <f>Tabel242567891011121314151716181921202223261415181920212224[[#This Row],[Stand Latte Macchiato einde maand]]-Tabel242567891011121314151716181921202223261415181920212224[[#This Row],[Latte Macchiato vorige maand]]</f>
        <v>51</v>
      </c>
      <c r="N36" s="53">
        <v>608</v>
      </c>
      <c r="O36">
        <f>november2025!N36</f>
        <v>581</v>
      </c>
      <c r="P36">
        <f>Tabel242567891011121314151716181921202223261415181920212224[[#This Row],[Stand Coffee Latte einde maand]]-Tabel242567891011121314151716181921202223261415181920212224[[#This Row],[Coffee Latte vorige maand]]</f>
        <v>27</v>
      </c>
      <c r="Q36" s="53">
        <v>24547</v>
      </c>
      <c r="R36">
        <f>november2025!Q36</f>
        <v>23841</v>
      </c>
      <c r="S36">
        <f>Tabel242567891011121314151716181921202223261415181920212224[[#This Row],[Stand Hot Water einde maand]]-Tabel242567891011121314151716181921202223261415181920212224[[#This Row],[Hot Water vorige maand]]</f>
        <v>706</v>
      </c>
      <c r="T36" s="53">
        <v>5980</v>
      </c>
      <c r="U36">
        <f>november2025!T36</f>
        <v>5816</v>
      </c>
      <c r="V36">
        <f>Tabel242567891011121314151716181921202223261415181920212224[[#This Row],[Stand Cappucino einde maand]]-Tabel242567891011121314151716181921202223261415181920212224[[#This Row],[Stand Cappucino vorige maand]]</f>
        <v>164</v>
      </c>
      <c r="W36" s="53">
        <v>767</v>
      </c>
      <c r="X36">
        <f>november2025!W36</f>
        <v>753</v>
      </c>
      <c r="Y36">
        <f>Tabel242567891011121314151716181921202223261415181920212224[[#This Row],[Stand Cappucino Plantaardig einde maand]]-Tabel242567891011121314151716181921202223261415181920212224[[#This Row],[Stand Cappucino Plantaardig vorige maand]]</f>
        <v>14</v>
      </c>
      <c r="Z36" s="53">
        <v>1232</v>
      </c>
      <c r="AA36">
        <f>november2025!Z36</f>
        <v>1214</v>
      </c>
      <c r="AB36">
        <f>Tabel242567891011121314151716181921202223261415181920212224[[#This Row],[Stand Latte Macchiato Plantaardig einde maand]]-Tabel242567891011121314151716181921202223261415181920212224[[#This Row],[Stand Latte Macchiato Plantaardig vorige maand]]</f>
        <v>18</v>
      </c>
      <c r="AC36" s="71">
        <f>Tabel242567891011121314151716181921202223261415181920212224[[#This Row],[Verbruik Stand Latte Macchiato Plantaardig deze maand]]+Tabel242567891011121314151716181921202223261415181920212224[[#This Row],[Verbruik  Cappucino Plantaardig deze maand]]+Tabel242567891011121314151716181921202223261415181920212224[[#This Row],[Verbruik Cappucino deze maand]]+Tabel242567891011121314151716181921202223261415181920212224[[#This Row],[Verbruik Hot Water deze maand]]+Tabel242567891011121314151716181921202223261415181920212224[[#This Row],[Verbruik Coffee Latte deze maand]]+Tabel242567891011121314151716181921202223261415181920212224[[#This Row],[Verbruik Latte Macchiato deze maand]]+Tabel242567891011121314151716181921202223261415181920212224[[#This Row],[Verbruik Espresso deze maand]]+Tabel242567891011121314151716181921202223261415181920212224[[#This Row],[Verbruik Coffee deze maand]]</f>
        <v>1638</v>
      </c>
      <c r="AD36" s="69"/>
      <c r="AE36" s="41"/>
      <c r="AF36" s="5"/>
      <c r="AG36" s="5"/>
      <c r="AH36" s="75"/>
      <c r="AI36" s="41"/>
      <c r="AJ36" s="5"/>
      <c r="AK36" s="5"/>
      <c r="AL36" s="75"/>
      <c r="AM36" s="41"/>
      <c r="AN36" s="5"/>
      <c r="AO36" s="5"/>
      <c r="AP36" s="75"/>
      <c r="AQ36" s="41"/>
      <c r="AR36" s="5"/>
      <c r="AS36" s="5"/>
      <c r="AT36" s="75"/>
      <c r="AU36" s="41"/>
      <c r="AV36" s="5"/>
      <c r="AW36" s="5"/>
      <c r="AX36" s="79"/>
      <c r="AY36" s="95">
        <f>Tabel242567891011121314151716181921202223261415181920212224[[#This Row],[Subtotaal waterbar in consumpties]]+Tabel242567891011121314151716181921202223261415181920212224[[#This Row],[Subtotaal koffieautomaten]]</f>
        <v>1638</v>
      </c>
    </row>
    <row r="37" spans="1:130" ht="14.45" customHeight="1" x14ac:dyDescent="0.25">
      <c r="A37" s="65" t="s">
        <v>56</v>
      </c>
      <c r="B37" t="s">
        <v>85</v>
      </c>
      <c r="C37" t="s">
        <v>36</v>
      </c>
      <c r="E37" s="46"/>
      <c r="F37" s="46"/>
      <c r="G37" s="47"/>
      <c r="H37" s="54"/>
      <c r="I37" s="46"/>
      <c r="J37" s="47"/>
      <c r="K37" s="54"/>
      <c r="L37" s="46"/>
      <c r="M37" s="47"/>
      <c r="N37" s="54"/>
      <c r="O37" s="46"/>
      <c r="P37" s="47"/>
      <c r="Q37" s="54"/>
      <c r="R37" s="46"/>
      <c r="S37" s="47"/>
      <c r="T37" s="54"/>
      <c r="U37" s="46"/>
      <c r="V37" s="47"/>
      <c r="W37" s="54"/>
      <c r="X37" s="46"/>
      <c r="Y37" s="47"/>
      <c r="Z37" s="54"/>
      <c r="AA37" s="46"/>
      <c r="AB37" s="47"/>
      <c r="AC37" s="72"/>
      <c r="AD37" s="53">
        <v>229.5</v>
      </c>
      <c r="AE37">
        <f>november2025!AD37</f>
        <v>220.9</v>
      </c>
      <c r="AF37">
        <f>Tabel242567891011121314151716181921202223261415181920212224[[#This Row],[Stand Kamertemp liter einde maand]]-Tabel242567891011121314151716181921202223261415181920212224[[#This Row],[Stand Kamertemp liter vorige maand]]</f>
        <v>8.5999999999999943</v>
      </c>
      <c r="AG37" s="2">
        <f>Tabel242567891011121314151716181921202223261415181920212224[[#This Row],[Verbruik Kamertemp liter deze maand]]/0.15</f>
        <v>57.3333333333333</v>
      </c>
      <c r="AH37" s="53">
        <v>1081.4000000000001</v>
      </c>
      <c r="AI37">
        <f>november2025!AH37</f>
        <v>1059.3</v>
      </c>
      <c r="AJ37">
        <f>Tabel242567891011121314151716181921202223261415181920212224[[#This Row],[Stand Gekoeld liter einde maand]]-Tabel242567891011121314151716181921202223261415181920212224[[#This Row],[Stand Gekoeld liter vorige maand]]</f>
        <v>22.100000000000136</v>
      </c>
      <c r="AK37" s="2">
        <f>Tabel242567891011121314151716181921202223261415181920212224[[#This Row],[Verbruik Gekoeld liter deze maand]]/0.15</f>
        <v>147.33333333333425</v>
      </c>
      <c r="AL37" s="53">
        <v>940.7</v>
      </c>
      <c r="AM37">
        <f>november2025!AL37</f>
        <v>894.3</v>
      </c>
      <c r="AN37">
        <f>Tabel242567891011121314151716181921202223261415181920212224[[#This Row],[Stand Bruisend liter einde maand]]-Tabel242567891011121314151716181921202223261415181920212224[[#This Row],[Stand Bruisend liter vorige maand]]</f>
        <v>46.400000000000091</v>
      </c>
      <c r="AO37" s="2">
        <f>Tabel242567891011121314151716181921202223261415181920212224[[#This Row],[Verbruik Bruisend liter deze maand]]/0.15</f>
        <v>309.33333333333394</v>
      </c>
      <c r="AP37" s="53">
        <v>491.8</v>
      </c>
      <c r="AQ37">
        <f>november2025!AP37</f>
        <v>477.6</v>
      </c>
      <c r="AR37">
        <f>Tabel242567891011121314151716181921202223261415181920212224[[#This Row],[Stand licht bruisend liter einde maand]]-Tabel242567891011121314151716181921202223261415181920212224[[#This Row],[Stand licht bruisend liter vorige maand]]</f>
        <v>14.199999999999989</v>
      </c>
      <c r="AS37" s="2">
        <f>Tabel242567891011121314151716181921202223261415181920212224[[#This Row],[Verbruik licht bruisend liter deze maand]]/0.15</f>
        <v>94.6666666666666</v>
      </c>
      <c r="AT37" s="53">
        <v>3320.4</v>
      </c>
      <c r="AU37">
        <f>november2025!AT37</f>
        <v>3185.2</v>
      </c>
      <c r="AV37">
        <f>Tabel242567891011121314151716181921202223261415181920212224[[#This Row],[Stand heet water liter einde maand]]-Tabel242567891011121314151716181921202223261415181920212224[[#This Row],[Stand heet water liter vorige maand]]</f>
        <v>135.20000000000027</v>
      </c>
      <c r="AW37" s="2">
        <f>Tabel242567891011121314151716181921202223261415181920212224[[#This Row],[Verbruik heet Water liter deze maand ]]/0.15</f>
        <v>901.33333333333519</v>
      </c>
      <c r="AX37" s="77">
        <f>Tabel242567891011121314151716181921202223261415181920212224[[#This Row],[Aantal consumpties heet water deze maand]]+Tabel242567891011121314151716181921202223261415181920212224[[#This Row],[Aantal consumpties licht bruisend water deze maand]]+Tabel242567891011121314151716181921202223261415181920212224[[#This Row],[aantal consumpties Bruisend water deze maand]]+Tabel242567891011121314151716181921202223261415181920212224[[#This Row],[Aantal consumpties gekoeld water deze maand]]+Tabel242567891011121314151716181921202223261415181920212224[[#This Row],[Aantal consumpties Kamertemp deze maand]]</f>
        <v>1510.0000000000032</v>
      </c>
      <c r="AY37" s="95">
        <f>Tabel242567891011121314151716181921202223261415181920212224[[#This Row],[Subtotaal waterbar in consumpties]]+Tabel242567891011121314151716181921202223261415181920212224[[#This Row],[Subtotaal koffieautomaten]]</f>
        <v>1510.0000000000032</v>
      </c>
    </row>
    <row r="38" spans="1:130" ht="14.45" customHeight="1" x14ac:dyDescent="0.25">
      <c r="A38" s="65" t="s">
        <v>58</v>
      </c>
      <c r="B38" t="s">
        <v>86</v>
      </c>
      <c r="C38" t="s">
        <v>47</v>
      </c>
      <c r="E38">
        <v>15495</v>
      </c>
      <c r="F38">
        <f>november2025!E38</f>
        <v>15159</v>
      </c>
      <c r="G38">
        <f>Tabel242567891011121314151716181921202223261415181920212224[[#This Row],[Stand Coffee einde maand]]-Tabel242567891011121314151716181921202223261415181920212224[[#This Row],[Coffee vorige maand]]</f>
        <v>336</v>
      </c>
      <c r="H38" s="53">
        <v>4480</v>
      </c>
      <c r="I38">
        <f>november2025!H38</f>
        <v>4408</v>
      </c>
      <c r="J38">
        <f>Tabel242567891011121314151716181921202223261415181920212224[[#This Row],[Stand Espresso Einde maand]]-Tabel242567891011121314151716181921202223261415181920212224[[#This Row],[Espresso vorige maand]]</f>
        <v>72</v>
      </c>
      <c r="K38" s="53">
        <v>2693</v>
      </c>
      <c r="L38">
        <f>november2025!K38</f>
        <v>2666</v>
      </c>
      <c r="M38">
        <f>Tabel242567891011121314151716181921202223261415181920212224[[#This Row],[Stand Latte Macchiato einde maand]]-Tabel242567891011121314151716181921202223261415181920212224[[#This Row],[Latte Macchiato vorige maand]]</f>
        <v>27</v>
      </c>
      <c r="N38" s="53">
        <v>1241</v>
      </c>
      <c r="O38">
        <f>november2025!N38</f>
        <v>1225</v>
      </c>
      <c r="P38">
        <f>Tabel242567891011121314151716181921202223261415181920212224[[#This Row],[Stand Coffee Latte einde maand]]-Tabel242567891011121314151716181921202223261415181920212224[[#This Row],[Coffee Latte vorige maand]]</f>
        <v>16</v>
      </c>
      <c r="Q38" s="53">
        <v>2277</v>
      </c>
      <c r="R38">
        <f>november2025!Q38</f>
        <v>1947</v>
      </c>
      <c r="S38">
        <f>Tabel242567891011121314151716181921202223261415181920212224[[#This Row],[Stand Hot Water einde maand]]-Tabel242567891011121314151716181921202223261415181920212224[[#This Row],[Hot Water vorige maand]]</f>
        <v>330</v>
      </c>
      <c r="T38" s="53">
        <v>7699</v>
      </c>
      <c r="U38">
        <f>november2025!T38</f>
        <v>7527</v>
      </c>
      <c r="V38">
        <f>Tabel242567891011121314151716181921202223261415181920212224[[#This Row],[Stand Cappucino einde maand]]-Tabel242567891011121314151716181921202223261415181920212224[[#This Row],[Stand Cappucino vorige maand]]</f>
        <v>172</v>
      </c>
      <c r="W38" s="53">
        <v>1150</v>
      </c>
      <c r="X38">
        <f>november2025!W38</f>
        <v>1127</v>
      </c>
      <c r="Y38">
        <f>Tabel242567891011121314151716181921202223261415181920212224[[#This Row],[Stand Cappucino Plantaardig einde maand]]-Tabel242567891011121314151716181921202223261415181920212224[[#This Row],[Stand Cappucino Plantaardig vorige maand]]</f>
        <v>23</v>
      </c>
      <c r="Z38" s="53">
        <v>891</v>
      </c>
      <c r="AA38">
        <f>november2025!Z38</f>
        <v>870</v>
      </c>
      <c r="AB38">
        <f>Tabel242567891011121314151716181921202223261415181920212224[[#This Row],[Stand Latte Macchiato Plantaardig einde maand]]-Tabel242567891011121314151716181921202223261415181920212224[[#This Row],[Stand Latte Macchiato Plantaardig vorige maand]]</f>
        <v>21</v>
      </c>
      <c r="AC38" s="71">
        <f>Tabel242567891011121314151716181921202223261415181920212224[[#This Row],[Verbruik Stand Latte Macchiato Plantaardig deze maand]]+Tabel242567891011121314151716181921202223261415181920212224[[#This Row],[Verbruik  Cappucino Plantaardig deze maand]]+Tabel242567891011121314151716181921202223261415181920212224[[#This Row],[Verbruik Cappucino deze maand]]+Tabel242567891011121314151716181921202223261415181920212224[[#This Row],[Verbruik Hot Water deze maand]]+Tabel242567891011121314151716181921202223261415181920212224[[#This Row],[Verbruik Coffee Latte deze maand]]+Tabel242567891011121314151716181921202223261415181920212224[[#This Row],[Verbruik Latte Macchiato deze maand]]+Tabel242567891011121314151716181921202223261415181920212224[[#This Row],[Verbruik Espresso deze maand]]+Tabel242567891011121314151716181921202223261415181920212224[[#This Row],[Verbruik Coffee deze maand]]</f>
        <v>997</v>
      </c>
      <c r="AD38" s="53">
        <v>210.60000000000002</v>
      </c>
      <c r="AE38">
        <f>november2025!AD38</f>
        <v>198.3</v>
      </c>
      <c r="AF38">
        <f>Tabel242567891011121314151716181921202223261415181920212224[[#This Row],[Stand Kamertemp liter einde maand]]-Tabel242567891011121314151716181921202223261415181920212224[[#This Row],[Stand Kamertemp liter vorige maand]]</f>
        <v>12.300000000000011</v>
      </c>
      <c r="AG38" s="2">
        <f>Tabel242567891011121314151716181921202223261415181920212224[[#This Row],[Verbruik Kamertemp liter deze maand]]/0.15</f>
        <v>82.000000000000085</v>
      </c>
      <c r="AH38" s="53">
        <v>981.1</v>
      </c>
      <c r="AI38">
        <f>november2025!AH38</f>
        <v>945.2</v>
      </c>
      <c r="AJ38">
        <f>Tabel242567891011121314151716181921202223261415181920212224[[#This Row],[Stand Gekoeld liter einde maand]]-Tabel242567891011121314151716181921202223261415181920212224[[#This Row],[Stand Gekoeld liter vorige maand]]</f>
        <v>35.899999999999977</v>
      </c>
      <c r="AK38" s="2">
        <f>Tabel242567891011121314151716181921202223261415181920212224[[#This Row],[Verbruik Gekoeld liter deze maand]]/0.15</f>
        <v>239.3333333333332</v>
      </c>
      <c r="AL38" s="53">
        <v>867.3</v>
      </c>
      <c r="AM38">
        <f>november2025!AL38</f>
        <v>823</v>
      </c>
      <c r="AN38">
        <f>Tabel242567891011121314151716181921202223261415181920212224[[#This Row],[Stand Bruisend liter einde maand]]-Tabel242567891011121314151716181921202223261415181920212224[[#This Row],[Stand Bruisend liter vorige maand]]</f>
        <v>44.299999999999955</v>
      </c>
      <c r="AO38" s="2">
        <f>Tabel242567891011121314151716181921202223261415181920212224[[#This Row],[Verbruik Bruisend liter deze maand]]/0.15</f>
        <v>295.33333333333303</v>
      </c>
      <c r="AP38" s="53">
        <v>252.6</v>
      </c>
      <c r="AQ38">
        <f>november2025!AP38</f>
        <v>243.6</v>
      </c>
      <c r="AR38">
        <f>Tabel242567891011121314151716181921202223261415181920212224[[#This Row],[Stand licht bruisend liter einde maand]]-Tabel242567891011121314151716181921202223261415181920212224[[#This Row],[Stand licht bruisend liter vorige maand]]</f>
        <v>9</v>
      </c>
      <c r="AS38" s="2">
        <f>Tabel242567891011121314151716181921202223261415181920212224[[#This Row],[Verbruik licht bruisend liter deze maand]]/0.15</f>
        <v>60</v>
      </c>
      <c r="AT38" s="53">
        <v>2993.8</v>
      </c>
      <c r="AU38">
        <f>november2025!AT38</f>
        <v>2918.8</v>
      </c>
      <c r="AV38">
        <f>Tabel242567891011121314151716181921202223261415181920212224[[#This Row],[Stand heet water liter einde maand]]-Tabel242567891011121314151716181921202223261415181920212224[[#This Row],[Stand heet water liter vorige maand]]</f>
        <v>75</v>
      </c>
      <c r="AW38" s="2">
        <f>Tabel242567891011121314151716181921202223261415181920212224[[#This Row],[Verbruik heet Water liter deze maand ]]/0.15</f>
        <v>500</v>
      </c>
      <c r="AX38" s="77">
        <f>Tabel242567891011121314151716181921202223261415181920212224[[#This Row],[Aantal consumpties heet water deze maand]]+Tabel242567891011121314151716181921202223261415181920212224[[#This Row],[Aantal consumpties licht bruisend water deze maand]]+Tabel242567891011121314151716181921202223261415181920212224[[#This Row],[aantal consumpties Bruisend water deze maand]]+Tabel242567891011121314151716181921202223261415181920212224[[#This Row],[Aantal consumpties gekoeld water deze maand]]+Tabel242567891011121314151716181921202223261415181920212224[[#This Row],[Aantal consumpties Kamertemp deze maand]]</f>
        <v>1176.6666666666663</v>
      </c>
      <c r="AY38" s="95">
        <f>Tabel242567891011121314151716181921202223261415181920212224[[#This Row],[Subtotaal waterbar in consumpties]]+Tabel242567891011121314151716181921202223261415181920212224[[#This Row],[Subtotaal koffieautomaten]]</f>
        <v>2173.6666666666661</v>
      </c>
    </row>
    <row r="39" spans="1:130" ht="14.45" customHeight="1" x14ac:dyDescent="0.25">
      <c r="A39" s="65" t="s">
        <v>60</v>
      </c>
      <c r="B39" t="s">
        <v>87</v>
      </c>
      <c r="C39" t="s">
        <v>31</v>
      </c>
      <c r="E39">
        <v>8734</v>
      </c>
      <c r="F39">
        <f>november2025!E39</f>
        <v>8457</v>
      </c>
      <c r="G39">
        <f>Tabel242567891011121314151716181921202223261415181920212224[[#This Row],[Stand Coffee einde maand]]-Tabel242567891011121314151716181921202223261415181920212224[[#This Row],[Coffee vorige maand]]</f>
        <v>277</v>
      </c>
      <c r="H39" s="53">
        <v>1203</v>
      </c>
      <c r="I39">
        <f>november2025!H39</f>
        <v>1169</v>
      </c>
      <c r="J39">
        <f>Tabel242567891011121314151716181921202223261415181920212224[[#This Row],[Stand Espresso Einde maand]]-Tabel242567891011121314151716181921202223261415181920212224[[#This Row],[Espresso vorige maand]]</f>
        <v>34</v>
      </c>
      <c r="K39" s="53">
        <v>785</v>
      </c>
      <c r="L39">
        <f>november2025!K39</f>
        <v>765</v>
      </c>
      <c r="M39">
        <f>Tabel242567891011121314151716181921202223261415181920212224[[#This Row],[Stand Latte Macchiato einde maand]]-Tabel242567891011121314151716181921202223261415181920212224[[#This Row],[Latte Macchiato vorige maand]]</f>
        <v>20</v>
      </c>
      <c r="N39" s="53">
        <v>979</v>
      </c>
      <c r="O39">
        <f>november2025!N39</f>
        <v>956</v>
      </c>
      <c r="P39">
        <f>Tabel242567891011121314151716181921202223261415181920212224[[#This Row],[Stand Coffee Latte einde maand]]-Tabel242567891011121314151716181921202223261415181920212224[[#This Row],[Coffee Latte vorige maand]]</f>
        <v>23</v>
      </c>
      <c r="Q39" s="53">
        <v>23117</v>
      </c>
      <c r="R39">
        <f>november2025!Q39</f>
        <v>22231</v>
      </c>
      <c r="S39">
        <f>Tabel242567891011121314151716181921202223261415181920212224[[#This Row],[Stand Hot Water einde maand]]-Tabel242567891011121314151716181921202223261415181920212224[[#This Row],[Hot Water vorige maand]]</f>
        <v>886</v>
      </c>
      <c r="T39" s="53">
        <v>5219</v>
      </c>
      <c r="U39">
        <f>november2025!T39</f>
        <v>5124</v>
      </c>
      <c r="V39">
        <f>Tabel242567891011121314151716181921202223261415181920212224[[#This Row],[Stand Cappucino einde maand]]-Tabel242567891011121314151716181921202223261415181920212224[[#This Row],[Stand Cappucino vorige maand]]</f>
        <v>95</v>
      </c>
      <c r="W39" s="53">
        <v>434</v>
      </c>
      <c r="X39">
        <f>november2025!W39</f>
        <v>415</v>
      </c>
      <c r="Y39">
        <f>Tabel242567891011121314151716181921202223261415181920212224[[#This Row],[Stand Cappucino Plantaardig einde maand]]-Tabel242567891011121314151716181921202223261415181920212224[[#This Row],[Stand Cappucino Plantaardig vorige maand]]</f>
        <v>19</v>
      </c>
      <c r="Z39" s="53">
        <v>265</v>
      </c>
      <c r="AA39">
        <f>november2025!Z39</f>
        <v>257</v>
      </c>
      <c r="AB39">
        <f>Tabel242567891011121314151716181921202223261415181920212224[[#This Row],[Stand Latte Macchiato Plantaardig einde maand]]-Tabel242567891011121314151716181921202223261415181920212224[[#This Row],[Stand Latte Macchiato Plantaardig vorige maand]]</f>
        <v>8</v>
      </c>
      <c r="AC39" s="71">
        <f>Tabel242567891011121314151716181921202223261415181920212224[[#This Row],[Verbruik Stand Latte Macchiato Plantaardig deze maand]]+Tabel242567891011121314151716181921202223261415181920212224[[#This Row],[Verbruik  Cappucino Plantaardig deze maand]]+Tabel242567891011121314151716181921202223261415181920212224[[#This Row],[Verbruik Cappucino deze maand]]+Tabel242567891011121314151716181921202223261415181920212224[[#This Row],[Verbruik Hot Water deze maand]]+Tabel242567891011121314151716181921202223261415181920212224[[#This Row],[Verbruik Coffee Latte deze maand]]+Tabel242567891011121314151716181921202223261415181920212224[[#This Row],[Verbruik Latte Macchiato deze maand]]+Tabel242567891011121314151716181921202223261415181920212224[[#This Row],[Verbruik Espresso deze maand]]+Tabel242567891011121314151716181921202223261415181920212224[[#This Row],[Verbruik Coffee deze maand]]</f>
        <v>1362</v>
      </c>
      <c r="AD39" s="69"/>
      <c r="AE39" s="41"/>
      <c r="AF39" s="5"/>
      <c r="AG39" s="5"/>
      <c r="AH39" s="75"/>
      <c r="AI39" s="41"/>
      <c r="AJ39" s="5"/>
      <c r="AK39" s="5"/>
      <c r="AL39" s="75"/>
      <c r="AM39" s="41"/>
      <c r="AN39" s="5"/>
      <c r="AO39" s="5"/>
      <c r="AP39" s="75"/>
      <c r="AQ39" s="41"/>
      <c r="AR39" s="5"/>
      <c r="AS39" s="5"/>
      <c r="AT39" s="75"/>
      <c r="AU39" s="41"/>
      <c r="AV39" s="5"/>
      <c r="AW39" s="5"/>
      <c r="AX39" s="79"/>
      <c r="AY39" s="95">
        <f>Tabel242567891011121314151716181921202223261415181920212224[[#This Row],[Subtotaal waterbar in consumpties]]+Tabel242567891011121314151716181921202223261415181920212224[[#This Row],[Subtotaal koffieautomaten]]</f>
        <v>1362</v>
      </c>
    </row>
    <row r="40" spans="1:130" s="81" customFormat="1" ht="14.45" customHeight="1" x14ac:dyDescent="0.25">
      <c r="A40" s="80" t="s">
        <v>88</v>
      </c>
      <c r="D40" s="82"/>
      <c r="H40" s="86"/>
      <c r="K40" s="86"/>
      <c r="N40" s="86"/>
      <c r="Q40" s="86"/>
      <c r="T40" s="86"/>
      <c r="W40" s="86"/>
      <c r="Z40" s="86"/>
      <c r="AC40" s="85"/>
      <c r="AD40" s="86"/>
      <c r="AG40" s="87"/>
      <c r="AH40" s="86"/>
      <c r="AK40" s="87"/>
      <c r="AL40" s="86"/>
      <c r="AO40" s="87"/>
      <c r="AP40" s="86"/>
      <c r="AS40" s="87"/>
      <c r="AT40" s="86"/>
      <c r="AW40" s="87"/>
      <c r="AX40" s="88"/>
      <c r="AY40" s="94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</row>
    <row r="41" spans="1:130" ht="14.45" customHeight="1" x14ac:dyDescent="0.25">
      <c r="A41" s="65" t="s">
        <v>39</v>
      </c>
      <c r="B41" t="s">
        <v>89</v>
      </c>
      <c r="C41" t="s">
        <v>47</v>
      </c>
      <c r="E41">
        <v>13198</v>
      </c>
      <c r="F41">
        <f>november2025!E41</f>
        <v>12742</v>
      </c>
      <c r="G41" s="40">
        <f>Tabel242567891011121314151716181921202223261415181920212224[[#This Row],[Stand Coffee einde maand]]-Tabel242567891011121314151716181921202223261415181920212224[[#This Row],[Coffee vorige maand]]</f>
        <v>456</v>
      </c>
      <c r="H41" s="53">
        <v>3553</v>
      </c>
      <c r="I41">
        <f>november2025!H41</f>
        <v>3386</v>
      </c>
      <c r="J41" s="40">
        <f>Tabel242567891011121314151716181921202223261415181920212224[[#This Row],[Stand Espresso Einde maand]]-Tabel242567891011121314151716181921202223261415181920212224[[#This Row],[Espresso vorige maand]]</f>
        <v>167</v>
      </c>
      <c r="K41" s="53">
        <v>1809</v>
      </c>
      <c r="L41">
        <f>november2025!K41</f>
        <v>1754</v>
      </c>
      <c r="M41" s="40">
        <f>Tabel242567891011121314151716181921202223261415181920212224[[#This Row],[Stand Latte Macchiato einde maand]]-Tabel242567891011121314151716181921202223261415181920212224[[#This Row],[Latte Macchiato vorige maand]]</f>
        <v>55</v>
      </c>
      <c r="N41" s="53">
        <v>796</v>
      </c>
      <c r="O41">
        <f>november2025!N41</f>
        <v>772</v>
      </c>
      <c r="P41" s="40">
        <f>Tabel242567891011121314151716181921202223261415181920212224[[#This Row],[Stand Coffee Latte einde maand]]-Tabel242567891011121314151716181921202223261415181920212224[[#This Row],[Coffee Latte vorige maand]]</f>
        <v>24</v>
      </c>
      <c r="Q41" s="53">
        <v>5170</v>
      </c>
      <c r="R41">
        <f>november2025!Q41</f>
        <v>5053</v>
      </c>
      <c r="S41" s="40">
        <f>Tabel242567891011121314151716181921202223261415181920212224[[#This Row],[Stand Hot Water einde maand]]-Tabel242567891011121314151716181921202223261415181920212224[[#This Row],[Hot Water vorige maand]]</f>
        <v>117</v>
      </c>
      <c r="T41" s="53">
        <v>8914</v>
      </c>
      <c r="U41">
        <f>november2025!T41</f>
        <v>8725</v>
      </c>
      <c r="V41" s="40">
        <f>Tabel242567891011121314151716181921202223261415181920212224[[#This Row],[Stand Cappucino einde maand]]-Tabel242567891011121314151716181921202223261415181920212224[[#This Row],[Stand Cappucino vorige maand]]</f>
        <v>189</v>
      </c>
      <c r="W41" s="53">
        <v>857</v>
      </c>
      <c r="X41">
        <f>november2025!W41</f>
        <v>809</v>
      </c>
      <c r="Y41" s="40">
        <f>Tabel242567891011121314151716181921202223261415181920212224[[#This Row],[Stand Cappucino Plantaardig einde maand]]-Tabel242567891011121314151716181921202223261415181920212224[[#This Row],[Stand Cappucino Plantaardig vorige maand]]</f>
        <v>48</v>
      </c>
      <c r="Z41" s="53">
        <v>263</v>
      </c>
      <c r="AA41">
        <f>november2025!Z41</f>
        <v>255</v>
      </c>
      <c r="AB41" s="40">
        <f>Tabel242567891011121314151716181921202223261415181920212224[[#This Row],[Stand Latte Macchiato Plantaardig einde maand]]-Tabel242567891011121314151716181921202223261415181920212224[[#This Row],[Stand Latte Macchiato Plantaardig vorige maand]]</f>
        <v>8</v>
      </c>
      <c r="AC41" s="73">
        <f>Tabel242567891011121314151716181921202223261415181920212224[[#This Row],[Verbruik Stand Latte Macchiato Plantaardig deze maand]]+Tabel242567891011121314151716181921202223261415181920212224[[#This Row],[Verbruik  Cappucino Plantaardig deze maand]]+Tabel242567891011121314151716181921202223261415181920212224[[#This Row],[Verbruik Cappucino deze maand]]+Tabel242567891011121314151716181921202223261415181920212224[[#This Row],[Verbruik Hot Water deze maand]]+Tabel242567891011121314151716181921202223261415181920212224[[#This Row],[Verbruik Coffee Latte deze maand]]+Tabel242567891011121314151716181921202223261415181920212224[[#This Row],[Verbruik Latte Macchiato deze maand]]+Tabel242567891011121314151716181921202223261415181920212224[[#This Row],[Verbruik Espresso deze maand]]+Tabel242567891011121314151716181921202223261415181920212224[[#This Row],[Verbruik Coffee deze maand]]</f>
        <v>1064</v>
      </c>
      <c r="AD41" s="53">
        <v>291.7</v>
      </c>
      <c r="AE41">
        <f>november2025!AD41</f>
        <v>274.8</v>
      </c>
      <c r="AF41">
        <f>Tabel242567891011121314151716181921202223261415181920212224[[#This Row],[Stand Kamertemp liter einde maand]]-Tabel242567891011121314151716181921202223261415181920212224[[#This Row],[Stand Kamertemp liter vorige maand]]</f>
        <v>16.899999999999977</v>
      </c>
      <c r="AG41" s="2">
        <f>Tabel242567891011121314151716181921202223261415181920212224[[#This Row],[Verbruik Kamertemp liter deze maand]]/0.15</f>
        <v>112.66666666666652</v>
      </c>
      <c r="AH41" s="53">
        <v>2201.9</v>
      </c>
      <c r="AI41">
        <f>november2025!AH41</f>
        <v>2091.3000000000002</v>
      </c>
      <c r="AJ41">
        <f>Tabel242567891011121314151716181921202223261415181920212224[[#This Row],[Stand Gekoeld liter einde maand]]-Tabel242567891011121314151716181921202223261415181920212224[[#This Row],[Stand Gekoeld liter vorige maand]]</f>
        <v>110.59999999999991</v>
      </c>
      <c r="AK41" s="2">
        <f>Tabel242567891011121314151716181921202223261415181920212224[[#This Row],[Verbruik Gekoeld liter deze maand]]/0.15</f>
        <v>737.3333333333328</v>
      </c>
      <c r="AL41" s="53">
        <v>904.1</v>
      </c>
      <c r="AM41">
        <f>november2025!AL41</f>
        <v>865.5</v>
      </c>
      <c r="AN41">
        <f>Tabel242567891011121314151716181921202223261415181920212224[[#This Row],[Stand Bruisend liter einde maand]]-Tabel242567891011121314151716181921202223261415181920212224[[#This Row],[Stand Bruisend liter vorige maand]]</f>
        <v>38.600000000000023</v>
      </c>
      <c r="AO41" s="2">
        <f>Tabel242567891011121314151716181921202223261415181920212224[[#This Row],[Verbruik Bruisend liter deze maand]]/0.15</f>
        <v>257.33333333333348</v>
      </c>
      <c r="AP41" s="53">
        <v>319.39999999999998</v>
      </c>
      <c r="AQ41">
        <f>november2025!AP41</f>
        <v>310.5</v>
      </c>
      <c r="AR41">
        <f>Tabel242567891011121314151716181921202223261415181920212224[[#This Row],[Stand licht bruisend liter einde maand]]-Tabel242567891011121314151716181921202223261415181920212224[[#This Row],[Stand licht bruisend liter vorige maand]]</f>
        <v>8.8999999999999773</v>
      </c>
      <c r="AS41" s="2">
        <f>Tabel242567891011121314151716181921202223261415181920212224[[#This Row],[Verbruik licht bruisend liter deze maand]]/0.15</f>
        <v>59.333333333333186</v>
      </c>
      <c r="AT41" s="53">
        <v>979.8</v>
      </c>
      <c r="AU41">
        <f>november2025!AT41</f>
        <v>918.7</v>
      </c>
      <c r="AV41">
        <f>Tabel242567891011121314151716181921202223261415181920212224[[#This Row],[Stand heet water liter einde maand]]-Tabel242567891011121314151716181921202223261415181920212224[[#This Row],[Stand heet water liter vorige maand]]</f>
        <v>61.099999999999909</v>
      </c>
      <c r="AW41" s="2">
        <f>Tabel242567891011121314151716181921202223261415181920212224[[#This Row],[Verbruik heet Water liter deze maand ]]/0.15</f>
        <v>407.33333333333275</v>
      </c>
      <c r="AX41" s="77">
        <f>Tabel242567891011121314151716181921202223261415181920212224[[#This Row],[Aantal consumpties heet water deze maand]]+Tabel242567891011121314151716181921202223261415181920212224[[#This Row],[Aantal consumpties licht bruisend water deze maand]]+Tabel242567891011121314151716181921202223261415181920212224[[#This Row],[aantal consumpties Bruisend water deze maand]]+Tabel242567891011121314151716181921202223261415181920212224[[#This Row],[Aantal consumpties gekoeld water deze maand]]+Tabel242567891011121314151716181921202223261415181920212224[[#This Row],[Aantal consumpties Kamertemp deze maand]]</f>
        <v>1573.9999999999986</v>
      </c>
      <c r="AY41" s="95">
        <f>Tabel242567891011121314151716181921202223261415181920212224[[#This Row],[Subtotaal waterbar in consumpties]]+Tabel242567891011121314151716181921202223261415181920212224[[#This Row],[Subtotaal koffieautomaten]]</f>
        <v>2637.9999999999986</v>
      </c>
    </row>
    <row r="42" spans="1:130" ht="14.45" customHeight="1" x14ac:dyDescent="0.25">
      <c r="A42" s="65" t="s">
        <v>41</v>
      </c>
      <c r="B42" t="s">
        <v>90</v>
      </c>
      <c r="C42" t="s">
        <v>31</v>
      </c>
      <c r="E42">
        <v>16619</v>
      </c>
      <c r="F42">
        <f>november2025!E42</f>
        <v>16235</v>
      </c>
      <c r="G42">
        <f>Tabel242567891011121314151716181921202223261415181920212224[[#This Row],[Stand Coffee einde maand]]-Tabel242567891011121314151716181921202223261415181920212224[[#This Row],[Coffee vorige maand]]</f>
        <v>384</v>
      </c>
      <c r="H42" s="53">
        <v>5373</v>
      </c>
      <c r="I42">
        <f>november2025!H42</f>
        <v>5281</v>
      </c>
      <c r="J42">
        <f>Tabel242567891011121314151716181921202223261415181920212224[[#This Row],[Stand Espresso Einde maand]]-Tabel242567891011121314151716181921202223261415181920212224[[#This Row],[Espresso vorige maand]]</f>
        <v>92</v>
      </c>
      <c r="K42" s="53">
        <v>1347</v>
      </c>
      <c r="L42">
        <f>november2025!K42</f>
        <v>1336</v>
      </c>
      <c r="M42">
        <f>Tabel242567891011121314151716181921202223261415181920212224[[#This Row],[Stand Latte Macchiato einde maand]]-Tabel242567891011121314151716181921202223261415181920212224[[#This Row],[Latte Macchiato vorige maand]]</f>
        <v>11</v>
      </c>
      <c r="N42" s="53">
        <v>2954</v>
      </c>
      <c r="O42">
        <f>november2025!N42</f>
        <v>2873</v>
      </c>
      <c r="P42">
        <f>Tabel242567891011121314151716181921202223261415181920212224[[#This Row],[Stand Coffee Latte einde maand]]-Tabel242567891011121314151716181921202223261415181920212224[[#This Row],[Coffee Latte vorige maand]]</f>
        <v>81</v>
      </c>
      <c r="Q42" s="53">
        <v>48687</v>
      </c>
      <c r="R42">
        <f>november2025!Q42</f>
        <v>47848</v>
      </c>
      <c r="S42">
        <f>Tabel242567891011121314151716181921202223261415181920212224[[#This Row],[Stand Hot Water einde maand]]-Tabel242567891011121314151716181921202223261415181920212224[[#This Row],[Hot Water vorige maand]]</f>
        <v>839</v>
      </c>
      <c r="T42" s="53">
        <v>7685</v>
      </c>
      <c r="U42">
        <f>november2025!T42</f>
        <v>7550</v>
      </c>
      <c r="V42">
        <f>Tabel242567891011121314151716181921202223261415181920212224[[#This Row],[Stand Cappucino einde maand]]-Tabel242567891011121314151716181921202223261415181920212224[[#This Row],[Stand Cappucino vorige maand]]</f>
        <v>135</v>
      </c>
      <c r="W42" s="53">
        <v>620</v>
      </c>
      <c r="X42">
        <f>november2025!W42</f>
        <v>611</v>
      </c>
      <c r="Y42">
        <f>Tabel242567891011121314151716181921202223261415181920212224[[#This Row],[Stand Cappucino Plantaardig einde maand]]-Tabel242567891011121314151716181921202223261415181920212224[[#This Row],[Stand Cappucino Plantaardig vorige maand]]</f>
        <v>9</v>
      </c>
      <c r="Z42" s="53">
        <v>659</v>
      </c>
      <c r="AA42">
        <f>november2025!Z42</f>
        <v>608</v>
      </c>
      <c r="AB42">
        <f>Tabel242567891011121314151716181921202223261415181920212224[[#This Row],[Stand Latte Macchiato Plantaardig einde maand]]-Tabel242567891011121314151716181921202223261415181920212224[[#This Row],[Stand Latte Macchiato Plantaardig vorige maand]]</f>
        <v>51</v>
      </c>
      <c r="AC42" s="71">
        <f>Tabel242567891011121314151716181921202223261415181920212224[[#This Row],[Verbruik Stand Latte Macchiato Plantaardig deze maand]]+Tabel242567891011121314151716181921202223261415181920212224[[#This Row],[Verbruik  Cappucino Plantaardig deze maand]]+Tabel242567891011121314151716181921202223261415181920212224[[#This Row],[Verbruik Cappucino deze maand]]+Tabel242567891011121314151716181921202223261415181920212224[[#This Row],[Verbruik Hot Water deze maand]]+Tabel242567891011121314151716181921202223261415181920212224[[#This Row],[Verbruik Coffee Latte deze maand]]+Tabel242567891011121314151716181921202223261415181920212224[[#This Row],[Verbruik Latte Macchiato deze maand]]+Tabel242567891011121314151716181921202223261415181920212224[[#This Row],[Verbruik Espresso deze maand]]+Tabel242567891011121314151716181921202223261415181920212224[[#This Row],[Verbruik Coffee deze maand]]</f>
        <v>1602</v>
      </c>
      <c r="AD42" s="69"/>
      <c r="AE42" s="41"/>
      <c r="AF42" s="5"/>
      <c r="AG42" s="5"/>
      <c r="AH42" s="75"/>
      <c r="AI42" s="41"/>
      <c r="AJ42" s="5"/>
      <c r="AK42" s="5"/>
      <c r="AL42" s="75"/>
      <c r="AM42" s="41"/>
      <c r="AN42" s="5"/>
      <c r="AO42" s="5"/>
      <c r="AP42" s="75"/>
      <c r="AQ42" s="41"/>
      <c r="AR42" s="5"/>
      <c r="AS42" s="5"/>
      <c r="AT42" s="75"/>
      <c r="AU42" s="41"/>
      <c r="AV42" s="5"/>
      <c r="AW42" s="5"/>
      <c r="AX42" s="79"/>
      <c r="AY42" s="95">
        <f>Tabel242567891011121314151716181921202223261415181920212224[[#This Row],[Subtotaal waterbar in consumpties]]+Tabel242567891011121314151716181921202223261415181920212224[[#This Row],[Subtotaal koffieautomaten]]</f>
        <v>1602</v>
      </c>
    </row>
    <row r="43" spans="1:130" ht="14.45" customHeight="1" x14ac:dyDescent="0.25">
      <c r="A43" s="65" t="s">
        <v>43</v>
      </c>
      <c r="B43" t="s">
        <v>91</v>
      </c>
      <c r="C43" t="s">
        <v>47</v>
      </c>
      <c r="E43">
        <v>19240</v>
      </c>
      <c r="F43">
        <f>november2025!E43</f>
        <v>18872</v>
      </c>
      <c r="G43">
        <f>Tabel242567891011121314151716181921202223261415181920212224[[#This Row],[Stand Coffee einde maand]]-Tabel242567891011121314151716181921202223261415181920212224[[#This Row],[Coffee vorige maand]]</f>
        <v>368</v>
      </c>
      <c r="H43" s="53">
        <v>4542</v>
      </c>
      <c r="I43">
        <f>november2025!H43</f>
        <v>4339</v>
      </c>
      <c r="J43">
        <f>Tabel242567891011121314151716181921202223261415181920212224[[#This Row],[Stand Espresso Einde maand]]-Tabel242567891011121314151716181921202223261415181920212224[[#This Row],[Espresso vorige maand]]</f>
        <v>203</v>
      </c>
      <c r="K43" s="53">
        <v>998</v>
      </c>
      <c r="L43">
        <f>november2025!K43</f>
        <v>981</v>
      </c>
      <c r="M43">
        <f>Tabel242567891011121314151716181921202223261415181920212224[[#This Row],[Stand Latte Macchiato einde maand]]-Tabel242567891011121314151716181921202223261415181920212224[[#This Row],[Latte Macchiato vorige maand]]</f>
        <v>17</v>
      </c>
      <c r="N43" s="53">
        <v>1463</v>
      </c>
      <c r="O43">
        <f>november2025!N43</f>
        <v>1442</v>
      </c>
      <c r="P43">
        <f>Tabel242567891011121314151716181921202223261415181920212224[[#This Row],[Stand Coffee Latte einde maand]]-Tabel242567891011121314151716181921202223261415181920212224[[#This Row],[Coffee Latte vorige maand]]</f>
        <v>21</v>
      </c>
      <c r="Q43" s="53">
        <v>1792</v>
      </c>
      <c r="R43">
        <f>november2025!Q43</f>
        <v>1784</v>
      </c>
      <c r="S43">
        <f>Tabel242567891011121314151716181921202223261415181920212224[[#This Row],[Stand Hot Water einde maand]]-Tabel242567891011121314151716181921202223261415181920212224[[#This Row],[Hot Water vorige maand]]</f>
        <v>8</v>
      </c>
      <c r="T43" s="53">
        <v>5820</v>
      </c>
      <c r="U43">
        <f>november2025!T43</f>
        <v>5698</v>
      </c>
      <c r="V43">
        <f>Tabel242567891011121314151716181921202223261415181920212224[[#This Row],[Stand Cappucino einde maand]]-Tabel242567891011121314151716181921202223261415181920212224[[#This Row],[Stand Cappucino vorige maand]]</f>
        <v>122</v>
      </c>
      <c r="W43" s="53">
        <v>3812</v>
      </c>
      <c r="X43">
        <f>november2025!W43</f>
        <v>3795</v>
      </c>
      <c r="Y43">
        <f>Tabel242567891011121314151716181921202223261415181920212224[[#This Row],[Stand Cappucino Plantaardig einde maand]]-Tabel242567891011121314151716181921202223261415181920212224[[#This Row],[Stand Cappucino Plantaardig vorige maand]]</f>
        <v>17</v>
      </c>
      <c r="Z43" s="53">
        <v>498</v>
      </c>
      <c r="AA43">
        <f>november2025!Z43</f>
        <v>494</v>
      </c>
      <c r="AB43">
        <f>Tabel242567891011121314151716181921202223261415181920212224[[#This Row],[Stand Latte Macchiato Plantaardig einde maand]]-Tabel242567891011121314151716181921202223261415181920212224[[#This Row],[Stand Latte Macchiato Plantaardig vorige maand]]</f>
        <v>4</v>
      </c>
      <c r="AC43" s="71">
        <f>Tabel242567891011121314151716181921202223261415181920212224[[#This Row],[Verbruik Stand Latte Macchiato Plantaardig deze maand]]+Tabel242567891011121314151716181921202223261415181920212224[[#This Row],[Verbruik  Cappucino Plantaardig deze maand]]+Tabel242567891011121314151716181921202223261415181920212224[[#This Row],[Verbruik Cappucino deze maand]]+Tabel242567891011121314151716181921202223261415181920212224[[#This Row],[Verbruik Hot Water deze maand]]+Tabel242567891011121314151716181921202223261415181920212224[[#This Row],[Verbruik Coffee Latte deze maand]]+Tabel242567891011121314151716181921202223261415181920212224[[#This Row],[Verbruik Latte Macchiato deze maand]]+Tabel242567891011121314151716181921202223261415181920212224[[#This Row],[Verbruik Espresso deze maand]]+Tabel242567891011121314151716181921202223261415181920212224[[#This Row],[Verbruik Coffee deze maand]]</f>
        <v>760</v>
      </c>
      <c r="AD43" s="53">
        <v>371.5</v>
      </c>
      <c r="AE43">
        <f>november2025!AD43</f>
        <v>358.4</v>
      </c>
      <c r="AF43">
        <f>Tabel242567891011121314151716181921202223261415181920212224[[#This Row],[Stand Kamertemp liter einde maand]]-Tabel242567891011121314151716181921202223261415181920212224[[#This Row],[Stand Kamertemp liter vorige maand]]</f>
        <v>13.100000000000023</v>
      </c>
      <c r="AG43" s="2">
        <f>Tabel242567891011121314151716181921202223261415181920212224[[#This Row],[Verbruik Kamertemp liter deze maand]]/0.15</f>
        <v>87.333333333333485</v>
      </c>
      <c r="AH43" s="53">
        <v>2712.4</v>
      </c>
      <c r="AI43">
        <f>november2025!AH43</f>
        <v>2603.6999999999998</v>
      </c>
      <c r="AJ43">
        <f>Tabel242567891011121314151716181921202223261415181920212224[[#This Row],[Stand Gekoeld liter einde maand]]-Tabel242567891011121314151716181921202223261415181920212224[[#This Row],[Stand Gekoeld liter vorige maand]]</f>
        <v>108.70000000000027</v>
      </c>
      <c r="AK43" s="2">
        <f>Tabel242567891011121314151716181921202223261415181920212224[[#This Row],[Verbruik Gekoeld liter deze maand]]/0.15</f>
        <v>724.66666666666856</v>
      </c>
      <c r="AL43" s="53">
        <v>1894</v>
      </c>
      <c r="AM43">
        <f>november2025!AL43</f>
        <v>1810.2</v>
      </c>
      <c r="AN43">
        <f>Tabel242567891011121314151716181921202223261415181920212224[[#This Row],[Stand Bruisend liter einde maand]]-Tabel242567891011121314151716181921202223261415181920212224[[#This Row],[Stand Bruisend liter vorige maand]]</f>
        <v>83.799999999999955</v>
      </c>
      <c r="AO43" s="2">
        <f>Tabel242567891011121314151716181921202223261415181920212224[[#This Row],[Verbruik Bruisend liter deze maand]]/0.15</f>
        <v>558.6666666666664</v>
      </c>
      <c r="AP43" s="53">
        <v>716.8</v>
      </c>
      <c r="AQ43">
        <f>november2025!AP43</f>
        <v>682.8</v>
      </c>
      <c r="AR43">
        <f>Tabel242567891011121314151716181921202223261415181920212224[[#This Row],[Stand licht bruisend liter einde maand]]-Tabel242567891011121314151716181921202223261415181920212224[[#This Row],[Stand licht bruisend liter vorige maand]]</f>
        <v>34</v>
      </c>
      <c r="AS43" s="2">
        <f>Tabel242567891011121314151716181921202223261415181920212224[[#This Row],[Verbruik licht bruisend liter deze maand]]/0.15</f>
        <v>226.66666666666669</v>
      </c>
      <c r="AT43" s="53">
        <v>7193.9</v>
      </c>
      <c r="AU43">
        <f>november2025!AT43</f>
        <v>6856.1</v>
      </c>
      <c r="AV43">
        <f>Tabel242567891011121314151716181921202223261415181920212224[[#This Row],[Stand heet water liter einde maand]]-Tabel242567891011121314151716181921202223261415181920212224[[#This Row],[Stand heet water liter vorige maand]]</f>
        <v>337.79999999999927</v>
      </c>
      <c r="AW43" s="2">
        <f>Tabel242567891011121314151716181921202223261415181920212224[[#This Row],[Verbruik heet Water liter deze maand ]]/0.15</f>
        <v>2251.9999999999955</v>
      </c>
      <c r="AX43" s="77">
        <f>Tabel242567891011121314151716181921202223261415181920212224[[#This Row],[Aantal consumpties heet water deze maand]]+Tabel242567891011121314151716181921202223261415181920212224[[#This Row],[Aantal consumpties licht bruisend water deze maand]]+Tabel242567891011121314151716181921202223261415181920212224[[#This Row],[aantal consumpties Bruisend water deze maand]]+Tabel242567891011121314151716181921202223261415181920212224[[#This Row],[Aantal consumpties gekoeld water deze maand]]+Tabel242567891011121314151716181921202223261415181920212224[[#This Row],[Aantal consumpties Kamertemp deze maand]]</f>
        <v>3849.3333333333308</v>
      </c>
      <c r="AY43" s="95">
        <f>Tabel242567891011121314151716181921202223261415181920212224[[#This Row],[Subtotaal waterbar in consumpties]]+Tabel242567891011121314151716181921202223261415181920212224[[#This Row],[Subtotaal koffieautomaten]]</f>
        <v>4609.3333333333303</v>
      </c>
    </row>
    <row r="44" spans="1:130" ht="14.45" customHeight="1" x14ac:dyDescent="0.25">
      <c r="A44" s="65" t="s">
        <v>45</v>
      </c>
      <c r="B44" t="s">
        <v>92</v>
      </c>
      <c r="C44" t="s">
        <v>36</v>
      </c>
      <c r="E44" s="46"/>
      <c r="F44" s="46"/>
      <c r="G44" s="47"/>
      <c r="H44" s="54"/>
      <c r="I44" s="46"/>
      <c r="J44" s="47"/>
      <c r="K44" s="54"/>
      <c r="L44" s="46"/>
      <c r="M44" s="47"/>
      <c r="N44" s="54"/>
      <c r="O44" s="46"/>
      <c r="P44" s="47"/>
      <c r="Q44" s="54"/>
      <c r="R44" s="46"/>
      <c r="S44" s="47"/>
      <c r="T44" s="54"/>
      <c r="U44" s="46"/>
      <c r="V44" s="47"/>
      <c r="W44" s="54"/>
      <c r="X44" s="46"/>
      <c r="Y44" s="47"/>
      <c r="Z44" s="54"/>
      <c r="AA44" s="46"/>
      <c r="AB44" s="47"/>
      <c r="AC44" s="72"/>
      <c r="AD44" s="53">
        <v>46.5</v>
      </c>
      <c r="AE44">
        <f>november2025!AD44</f>
        <v>33.799999999999997</v>
      </c>
      <c r="AF44">
        <f>Tabel242567891011121314151716181921202223261415181920212224[[#This Row],[Stand Kamertemp liter einde maand]]-Tabel242567891011121314151716181921202223261415181920212224[[#This Row],[Stand Kamertemp liter vorige maand]]</f>
        <v>12.700000000000003</v>
      </c>
      <c r="AG44" s="2">
        <f>Tabel242567891011121314151716181921202223261415181920212224[[#This Row],[Verbruik Kamertemp liter deze maand]]/0.15</f>
        <v>84.666666666666686</v>
      </c>
      <c r="AH44" s="53">
        <v>163.4</v>
      </c>
      <c r="AI44">
        <f>november2025!AH44</f>
        <v>114.5</v>
      </c>
      <c r="AJ44">
        <f>Tabel242567891011121314151716181921202223261415181920212224[[#This Row],[Stand Gekoeld liter einde maand]]-Tabel242567891011121314151716181921202223261415181920212224[[#This Row],[Stand Gekoeld liter vorige maand]]</f>
        <v>48.900000000000006</v>
      </c>
      <c r="AK44" s="2">
        <f>Tabel242567891011121314151716181921202223261415181920212224[[#This Row],[Verbruik Gekoeld liter deze maand]]/0.15</f>
        <v>326.00000000000006</v>
      </c>
      <c r="AL44" s="53">
        <v>172.5</v>
      </c>
      <c r="AM44">
        <f>november2025!AL44</f>
        <v>117</v>
      </c>
      <c r="AN44">
        <f>Tabel242567891011121314151716181921202223261415181920212224[[#This Row],[Stand Bruisend liter einde maand]]-Tabel242567891011121314151716181921202223261415181920212224[[#This Row],[Stand Bruisend liter vorige maand]]</f>
        <v>55.5</v>
      </c>
      <c r="AO44" s="2">
        <f>Tabel242567891011121314151716181921202223261415181920212224[[#This Row],[Verbruik Bruisend liter deze maand]]/0.15</f>
        <v>370</v>
      </c>
      <c r="AP44" s="53">
        <v>56.9</v>
      </c>
      <c r="AQ44">
        <f>november2025!AP44</f>
        <v>43.5</v>
      </c>
      <c r="AR44">
        <f>Tabel242567891011121314151716181921202223261415181920212224[[#This Row],[Stand licht bruisend liter einde maand]]-Tabel242567891011121314151716181921202223261415181920212224[[#This Row],[Stand licht bruisend liter vorige maand]]</f>
        <v>13.399999999999999</v>
      </c>
      <c r="AS44" s="2">
        <f>Tabel242567891011121314151716181921202223261415181920212224[[#This Row],[Verbruik licht bruisend liter deze maand]]/0.15</f>
        <v>89.333333333333329</v>
      </c>
      <c r="AT44" s="53">
        <v>709</v>
      </c>
      <c r="AU44">
        <f>november2025!AT44</f>
        <v>489</v>
      </c>
      <c r="AV44">
        <f>Tabel242567891011121314151716181921202223261415181920212224[[#This Row],[Stand heet water liter einde maand]]-Tabel242567891011121314151716181921202223261415181920212224[[#This Row],[Stand heet water liter vorige maand]]</f>
        <v>220</v>
      </c>
      <c r="AW44" s="2">
        <f>Tabel242567891011121314151716181921202223261415181920212224[[#This Row],[Verbruik heet Water liter deze maand ]]/0.15</f>
        <v>1466.6666666666667</v>
      </c>
      <c r="AX44" s="77">
        <f>Tabel242567891011121314151716181921202223261415181920212224[[#This Row],[Aantal consumpties heet water deze maand]]+Tabel242567891011121314151716181921202223261415181920212224[[#This Row],[Aantal consumpties licht bruisend water deze maand]]+Tabel242567891011121314151716181921202223261415181920212224[[#This Row],[aantal consumpties Bruisend water deze maand]]+Tabel242567891011121314151716181921202223261415181920212224[[#This Row],[Aantal consumpties gekoeld water deze maand]]+Tabel242567891011121314151716181921202223261415181920212224[[#This Row],[Aantal consumpties Kamertemp deze maand]]</f>
        <v>2336.6666666666665</v>
      </c>
      <c r="AY44" s="95">
        <f>Tabel242567891011121314151716181921202223261415181920212224[[#This Row],[Subtotaal waterbar in consumpties]]+Tabel242567891011121314151716181921202223261415181920212224[[#This Row],[Subtotaal koffieautomaten]]</f>
        <v>2336.6666666666665</v>
      </c>
    </row>
    <row r="45" spans="1:130" ht="14.45" customHeight="1" x14ac:dyDescent="0.25">
      <c r="A45" s="65" t="s">
        <v>48</v>
      </c>
      <c r="B45" t="s">
        <v>158</v>
      </c>
      <c r="C45" t="s">
        <v>31</v>
      </c>
      <c r="E45">
        <v>33559</v>
      </c>
      <c r="F45">
        <f>november2025!E45</f>
        <v>32729</v>
      </c>
      <c r="G45">
        <f>Tabel242567891011121314151716181921202223261415181920212224[[#This Row],[Stand Coffee einde maand]]-Tabel242567891011121314151716181921202223261415181920212224[[#This Row],[Coffee vorige maand]]</f>
        <v>830</v>
      </c>
      <c r="H45" s="53">
        <v>8607</v>
      </c>
      <c r="I45">
        <f>november2025!H45</f>
        <v>8355</v>
      </c>
      <c r="J45">
        <f>Tabel242567891011121314151716181921202223261415181920212224[[#This Row],[Stand Espresso Einde maand]]-Tabel242567891011121314151716181921202223261415181920212224[[#This Row],[Espresso vorige maand]]</f>
        <v>252</v>
      </c>
      <c r="K45" s="53">
        <v>3485</v>
      </c>
      <c r="L45">
        <f>november2025!K45</f>
        <v>3345</v>
      </c>
      <c r="M45">
        <f>Tabel242567891011121314151716181921202223261415181920212224[[#This Row],[Stand Latte Macchiato einde maand]]-Tabel242567891011121314151716181921202223261415181920212224[[#This Row],[Latte Macchiato vorige maand]]</f>
        <v>140</v>
      </c>
      <c r="N45" s="53">
        <v>796</v>
      </c>
      <c r="O45">
        <f>november2025!N45</f>
        <v>759</v>
      </c>
      <c r="P45">
        <f>Tabel242567891011121314151716181921202223261415181920212224[[#This Row],[Stand Coffee Latte einde maand]]-Tabel242567891011121314151716181921202223261415181920212224[[#This Row],[Coffee Latte vorige maand]]</f>
        <v>37</v>
      </c>
      <c r="Q45" s="53">
        <v>32423</v>
      </c>
      <c r="R45">
        <f>november2025!Q45</f>
        <v>31538</v>
      </c>
      <c r="S45">
        <f>Tabel242567891011121314151716181921202223261415181920212224[[#This Row],[Stand Hot Water einde maand]]-Tabel242567891011121314151716181921202223261415181920212224[[#This Row],[Hot Water vorige maand]]</f>
        <v>885</v>
      </c>
      <c r="T45" s="53">
        <v>11716</v>
      </c>
      <c r="U45">
        <f>november2025!T45</f>
        <v>11497</v>
      </c>
      <c r="V45">
        <f>Tabel242567891011121314151716181921202223261415181920212224[[#This Row],[Stand Cappucino einde maand]]-Tabel242567891011121314151716181921202223261415181920212224[[#This Row],[Stand Cappucino vorige maand]]</f>
        <v>219</v>
      </c>
      <c r="W45" s="53">
        <v>1768</v>
      </c>
      <c r="X45">
        <f>november2025!W45</f>
        <v>1738</v>
      </c>
      <c r="Y45">
        <f>Tabel242567891011121314151716181921202223261415181920212224[[#This Row],[Stand Cappucino Plantaardig einde maand]]-Tabel242567891011121314151716181921202223261415181920212224[[#This Row],[Stand Cappucino Plantaardig vorige maand]]</f>
        <v>30</v>
      </c>
      <c r="Z45" s="53">
        <v>1428</v>
      </c>
      <c r="AA45">
        <f>november2025!Z45</f>
        <v>1414</v>
      </c>
      <c r="AB45">
        <f>Tabel242567891011121314151716181921202223261415181920212224[[#This Row],[Stand Latte Macchiato Plantaardig einde maand]]-Tabel242567891011121314151716181921202223261415181920212224[[#This Row],[Stand Latte Macchiato Plantaardig vorige maand]]</f>
        <v>14</v>
      </c>
      <c r="AC45" s="71">
        <f>Tabel242567891011121314151716181921202223261415181920212224[[#This Row],[Verbruik Stand Latte Macchiato Plantaardig deze maand]]+Tabel242567891011121314151716181921202223261415181920212224[[#This Row],[Verbruik  Cappucino Plantaardig deze maand]]+Tabel242567891011121314151716181921202223261415181920212224[[#This Row],[Verbruik Cappucino deze maand]]+Tabel242567891011121314151716181921202223261415181920212224[[#This Row],[Verbruik Hot Water deze maand]]+Tabel242567891011121314151716181921202223261415181920212224[[#This Row],[Verbruik Coffee Latte deze maand]]+Tabel242567891011121314151716181921202223261415181920212224[[#This Row],[Verbruik Latte Macchiato deze maand]]+Tabel242567891011121314151716181921202223261415181920212224[[#This Row],[Verbruik Espresso deze maand]]+Tabel242567891011121314151716181921202223261415181920212224[[#This Row],[Verbruik Coffee deze maand]]</f>
        <v>2407</v>
      </c>
      <c r="AD45" s="69"/>
      <c r="AE45" s="41"/>
      <c r="AF45" s="5"/>
      <c r="AG45" s="5"/>
      <c r="AH45" s="75"/>
      <c r="AI45" s="41"/>
      <c r="AJ45" s="5"/>
      <c r="AK45" s="5"/>
      <c r="AL45" s="75"/>
      <c r="AM45" s="41"/>
      <c r="AN45" s="5"/>
      <c r="AO45" s="5"/>
      <c r="AP45" s="75"/>
      <c r="AQ45" s="41"/>
      <c r="AR45" s="5"/>
      <c r="AS45" s="5"/>
      <c r="AT45" s="75"/>
      <c r="AU45" s="41"/>
      <c r="AV45" s="5"/>
      <c r="AW45" s="5"/>
      <c r="AX45" s="79"/>
      <c r="AY45" s="95">
        <f>Tabel242567891011121314151716181921202223261415181920212224[[#This Row],[Subtotaal waterbar in consumpties]]+Tabel242567891011121314151716181921202223261415181920212224[[#This Row],[Subtotaal koffieautomaten]]</f>
        <v>2407</v>
      </c>
    </row>
    <row r="46" spans="1:130" ht="14.45" customHeight="1" x14ac:dyDescent="0.25">
      <c r="A46" s="65" t="s">
        <v>50</v>
      </c>
      <c r="B46" t="s">
        <v>93</v>
      </c>
      <c r="C46" t="s">
        <v>36</v>
      </c>
      <c r="E46" s="46"/>
      <c r="F46" s="46"/>
      <c r="G46" s="47"/>
      <c r="H46" s="54"/>
      <c r="I46" s="46"/>
      <c r="J46" s="47"/>
      <c r="K46" s="54"/>
      <c r="L46" s="46"/>
      <c r="M46" s="47"/>
      <c r="N46" s="54"/>
      <c r="O46" s="46"/>
      <c r="P46" s="47"/>
      <c r="Q46" s="54"/>
      <c r="R46" s="46"/>
      <c r="S46" s="47"/>
      <c r="T46" s="54"/>
      <c r="U46" s="46"/>
      <c r="V46" s="47"/>
      <c r="W46" s="54"/>
      <c r="X46" s="46"/>
      <c r="Y46" s="47"/>
      <c r="Z46" s="54"/>
      <c r="AA46" s="46"/>
      <c r="AB46" s="47"/>
      <c r="AC46" s="72"/>
      <c r="AD46" s="53">
        <v>148.69999999999999</v>
      </c>
      <c r="AE46">
        <f>november2025!AD46</f>
        <v>141.6</v>
      </c>
      <c r="AF46">
        <f>Tabel242567891011121314151716181921202223261415181920212224[[#This Row],[Stand Kamertemp liter einde maand]]-Tabel242567891011121314151716181921202223261415181920212224[[#This Row],[Stand Kamertemp liter vorige maand]]</f>
        <v>7.0999999999999943</v>
      </c>
      <c r="AG46" s="2">
        <f>Tabel242567891011121314151716181921202223261415181920212224[[#This Row],[Verbruik Kamertemp liter deze maand]]/0.15</f>
        <v>47.3333333333333</v>
      </c>
      <c r="AH46" s="53">
        <v>1259.4000000000001</v>
      </c>
      <c r="AI46">
        <f>november2025!AH46</f>
        <v>1191.0999999999999</v>
      </c>
      <c r="AJ46">
        <f>Tabel242567891011121314151716181921202223261415181920212224[[#This Row],[Stand Gekoeld liter einde maand]]-Tabel242567891011121314151716181921202223261415181920212224[[#This Row],[Stand Gekoeld liter vorige maand]]</f>
        <v>68.300000000000182</v>
      </c>
      <c r="AK46" s="2">
        <f>Tabel242567891011121314151716181921202223261415181920212224[[#This Row],[Verbruik Gekoeld liter deze maand]]/0.15</f>
        <v>455.33333333333456</v>
      </c>
      <c r="AL46" s="53">
        <v>576.5</v>
      </c>
      <c r="AM46">
        <f>november2025!AL46</f>
        <v>549.4</v>
      </c>
      <c r="AN46">
        <f>Tabel242567891011121314151716181921202223261415181920212224[[#This Row],[Stand Bruisend liter einde maand]]-Tabel242567891011121314151716181921202223261415181920212224[[#This Row],[Stand Bruisend liter vorige maand]]</f>
        <v>27.100000000000023</v>
      </c>
      <c r="AO46" s="2">
        <f>Tabel242567891011121314151716181921202223261415181920212224[[#This Row],[Verbruik Bruisend liter deze maand]]/0.15</f>
        <v>180.66666666666683</v>
      </c>
      <c r="AP46" s="53">
        <v>207.9</v>
      </c>
      <c r="AQ46">
        <f>november2025!AP46</f>
        <v>194.3</v>
      </c>
      <c r="AR46">
        <f>Tabel242567891011121314151716181921202223261415181920212224[[#This Row],[Stand licht bruisend liter einde maand]]-Tabel242567891011121314151716181921202223261415181920212224[[#This Row],[Stand licht bruisend liter vorige maand]]</f>
        <v>13.599999999999994</v>
      </c>
      <c r="AS46" s="2">
        <f>Tabel242567891011121314151716181921202223261415181920212224[[#This Row],[Verbruik licht bruisend liter deze maand]]/0.15</f>
        <v>90.666666666666629</v>
      </c>
      <c r="AT46" s="53">
        <v>2036.9</v>
      </c>
      <c r="AU46">
        <f>november2025!AT46</f>
        <v>1958.8</v>
      </c>
      <c r="AV46">
        <f>Tabel242567891011121314151716181921202223261415181920212224[[#This Row],[Stand heet water liter einde maand]]-Tabel242567891011121314151716181921202223261415181920212224[[#This Row],[Stand heet water liter vorige maand]]</f>
        <v>78.100000000000136</v>
      </c>
      <c r="AW46" s="2">
        <f>Tabel242567891011121314151716181921202223261415181920212224[[#This Row],[Verbruik heet Water liter deze maand ]]/0.15</f>
        <v>520.66666666666765</v>
      </c>
      <c r="AX46" s="77">
        <f>Tabel242567891011121314151716181921202223261415181920212224[[#This Row],[Aantal consumpties heet water deze maand]]+Tabel242567891011121314151716181921202223261415181920212224[[#This Row],[Aantal consumpties licht bruisend water deze maand]]+Tabel242567891011121314151716181921202223261415181920212224[[#This Row],[aantal consumpties Bruisend water deze maand]]+Tabel242567891011121314151716181921202223261415181920212224[[#This Row],[Aantal consumpties gekoeld water deze maand]]+Tabel242567891011121314151716181921202223261415181920212224[[#This Row],[Aantal consumpties Kamertemp deze maand]]</f>
        <v>1294.666666666669</v>
      </c>
      <c r="AY46" s="95">
        <f>Tabel242567891011121314151716181921202223261415181920212224[[#This Row],[Subtotaal waterbar in consumpties]]+Tabel242567891011121314151716181921202223261415181920212224[[#This Row],[Subtotaal koffieautomaten]]</f>
        <v>1294.666666666669</v>
      </c>
    </row>
    <row r="47" spans="1:130" ht="14.45" customHeight="1" x14ac:dyDescent="0.25">
      <c r="A47" s="67">
        <v>10</v>
      </c>
      <c r="B47" t="s">
        <v>94</v>
      </c>
      <c r="C47" t="s">
        <v>31</v>
      </c>
      <c r="E47">
        <v>12328</v>
      </c>
      <c r="F47">
        <f>november2025!E47</f>
        <v>12117</v>
      </c>
      <c r="G47">
        <f>Tabel242567891011121314151716181921202223261415181920212224[[#This Row],[Stand Coffee einde maand]]-Tabel242567891011121314151716181921202223261415181920212224[[#This Row],[Coffee vorige maand]]</f>
        <v>211</v>
      </c>
      <c r="H47" s="53">
        <v>9756</v>
      </c>
      <c r="I47">
        <f>november2025!H47</f>
        <v>9595</v>
      </c>
      <c r="J47">
        <f>Tabel242567891011121314151716181921202223261415181920212224[[#This Row],[Stand Espresso Einde maand]]-Tabel242567891011121314151716181921202223261415181920212224[[#This Row],[Espresso vorige maand]]</f>
        <v>161</v>
      </c>
      <c r="K47" s="53">
        <v>1655</v>
      </c>
      <c r="L47">
        <f>november2025!K47</f>
        <v>1617</v>
      </c>
      <c r="M47">
        <f>Tabel242567891011121314151716181921202223261415181920212224[[#This Row],[Stand Latte Macchiato einde maand]]-Tabel242567891011121314151716181921202223261415181920212224[[#This Row],[Latte Macchiato vorige maand]]</f>
        <v>38</v>
      </c>
      <c r="N47" s="53">
        <v>996</v>
      </c>
      <c r="O47">
        <f>november2025!N47</f>
        <v>986</v>
      </c>
      <c r="P47">
        <f>Tabel242567891011121314151716181921202223261415181920212224[[#This Row],[Stand Coffee Latte einde maand]]-Tabel242567891011121314151716181921202223261415181920212224[[#This Row],[Coffee Latte vorige maand]]</f>
        <v>10</v>
      </c>
      <c r="Q47" s="53">
        <v>24706</v>
      </c>
      <c r="R47">
        <f>november2025!Q47</f>
        <v>24191</v>
      </c>
      <c r="S47">
        <f>Tabel242567891011121314151716181921202223261415181920212224[[#This Row],[Stand Hot Water einde maand]]-Tabel242567891011121314151716181921202223261415181920212224[[#This Row],[Hot Water vorige maand]]</f>
        <v>515</v>
      </c>
      <c r="T47" s="53">
        <v>9157</v>
      </c>
      <c r="U47">
        <f>november2025!T47</f>
        <v>9047</v>
      </c>
      <c r="V47">
        <f>Tabel242567891011121314151716181921202223261415181920212224[[#This Row],[Stand Cappucino einde maand]]-Tabel242567891011121314151716181921202223261415181920212224[[#This Row],[Stand Cappucino vorige maand]]</f>
        <v>110</v>
      </c>
      <c r="W47" s="53">
        <v>1285</v>
      </c>
      <c r="X47">
        <f>november2025!W47</f>
        <v>1249</v>
      </c>
      <c r="Y47">
        <f>Tabel242567891011121314151716181921202223261415181920212224[[#This Row],[Stand Cappucino Plantaardig einde maand]]-Tabel242567891011121314151716181921202223261415181920212224[[#This Row],[Stand Cappucino Plantaardig vorige maand]]</f>
        <v>36</v>
      </c>
      <c r="Z47" s="53">
        <v>328</v>
      </c>
      <c r="AA47">
        <f>november2025!Z47</f>
        <v>322</v>
      </c>
      <c r="AB47">
        <f>Tabel242567891011121314151716181921202223261415181920212224[[#This Row],[Stand Latte Macchiato Plantaardig einde maand]]-Tabel242567891011121314151716181921202223261415181920212224[[#This Row],[Stand Latte Macchiato Plantaardig vorige maand]]</f>
        <v>6</v>
      </c>
      <c r="AC47" s="71">
        <f>Tabel242567891011121314151716181921202223261415181920212224[[#This Row],[Verbruik Stand Latte Macchiato Plantaardig deze maand]]+Tabel242567891011121314151716181921202223261415181920212224[[#This Row],[Verbruik  Cappucino Plantaardig deze maand]]+Tabel242567891011121314151716181921202223261415181920212224[[#This Row],[Verbruik Cappucino deze maand]]+Tabel242567891011121314151716181921202223261415181920212224[[#This Row],[Verbruik Hot Water deze maand]]+Tabel242567891011121314151716181921202223261415181920212224[[#This Row],[Verbruik Coffee Latte deze maand]]+Tabel242567891011121314151716181921202223261415181920212224[[#This Row],[Verbruik Latte Macchiato deze maand]]+Tabel242567891011121314151716181921202223261415181920212224[[#This Row],[Verbruik Espresso deze maand]]+Tabel242567891011121314151716181921202223261415181920212224[[#This Row],[Verbruik Coffee deze maand]]</f>
        <v>1087</v>
      </c>
      <c r="AD47" s="69"/>
      <c r="AE47" s="41"/>
      <c r="AF47" s="5"/>
      <c r="AG47" s="5"/>
      <c r="AH47" s="75"/>
      <c r="AI47" s="41"/>
      <c r="AJ47" s="5"/>
      <c r="AK47" s="5"/>
      <c r="AL47" s="75"/>
      <c r="AM47" s="41"/>
      <c r="AN47" s="5"/>
      <c r="AO47" s="5"/>
      <c r="AP47" s="75"/>
      <c r="AQ47" s="41"/>
      <c r="AR47" s="5"/>
      <c r="AS47" s="5"/>
      <c r="AT47" s="75"/>
      <c r="AU47" s="41"/>
      <c r="AV47" s="5"/>
      <c r="AW47" s="5"/>
      <c r="AX47" s="79"/>
      <c r="AY47" s="95">
        <f>Tabel242567891011121314151716181921202223261415181920212224[[#This Row],[Subtotaal waterbar in consumpties]]+Tabel242567891011121314151716181921202223261415181920212224[[#This Row],[Subtotaal koffieautomaten]]</f>
        <v>1087</v>
      </c>
    </row>
    <row r="48" spans="1:130" ht="14.45" customHeight="1" x14ac:dyDescent="0.25">
      <c r="A48" s="65" t="s">
        <v>54</v>
      </c>
      <c r="B48" t="s">
        <v>95</v>
      </c>
      <c r="C48" t="s">
        <v>47</v>
      </c>
      <c r="E48">
        <v>14478</v>
      </c>
      <c r="F48">
        <f>november2025!E48</f>
        <v>14101</v>
      </c>
      <c r="G48">
        <f>Tabel242567891011121314151716181921202223261415181920212224[[#This Row],[Stand Coffee einde maand]]-Tabel242567891011121314151716181921202223261415181920212224[[#This Row],[Coffee vorige maand]]</f>
        <v>377</v>
      </c>
      <c r="H48" s="53">
        <v>4750</v>
      </c>
      <c r="I48">
        <f>november2025!H48</f>
        <v>4597</v>
      </c>
      <c r="J48">
        <f>Tabel242567891011121314151716181921202223261415181920212224[[#This Row],[Stand Espresso Einde maand]]-Tabel242567891011121314151716181921202223261415181920212224[[#This Row],[Espresso vorige maand]]</f>
        <v>153</v>
      </c>
      <c r="K48" s="53">
        <v>1396</v>
      </c>
      <c r="L48">
        <f>november2025!K48</f>
        <v>1377</v>
      </c>
      <c r="M48">
        <f>Tabel242567891011121314151716181921202223261415181920212224[[#This Row],[Stand Latte Macchiato einde maand]]-Tabel242567891011121314151716181921202223261415181920212224[[#This Row],[Latte Macchiato vorige maand]]</f>
        <v>19</v>
      </c>
      <c r="N48" s="53">
        <v>681</v>
      </c>
      <c r="O48">
        <f>november2025!N48</f>
        <v>666</v>
      </c>
      <c r="P48">
        <f>Tabel242567891011121314151716181921202223261415181920212224[[#This Row],[Stand Coffee Latte einde maand]]-Tabel242567891011121314151716181921202223261415181920212224[[#This Row],[Coffee Latte vorige maand]]</f>
        <v>15</v>
      </c>
      <c r="Q48" s="53">
        <v>0</v>
      </c>
      <c r="R48">
        <f>november2025!Q48</f>
        <v>0</v>
      </c>
      <c r="S48">
        <v>0</v>
      </c>
      <c r="T48" s="53">
        <v>6654</v>
      </c>
      <c r="U48">
        <f>november2025!T48</f>
        <v>6535</v>
      </c>
      <c r="V48">
        <f>Tabel242567891011121314151716181921202223261415181920212224[[#This Row],[Stand Cappucino einde maand]]-Tabel242567891011121314151716181921202223261415181920212224[[#This Row],[Stand Cappucino vorige maand]]</f>
        <v>119</v>
      </c>
      <c r="W48" s="53">
        <v>1495</v>
      </c>
      <c r="X48">
        <f>november2025!W48</f>
        <v>1479</v>
      </c>
      <c r="Y48">
        <f>Tabel242567891011121314151716181921202223261415181920212224[[#This Row],[Stand Cappucino Plantaardig einde maand]]-Tabel242567891011121314151716181921202223261415181920212224[[#This Row],[Stand Cappucino Plantaardig vorige maand]]</f>
        <v>16</v>
      </c>
      <c r="Z48" s="53">
        <v>976</v>
      </c>
      <c r="AA48">
        <f>november2025!Z48</f>
        <v>949</v>
      </c>
      <c r="AB48">
        <f>Tabel242567891011121314151716181921202223261415181920212224[[#This Row],[Stand Latte Macchiato Plantaardig einde maand]]-Tabel242567891011121314151716181921202223261415181920212224[[#This Row],[Stand Latte Macchiato Plantaardig vorige maand]]</f>
        <v>27</v>
      </c>
      <c r="AC48" s="71">
        <f>Tabel242567891011121314151716181921202223261415181920212224[[#This Row],[Verbruik Stand Latte Macchiato Plantaardig deze maand]]+Tabel242567891011121314151716181921202223261415181920212224[[#This Row],[Verbruik  Cappucino Plantaardig deze maand]]+Tabel242567891011121314151716181921202223261415181920212224[[#This Row],[Verbruik Cappucino deze maand]]+Tabel242567891011121314151716181921202223261415181920212224[[#This Row],[Verbruik Hot Water deze maand]]+Tabel242567891011121314151716181921202223261415181920212224[[#This Row],[Verbruik Coffee Latte deze maand]]+Tabel242567891011121314151716181921202223261415181920212224[[#This Row],[Verbruik Latte Macchiato deze maand]]+Tabel242567891011121314151716181921202223261415181920212224[[#This Row],[Verbruik Espresso deze maand]]+Tabel242567891011121314151716181921202223261415181920212224[[#This Row],[Verbruik Coffee deze maand]]</f>
        <v>726</v>
      </c>
      <c r="AD48" s="53">
        <v>312.2</v>
      </c>
      <c r="AE48">
        <f>november2025!AD48</f>
        <v>296.10000000000002</v>
      </c>
      <c r="AF48">
        <f>Tabel242567891011121314151716181921202223261415181920212224[[#This Row],[Stand Kamertemp liter einde maand]]-Tabel242567891011121314151716181921202223261415181920212224[[#This Row],[Stand Kamertemp liter vorige maand]]</f>
        <v>16.099999999999966</v>
      </c>
      <c r="AG48" s="2">
        <f>Tabel242567891011121314151716181921202223261415181920212224[[#This Row],[Verbruik Kamertemp liter deze maand]]/0.15</f>
        <v>107.33333333333312</v>
      </c>
      <c r="AH48" s="53">
        <v>2011.8</v>
      </c>
      <c r="AI48">
        <f>november2025!AH48</f>
        <v>1944.1</v>
      </c>
      <c r="AJ48">
        <f>Tabel242567891011121314151716181921202223261415181920212224[[#This Row],[Stand Gekoeld liter einde maand]]-Tabel242567891011121314151716181921202223261415181920212224[[#This Row],[Stand Gekoeld liter vorige maand]]</f>
        <v>67.700000000000045</v>
      </c>
      <c r="AK48" s="2">
        <f>Tabel242567891011121314151716181921202223261415181920212224[[#This Row],[Verbruik Gekoeld liter deze maand]]/0.15</f>
        <v>451.33333333333366</v>
      </c>
      <c r="AL48" s="53">
        <v>1169.5</v>
      </c>
      <c r="AM48">
        <f>november2025!AL48</f>
        <v>1108</v>
      </c>
      <c r="AN48">
        <f>Tabel242567891011121314151716181921202223261415181920212224[[#This Row],[Stand Bruisend liter einde maand]]-Tabel242567891011121314151716181921202223261415181920212224[[#This Row],[Stand Bruisend liter vorige maand]]</f>
        <v>61.5</v>
      </c>
      <c r="AO48" s="2">
        <f>Tabel242567891011121314151716181921202223261415181920212224[[#This Row],[Verbruik Bruisend liter deze maand]]/0.15</f>
        <v>410</v>
      </c>
      <c r="AP48" s="53">
        <v>461.8</v>
      </c>
      <c r="AQ48">
        <f>november2025!AP48</f>
        <v>440.9</v>
      </c>
      <c r="AR48">
        <f>Tabel242567891011121314151716181921202223261415181920212224[[#This Row],[Stand licht bruisend liter einde maand]]-Tabel242567891011121314151716181921202223261415181920212224[[#This Row],[Stand licht bruisend liter vorige maand]]</f>
        <v>20.900000000000034</v>
      </c>
      <c r="AS48" s="2">
        <f>Tabel242567891011121314151716181921202223261415181920212224[[#This Row],[Verbruik licht bruisend liter deze maand]]/0.15</f>
        <v>139.33333333333357</v>
      </c>
      <c r="AT48" s="53">
        <v>4134</v>
      </c>
      <c r="AU48">
        <f>november2025!AT48</f>
        <v>3937.7</v>
      </c>
      <c r="AV48">
        <f>Tabel242567891011121314151716181921202223261415181920212224[[#This Row],[Stand heet water liter einde maand]]-Tabel242567891011121314151716181921202223261415181920212224[[#This Row],[Stand heet water liter vorige maand]]</f>
        <v>196.30000000000018</v>
      </c>
      <c r="AW48" s="2">
        <f>Tabel242567891011121314151716181921202223261415181920212224[[#This Row],[Verbruik heet Water liter deze maand ]]/0.15</f>
        <v>1308.6666666666679</v>
      </c>
      <c r="AX48" s="77">
        <f>Tabel242567891011121314151716181921202223261415181920212224[[#This Row],[Aantal consumpties heet water deze maand]]+Tabel242567891011121314151716181921202223261415181920212224[[#This Row],[Aantal consumpties licht bruisend water deze maand]]+Tabel242567891011121314151716181921202223261415181920212224[[#This Row],[aantal consumpties Bruisend water deze maand]]+Tabel242567891011121314151716181921202223261415181920212224[[#This Row],[Aantal consumpties gekoeld water deze maand]]+Tabel242567891011121314151716181921202223261415181920212224[[#This Row],[Aantal consumpties Kamertemp deze maand]]</f>
        <v>2416.6666666666679</v>
      </c>
      <c r="AY48" s="95">
        <f>Tabel242567891011121314151716181921202223261415181920212224[[#This Row],[Subtotaal waterbar in consumpties]]+Tabel242567891011121314151716181921202223261415181920212224[[#This Row],[Subtotaal koffieautomaten]]</f>
        <v>3142.6666666666679</v>
      </c>
    </row>
    <row r="49" spans="1:130" ht="14.45" customHeight="1" x14ac:dyDescent="0.25">
      <c r="A49" s="65" t="s">
        <v>56</v>
      </c>
      <c r="B49" t="s">
        <v>96</v>
      </c>
      <c r="C49" t="s">
        <v>36</v>
      </c>
      <c r="E49" s="46"/>
      <c r="F49" s="46"/>
      <c r="G49" s="47"/>
      <c r="H49" s="54"/>
      <c r="I49" s="46"/>
      <c r="J49" s="47"/>
      <c r="K49" s="54"/>
      <c r="L49" s="46"/>
      <c r="M49" s="47"/>
      <c r="N49" s="54"/>
      <c r="O49" s="46"/>
      <c r="P49" s="47"/>
      <c r="Q49" s="54"/>
      <c r="R49" s="46"/>
      <c r="S49" s="47"/>
      <c r="T49" s="54"/>
      <c r="U49" s="46"/>
      <c r="V49" s="47"/>
      <c r="W49" s="54"/>
      <c r="X49" s="46"/>
      <c r="Y49" s="47"/>
      <c r="Z49" s="54"/>
      <c r="AA49" s="46"/>
      <c r="AB49" s="47"/>
      <c r="AC49" s="72"/>
      <c r="AD49" s="53">
        <v>277.2</v>
      </c>
      <c r="AE49">
        <f>november2025!AD49</f>
        <v>258.3</v>
      </c>
      <c r="AF49">
        <f>Tabel242567891011121314151716181921202223261415181920212224[[#This Row],[Stand Kamertemp liter einde maand]]-Tabel242567891011121314151716181921202223261415181920212224[[#This Row],[Stand Kamertemp liter vorige maand]]</f>
        <v>18.899999999999977</v>
      </c>
      <c r="AG49" s="2">
        <f>Tabel242567891011121314151716181921202223261415181920212224[[#This Row],[Verbruik Kamertemp liter deze maand]]/0.15</f>
        <v>125.99999999999986</v>
      </c>
      <c r="AH49" s="53">
        <v>1707.3</v>
      </c>
      <c r="AI49">
        <f>november2025!AH49</f>
        <v>1608.8</v>
      </c>
      <c r="AJ49">
        <f>Tabel242567891011121314151716181921202223261415181920212224[[#This Row],[Stand Gekoeld liter einde maand]]-Tabel242567891011121314151716181921202223261415181920212224[[#This Row],[Stand Gekoeld liter vorige maand]]</f>
        <v>98.5</v>
      </c>
      <c r="AK49" s="2">
        <f>Tabel242567891011121314151716181921202223261415181920212224[[#This Row],[Verbruik Gekoeld liter deze maand]]/0.15</f>
        <v>656.66666666666674</v>
      </c>
      <c r="AL49" s="53">
        <v>735</v>
      </c>
      <c r="AM49">
        <f>november2025!AL49</f>
        <v>704.3</v>
      </c>
      <c r="AN49">
        <f>Tabel242567891011121314151716181921202223261415181920212224[[#This Row],[Stand Bruisend liter einde maand]]-Tabel242567891011121314151716181921202223261415181920212224[[#This Row],[Stand Bruisend liter vorige maand]]</f>
        <v>30.700000000000045</v>
      </c>
      <c r="AO49" s="2">
        <f>Tabel242567891011121314151716181921202223261415181920212224[[#This Row],[Verbruik Bruisend liter deze maand]]/0.15</f>
        <v>204.66666666666697</v>
      </c>
      <c r="AP49" s="53">
        <v>357.3</v>
      </c>
      <c r="AQ49">
        <f>november2025!AP49</f>
        <v>340.8</v>
      </c>
      <c r="AR49">
        <f>Tabel242567891011121314151716181921202223261415181920212224[[#This Row],[Stand licht bruisend liter einde maand]]-Tabel242567891011121314151716181921202223261415181920212224[[#This Row],[Stand licht bruisend liter vorige maand]]</f>
        <v>16.5</v>
      </c>
      <c r="AS49" s="2">
        <f>Tabel242567891011121314151716181921202223261415181920212224[[#This Row],[Verbruik licht bruisend liter deze maand]]/0.15</f>
        <v>110</v>
      </c>
      <c r="AT49" s="53">
        <v>3788.8</v>
      </c>
      <c r="AU49">
        <f>november2025!AT49</f>
        <v>3566.2</v>
      </c>
      <c r="AV49">
        <f>Tabel242567891011121314151716181921202223261415181920212224[[#This Row],[Stand heet water liter einde maand]]-Tabel242567891011121314151716181921202223261415181920212224[[#This Row],[Stand heet water liter vorige maand]]</f>
        <v>222.60000000000036</v>
      </c>
      <c r="AW49" s="2">
        <f>Tabel242567891011121314151716181921202223261415181920212224[[#This Row],[Verbruik heet Water liter deze maand ]]/0.15</f>
        <v>1484.0000000000025</v>
      </c>
      <c r="AX49" s="77">
        <f>Tabel242567891011121314151716181921202223261415181920212224[[#This Row],[Aantal consumpties heet water deze maand]]+Tabel242567891011121314151716181921202223261415181920212224[[#This Row],[Aantal consumpties licht bruisend water deze maand]]+Tabel242567891011121314151716181921202223261415181920212224[[#This Row],[aantal consumpties Bruisend water deze maand]]+Tabel242567891011121314151716181921202223261415181920212224[[#This Row],[Aantal consumpties gekoeld water deze maand]]+Tabel242567891011121314151716181921202223261415181920212224[[#This Row],[Aantal consumpties Kamertemp deze maand]]</f>
        <v>2581.3333333333362</v>
      </c>
      <c r="AY49" s="95">
        <f>Tabel242567891011121314151716181921202223261415181920212224[[#This Row],[Subtotaal waterbar in consumpties]]+Tabel242567891011121314151716181921202223261415181920212224[[#This Row],[Subtotaal koffieautomaten]]</f>
        <v>2581.3333333333362</v>
      </c>
    </row>
    <row r="50" spans="1:130" ht="14.45" customHeight="1" x14ac:dyDescent="0.25">
      <c r="A50" s="65" t="s">
        <v>58</v>
      </c>
      <c r="B50" t="s">
        <v>97</v>
      </c>
      <c r="C50" t="s">
        <v>31</v>
      </c>
      <c r="E50">
        <v>18683</v>
      </c>
      <c r="F50">
        <f>november2025!E50</f>
        <v>18073</v>
      </c>
      <c r="G50">
        <f>Tabel242567891011121314151716181921202223261415181920212224[[#This Row],[Stand Coffee einde maand]]-Tabel242567891011121314151716181921202223261415181920212224[[#This Row],[Coffee vorige maand]]</f>
        <v>610</v>
      </c>
      <c r="H50" s="53">
        <v>5218</v>
      </c>
      <c r="I50">
        <f>november2025!H50</f>
        <v>5046</v>
      </c>
      <c r="J50">
        <f>Tabel242567891011121314151716181921202223261415181920212224[[#This Row],[Stand Espresso Einde maand]]-Tabel242567891011121314151716181921202223261415181920212224[[#This Row],[Espresso vorige maand]]</f>
        <v>172</v>
      </c>
      <c r="K50" s="53">
        <v>1949</v>
      </c>
      <c r="L50">
        <f>november2025!K50</f>
        <v>1916</v>
      </c>
      <c r="M50">
        <f>Tabel242567891011121314151716181921202223261415181920212224[[#This Row],[Stand Latte Macchiato einde maand]]-Tabel242567891011121314151716181921202223261415181920212224[[#This Row],[Latte Macchiato vorige maand]]</f>
        <v>33</v>
      </c>
      <c r="N50" s="53">
        <v>1553</v>
      </c>
      <c r="O50">
        <f>november2025!N50</f>
        <v>1543</v>
      </c>
      <c r="P50">
        <f>Tabel242567891011121314151716181921202223261415181920212224[[#This Row],[Stand Coffee Latte einde maand]]-Tabel242567891011121314151716181921202223261415181920212224[[#This Row],[Coffee Latte vorige maand]]</f>
        <v>10</v>
      </c>
      <c r="Q50" s="53">
        <v>16646</v>
      </c>
      <c r="R50">
        <f>november2025!Q50</f>
        <v>16219</v>
      </c>
      <c r="S50">
        <f>Tabel242567891011121314151716181921202223261415181920212224[[#This Row],[Stand Hot Water einde maand]]-Tabel242567891011121314151716181921202223261415181920212224[[#This Row],[Hot Water vorige maand]]</f>
        <v>427</v>
      </c>
      <c r="T50" s="53">
        <v>9860</v>
      </c>
      <c r="U50">
        <f>november2025!T50</f>
        <v>9699</v>
      </c>
      <c r="V50">
        <f>Tabel242567891011121314151716181921202223261415181920212224[[#This Row],[Stand Cappucino einde maand]]-Tabel242567891011121314151716181921202223261415181920212224[[#This Row],[Stand Cappucino vorige maand]]</f>
        <v>161</v>
      </c>
      <c r="W50" s="53">
        <v>1950</v>
      </c>
      <c r="X50">
        <f>november2025!W50</f>
        <v>1915</v>
      </c>
      <c r="Y50">
        <f>Tabel242567891011121314151716181921202223261415181920212224[[#This Row],[Stand Cappucino Plantaardig einde maand]]-Tabel242567891011121314151716181921202223261415181920212224[[#This Row],[Stand Cappucino Plantaardig vorige maand]]</f>
        <v>35</v>
      </c>
      <c r="Z50" s="53">
        <v>893</v>
      </c>
      <c r="AA50">
        <f>november2025!Z50</f>
        <v>842</v>
      </c>
      <c r="AB50">
        <f>Tabel242567891011121314151716181921202223261415181920212224[[#This Row],[Stand Latte Macchiato Plantaardig einde maand]]-Tabel242567891011121314151716181921202223261415181920212224[[#This Row],[Stand Latte Macchiato Plantaardig vorige maand]]</f>
        <v>51</v>
      </c>
      <c r="AC50" s="71">
        <f>Tabel242567891011121314151716181921202223261415181920212224[[#This Row],[Verbruik Stand Latte Macchiato Plantaardig deze maand]]+Tabel242567891011121314151716181921202223261415181920212224[[#This Row],[Verbruik  Cappucino Plantaardig deze maand]]+Tabel242567891011121314151716181921202223261415181920212224[[#This Row],[Verbruik Cappucino deze maand]]+Tabel242567891011121314151716181921202223261415181920212224[[#This Row],[Verbruik Hot Water deze maand]]+Tabel242567891011121314151716181921202223261415181920212224[[#This Row],[Verbruik Coffee Latte deze maand]]+Tabel242567891011121314151716181921202223261415181920212224[[#This Row],[Verbruik Latte Macchiato deze maand]]+Tabel242567891011121314151716181921202223261415181920212224[[#This Row],[Verbruik Espresso deze maand]]+Tabel242567891011121314151716181921202223261415181920212224[[#This Row],[Verbruik Coffee deze maand]]</f>
        <v>1499</v>
      </c>
      <c r="AD50" s="69"/>
      <c r="AE50" s="41"/>
      <c r="AF50" s="5"/>
      <c r="AG50" s="5"/>
      <c r="AH50" s="75"/>
      <c r="AI50" s="41"/>
      <c r="AJ50" s="5"/>
      <c r="AK50" s="5"/>
      <c r="AL50" s="75"/>
      <c r="AM50" s="41"/>
      <c r="AN50" s="5"/>
      <c r="AO50" s="5"/>
      <c r="AP50" s="75"/>
      <c r="AQ50" s="41"/>
      <c r="AR50" s="5"/>
      <c r="AS50" s="5"/>
      <c r="AT50" s="75"/>
      <c r="AU50" s="41"/>
      <c r="AV50" s="5"/>
      <c r="AW50" s="5"/>
      <c r="AX50" s="79"/>
      <c r="AY50" s="95">
        <f>Tabel242567891011121314151716181921202223261415181920212224[[#This Row],[Subtotaal waterbar in consumpties]]+Tabel242567891011121314151716181921202223261415181920212224[[#This Row],[Subtotaal koffieautomaten]]</f>
        <v>1499</v>
      </c>
    </row>
    <row r="51" spans="1:130" ht="14.45" customHeight="1" x14ac:dyDescent="0.25">
      <c r="A51" s="65" t="s">
        <v>60</v>
      </c>
      <c r="B51" t="s">
        <v>98</v>
      </c>
      <c r="C51" t="s">
        <v>47</v>
      </c>
      <c r="E51">
        <v>11267</v>
      </c>
      <c r="F51">
        <f>november2025!E51</f>
        <v>10960</v>
      </c>
      <c r="G51">
        <f>Tabel242567891011121314151716181921202223261415181920212224[[#This Row],[Stand Coffee einde maand]]-Tabel242567891011121314151716181921202223261415181920212224[[#This Row],[Coffee vorige maand]]</f>
        <v>307</v>
      </c>
      <c r="H51" s="53">
        <v>3666</v>
      </c>
      <c r="I51">
        <f>november2025!H51</f>
        <v>3584</v>
      </c>
      <c r="J51">
        <f>Tabel242567891011121314151716181921202223261415181920212224[[#This Row],[Stand Espresso Einde maand]]-Tabel242567891011121314151716181921202223261415181920212224[[#This Row],[Espresso vorige maand]]</f>
        <v>82</v>
      </c>
      <c r="K51" s="53">
        <v>981</v>
      </c>
      <c r="L51">
        <f>november2025!K51</f>
        <v>961</v>
      </c>
      <c r="M51">
        <f>Tabel242567891011121314151716181921202223261415181920212224[[#This Row],[Stand Latte Macchiato einde maand]]-Tabel242567891011121314151716181921202223261415181920212224[[#This Row],[Latte Macchiato vorige maand]]</f>
        <v>20</v>
      </c>
      <c r="N51" s="53">
        <v>1441</v>
      </c>
      <c r="O51">
        <f>november2025!N51</f>
        <v>1417</v>
      </c>
      <c r="P51">
        <f>Tabel242567891011121314151716181921202223261415181920212224[[#This Row],[Stand Coffee Latte einde maand]]-Tabel242567891011121314151716181921202223261415181920212224[[#This Row],[Coffee Latte vorige maand]]</f>
        <v>24</v>
      </c>
      <c r="Q51" s="53">
        <v>1</v>
      </c>
      <c r="R51">
        <f>november2025!Q51</f>
        <v>1</v>
      </c>
      <c r="S51">
        <f>Tabel242567891011121314151716181921202223261415181920212224[[#This Row],[Stand Hot Water einde maand]]-Tabel242567891011121314151716181921202223261415181920212224[[#This Row],[Hot Water vorige maand]]</f>
        <v>0</v>
      </c>
      <c r="T51" s="53">
        <v>7432</v>
      </c>
      <c r="U51">
        <f>november2025!T51</f>
        <v>7264</v>
      </c>
      <c r="V51">
        <f>Tabel242567891011121314151716181921202223261415181920212224[[#This Row],[Stand Cappucino einde maand]]-Tabel242567891011121314151716181921202223261415181920212224[[#This Row],[Stand Cappucino vorige maand]]</f>
        <v>168</v>
      </c>
      <c r="W51" s="53">
        <v>1074</v>
      </c>
      <c r="X51">
        <f>november2025!W51</f>
        <v>1042</v>
      </c>
      <c r="Y51">
        <f>Tabel242567891011121314151716181921202223261415181920212224[[#This Row],[Stand Cappucino Plantaardig einde maand]]-Tabel242567891011121314151716181921202223261415181920212224[[#This Row],[Stand Cappucino Plantaardig vorige maand]]</f>
        <v>32</v>
      </c>
      <c r="Z51" s="53">
        <v>247</v>
      </c>
      <c r="AA51">
        <f>november2025!Z51</f>
        <v>229</v>
      </c>
      <c r="AB51">
        <f>Tabel242567891011121314151716181921202223261415181920212224[[#This Row],[Stand Latte Macchiato Plantaardig einde maand]]-Tabel242567891011121314151716181921202223261415181920212224[[#This Row],[Stand Latte Macchiato Plantaardig vorige maand]]</f>
        <v>18</v>
      </c>
      <c r="AC51" s="71">
        <f>Tabel242567891011121314151716181921202223261415181920212224[[#This Row],[Verbruik Stand Latte Macchiato Plantaardig deze maand]]+Tabel242567891011121314151716181921202223261415181920212224[[#This Row],[Verbruik  Cappucino Plantaardig deze maand]]+Tabel242567891011121314151716181921202223261415181920212224[[#This Row],[Verbruik Cappucino deze maand]]+Tabel242567891011121314151716181921202223261415181920212224[[#This Row],[Verbruik Hot Water deze maand]]+Tabel242567891011121314151716181921202223261415181920212224[[#This Row],[Verbruik Coffee Latte deze maand]]+Tabel242567891011121314151716181921202223261415181920212224[[#This Row],[Verbruik Latte Macchiato deze maand]]+Tabel242567891011121314151716181921202223261415181920212224[[#This Row],[Verbruik Espresso deze maand]]+Tabel242567891011121314151716181921202223261415181920212224[[#This Row],[Verbruik Coffee deze maand]]</f>
        <v>651</v>
      </c>
      <c r="AD51" s="53">
        <v>109.9</v>
      </c>
      <c r="AE51">
        <f>november2025!AD51</f>
        <v>102</v>
      </c>
      <c r="AF51">
        <f>Tabel242567891011121314151716181921202223261415181920212224[[#This Row],[Stand Kamertemp liter einde maand]]-Tabel242567891011121314151716181921202223261415181920212224[[#This Row],[Stand Kamertemp liter vorige maand]]</f>
        <v>7.9000000000000057</v>
      </c>
      <c r="AG51" s="2">
        <f>Tabel242567891011121314151716181921202223261415181920212224[[#This Row],[Verbruik Kamertemp liter deze maand]]/0.15</f>
        <v>52.666666666666707</v>
      </c>
      <c r="AH51" s="53">
        <v>1309</v>
      </c>
      <c r="AI51">
        <f>november2025!AH51</f>
        <v>1299.4000000000001</v>
      </c>
      <c r="AJ51">
        <f>Tabel242567891011121314151716181921202223261415181920212224[[#This Row],[Stand Gekoeld liter einde maand]]-Tabel242567891011121314151716181921202223261415181920212224[[#This Row],[Stand Gekoeld liter vorige maand]]</f>
        <v>9.5999999999999091</v>
      </c>
      <c r="AK51" s="2">
        <f>Tabel242567891011121314151716181921202223261415181920212224[[#This Row],[Verbruik Gekoeld liter deze maand]]/0.15</f>
        <v>63.999999999999396</v>
      </c>
      <c r="AL51" s="53">
        <v>890.2</v>
      </c>
      <c r="AM51">
        <f>november2025!AL51</f>
        <v>850.5</v>
      </c>
      <c r="AN51">
        <f>Tabel242567891011121314151716181921202223261415181920212224[[#This Row],[Stand Bruisend liter einde maand]]-Tabel242567891011121314151716181921202223261415181920212224[[#This Row],[Stand Bruisend liter vorige maand]]</f>
        <v>39.700000000000045</v>
      </c>
      <c r="AO51" s="2">
        <f>Tabel242567891011121314151716181921202223261415181920212224[[#This Row],[Verbruik Bruisend liter deze maand]]/0.15</f>
        <v>264.66666666666697</v>
      </c>
      <c r="AP51" s="53">
        <v>136</v>
      </c>
      <c r="AQ51">
        <f>november2025!AP51</f>
        <v>123.5</v>
      </c>
      <c r="AR51">
        <f>Tabel242567891011121314151716181921202223261415181920212224[[#This Row],[Stand licht bruisend liter einde maand]]-Tabel242567891011121314151716181921202223261415181920212224[[#This Row],[Stand licht bruisend liter vorige maand]]</f>
        <v>12.5</v>
      </c>
      <c r="AS51" s="2">
        <f>Tabel242567891011121314151716181921202223261415181920212224[[#This Row],[Verbruik licht bruisend liter deze maand]]/0.15</f>
        <v>83.333333333333343</v>
      </c>
      <c r="AT51" s="53">
        <v>1922.2</v>
      </c>
      <c r="AU51">
        <f>november2025!AT51</f>
        <v>1833</v>
      </c>
      <c r="AV51">
        <f>Tabel242567891011121314151716181921202223261415181920212224[[#This Row],[Stand heet water liter einde maand]]-Tabel242567891011121314151716181921202223261415181920212224[[#This Row],[Stand heet water liter vorige maand]]</f>
        <v>89.200000000000045</v>
      </c>
      <c r="AW51" s="2">
        <f>Tabel242567891011121314151716181921202223261415181920212224[[#This Row],[Verbruik heet Water liter deze maand ]]/0.15</f>
        <v>594.66666666666697</v>
      </c>
      <c r="AX51" s="77">
        <f>Tabel242567891011121314151716181921202223261415181920212224[[#This Row],[Aantal consumpties heet water deze maand]]+Tabel242567891011121314151716181921202223261415181920212224[[#This Row],[Aantal consumpties licht bruisend water deze maand]]+Tabel242567891011121314151716181921202223261415181920212224[[#This Row],[aantal consumpties Bruisend water deze maand]]+Tabel242567891011121314151716181921202223261415181920212224[[#This Row],[Aantal consumpties gekoeld water deze maand]]+Tabel242567891011121314151716181921202223261415181920212224[[#This Row],[Aantal consumpties Kamertemp deze maand]]</f>
        <v>1059.3333333333335</v>
      </c>
      <c r="AY51" s="95">
        <f>Tabel242567891011121314151716181921202223261415181920212224[[#This Row],[Subtotaal waterbar in consumpties]]+Tabel242567891011121314151716181921202223261415181920212224[[#This Row],[Subtotaal koffieautomaten]]</f>
        <v>1710.3333333333335</v>
      </c>
    </row>
    <row r="52" spans="1:130" s="81" customFormat="1" ht="14.45" customHeight="1" x14ac:dyDescent="0.25">
      <c r="A52" s="80" t="s">
        <v>99</v>
      </c>
      <c r="D52" s="82"/>
      <c r="H52" s="86"/>
      <c r="K52" s="86"/>
      <c r="N52" s="86"/>
      <c r="Q52" s="86"/>
      <c r="T52" s="86"/>
      <c r="W52" s="86"/>
      <c r="Z52" s="86"/>
      <c r="AC52" s="85"/>
      <c r="AD52" s="86"/>
      <c r="AG52" s="87"/>
      <c r="AH52" s="86"/>
      <c r="AK52" s="87"/>
      <c r="AL52" s="86"/>
      <c r="AO52" s="87"/>
      <c r="AP52" s="86"/>
      <c r="AS52" s="87"/>
      <c r="AT52" s="86"/>
      <c r="AW52" s="87"/>
      <c r="AX52" s="88"/>
      <c r="AY52" s="94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</row>
    <row r="53" spans="1:130" ht="14.45" customHeight="1" x14ac:dyDescent="0.25">
      <c r="A53" s="65" t="s">
        <v>43</v>
      </c>
      <c r="B53" t="s">
        <v>100</v>
      </c>
      <c r="C53" t="s">
        <v>31</v>
      </c>
      <c r="E53">
        <v>16179</v>
      </c>
      <c r="F53">
        <f>november2025!E53</f>
        <v>15769</v>
      </c>
      <c r="G53">
        <f>Tabel242567891011121314151716181921202223261415181920212224[[#This Row],[Stand Coffee einde maand]]-Tabel242567891011121314151716181921202223261415181920212224[[#This Row],[Coffee vorige maand]]</f>
        <v>410</v>
      </c>
      <c r="H53" s="97">
        <f>824+4824</f>
        <v>5648</v>
      </c>
      <c r="I53">
        <f>november2025!H53</f>
        <v>5573</v>
      </c>
      <c r="J53">
        <f>Tabel242567891011121314151716181921202223261415181920212224[[#This Row],[Stand Espresso Einde maand]]-Tabel242567891011121314151716181921202223261415181920212224[[#This Row],[Espresso vorige maand]]</f>
        <v>75</v>
      </c>
      <c r="K53" s="53">
        <v>1657</v>
      </c>
      <c r="L53">
        <f>november2025!K53</f>
        <v>1614</v>
      </c>
      <c r="M53">
        <f>Tabel242567891011121314151716181921202223261415181920212224[[#This Row],[Stand Latte Macchiato einde maand]]-Tabel242567891011121314151716181921202223261415181920212224[[#This Row],[Latte Macchiato vorige maand]]</f>
        <v>43</v>
      </c>
      <c r="N53" s="53">
        <v>817</v>
      </c>
      <c r="O53">
        <f>november2025!N53</f>
        <v>773</v>
      </c>
      <c r="P53">
        <f>Tabel242567891011121314151716181921202223261415181920212224[[#This Row],[Stand Coffee Latte einde maand]]-Tabel242567891011121314151716181921202223261415181920212224[[#This Row],[Coffee Latte vorige maand]]</f>
        <v>44</v>
      </c>
      <c r="Q53" s="53">
        <v>39153</v>
      </c>
      <c r="R53">
        <f>november2025!Q53</f>
        <v>38411</v>
      </c>
      <c r="S53">
        <f>Tabel242567891011121314151716181921202223261415181920212224[[#This Row],[Stand Hot Water einde maand]]-Tabel242567891011121314151716181921202223261415181920212224[[#This Row],[Hot Water vorige maand]]</f>
        <v>742</v>
      </c>
      <c r="T53" s="53">
        <v>4540</v>
      </c>
      <c r="U53">
        <f>november2025!T53</f>
        <v>4449</v>
      </c>
      <c r="V53">
        <f>Tabel242567891011121314151716181921202223261415181920212224[[#This Row],[Stand Cappucino einde maand]]-Tabel242567891011121314151716181921202223261415181920212224[[#This Row],[Stand Cappucino vorige maand]]</f>
        <v>91</v>
      </c>
      <c r="W53" s="53">
        <v>1343</v>
      </c>
      <c r="X53">
        <f>november2025!W53</f>
        <v>1328</v>
      </c>
      <c r="Y53">
        <f>Tabel242567891011121314151716181921202223261415181920212224[[#This Row],[Stand Cappucino Plantaardig einde maand]]-Tabel242567891011121314151716181921202223261415181920212224[[#This Row],[Stand Cappucino Plantaardig vorige maand]]</f>
        <v>15</v>
      </c>
      <c r="Z53" s="53">
        <v>281</v>
      </c>
      <c r="AA53">
        <f>november2025!Z53</f>
        <v>276</v>
      </c>
      <c r="AB53">
        <f>Tabel242567891011121314151716181921202223261415181920212224[[#This Row],[Stand Latte Macchiato Plantaardig einde maand]]-Tabel242567891011121314151716181921202223261415181920212224[[#This Row],[Stand Latte Macchiato Plantaardig vorige maand]]</f>
        <v>5</v>
      </c>
      <c r="AC53" s="71">
        <f>Tabel242567891011121314151716181921202223261415181920212224[[#This Row],[Verbruik Stand Latte Macchiato Plantaardig deze maand]]+Tabel242567891011121314151716181921202223261415181920212224[[#This Row],[Verbruik  Cappucino Plantaardig deze maand]]+Tabel242567891011121314151716181921202223261415181920212224[[#This Row],[Verbruik Cappucino deze maand]]+Tabel242567891011121314151716181921202223261415181920212224[[#This Row],[Verbruik Hot Water deze maand]]+Tabel242567891011121314151716181921202223261415181920212224[[#This Row],[Verbruik Coffee Latte deze maand]]+Tabel242567891011121314151716181921202223261415181920212224[[#This Row],[Verbruik Latte Macchiato deze maand]]+Tabel242567891011121314151716181921202223261415181920212224[[#This Row],[Verbruik Espresso deze maand]]+Tabel242567891011121314151716181921202223261415181920212224[[#This Row],[Verbruik Coffee deze maand]]</f>
        <v>1425</v>
      </c>
      <c r="AD53" s="69"/>
      <c r="AE53" s="41"/>
      <c r="AF53" s="5"/>
      <c r="AG53" s="5"/>
      <c r="AH53" s="75"/>
      <c r="AI53" s="41"/>
      <c r="AJ53" s="5"/>
      <c r="AK53" s="5"/>
      <c r="AL53" s="75"/>
      <c r="AM53" s="41"/>
      <c r="AN53" s="5"/>
      <c r="AO53" s="5"/>
      <c r="AP53" s="75"/>
      <c r="AQ53" s="41"/>
      <c r="AR53" s="5"/>
      <c r="AS53" s="5"/>
      <c r="AT53" s="75"/>
      <c r="AU53" s="41"/>
      <c r="AV53" s="5"/>
      <c r="AW53" s="5"/>
      <c r="AX53" s="79"/>
      <c r="AY53" s="95">
        <f>Tabel242567891011121314151716181921202223261415181920212224[[#This Row],[Subtotaal waterbar in consumpties]]+Tabel242567891011121314151716181921202223261415181920212224[[#This Row],[Subtotaal koffieautomaten]]</f>
        <v>1425</v>
      </c>
    </row>
    <row r="54" spans="1:130" ht="14.45" customHeight="1" x14ac:dyDescent="0.25">
      <c r="A54" s="65" t="s">
        <v>45</v>
      </c>
      <c r="B54" t="s">
        <v>101</v>
      </c>
      <c r="C54" t="s">
        <v>47</v>
      </c>
      <c r="E54">
        <v>12178</v>
      </c>
      <c r="F54">
        <f>november2025!E54</f>
        <v>11920</v>
      </c>
      <c r="G54">
        <f>Tabel242567891011121314151716181921202223261415181920212224[[#This Row],[Stand Coffee einde maand]]-Tabel242567891011121314151716181921202223261415181920212224[[#This Row],[Coffee vorige maand]]</f>
        <v>258</v>
      </c>
      <c r="H54" s="53">
        <v>5730</v>
      </c>
      <c r="I54">
        <f>november2025!H54</f>
        <v>5655</v>
      </c>
      <c r="J54">
        <f>Tabel242567891011121314151716181921202223261415181920212224[[#This Row],[Stand Espresso Einde maand]]-Tabel242567891011121314151716181921202223261415181920212224[[#This Row],[Espresso vorige maand]]</f>
        <v>75</v>
      </c>
      <c r="K54" s="53">
        <v>740</v>
      </c>
      <c r="L54">
        <f>november2025!K54</f>
        <v>738</v>
      </c>
      <c r="M54">
        <f>Tabel242567891011121314151716181921202223261415181920212224[[#This Row],[Stand Latte Macchiato einde maand]]-Tabel242567891011121314151716181921202223261415181920212224[[#This Row],[Latte Macchiato vorige maand]]</f>
        <v>2</v>
      </c>
      <c r="N54" s="53">
        <v>640</v>
      </c>
      <c r="O54">
        <f>november2025!N54</f>
        <v>631</v>
      </c>
      <c r="P54">
        <f>Tabel242567891011121314151716181921202223261415181920212224[[#This Row],[Stand Coffee Latte einde maand]]-Tabel242567891011121314151716181921202223261415181920212224[[#This Row],[Coffee Latte vorige maand]]</f>
        <v>9</v>
      </c>
      <c r="Q54" s="53">
        <v>1</v>
      </c>
      <c r="R54">
        <f>november2025!Q54</f>
        <v>1</v>
      </c>
      <c r="S54">
        <f>Tabel242567891011121314151716181921202223261415181920212224[[#This Row],[Stand Hot Water einde maand]]-Tabel242567891011121314151716181921202223261415181920212224[[#This Row],[Hot Water vorige maand]]</f>
        <v>0</v>
      </c>
      <c r="T54" s="53">
        <v>5296</v>
      </c>
      <c r="U54">
        <f>november2025!T54</f>
        <v>5208</v>
      </c>
      <c r="V54">
        <f>Tabel242567891011121314151716181921202223261415181920212224[[#This Row],[Stand Cappucino einde maand]]-Tabel242567891011121314151716181921202223261415181920212224[[#This Row],[Stand Cappucino vorige maand]]</f>
        <v>88</v>
      </c>
      <c r="W54" s="53">
        <v>1142</v>
      </c>
      <c r="X54">
        <f>november2025!W54</f>
        <v>1118</v>
      </c>
      <c r="Y54">
        <f>Tabel242567891011121314151716181921202223261415181920212224[[#This Row],[Stand Cappucino Plantaardig einde maand]]-Tabel242567891011121314151716181921202223261415181920212224[[#This Row],[Stand Cappucino Plantaardig vorige maand]]</f>
        <v>24</v>
      </c>
      <c r="Z54" s="53">
        <v>263</v>
      </c>
      <c r="AA54">
        <f>november2025!Z54</f>
        <v>263</v>
      </c>
      <c r="AB54">
        <f>Tabel242567891011121314151716181921202223261415181920212224[[#This Row],[Stand Latte Macchiato Plantaardig einde maand]]-Tabel242567891011121314151716181921202223261415181920212224[[#This Row],[Stand Latte Macchiato Plantaardig vorige maand]]</f>
        <v>0</v>
      </c>
      <c r="AC54" s="71">
        <f>Tabel242567891011121314151716181921202223261415181920212224[[#This Row],[Verbruik Stand Latte Macchiato Plantaardig deze maand]]+Tabel242567891011121314151716181921202223261415181920212224[[#This Row],[Verbruik  Cappucino Plantaardig deze maand]]+Tabel242567891011121314151716181921202223261415181920212224[[#This Row],[Verbruik Cappucino deze maand]]+Tabel242567891011121314151716181921202223261415181920212224[[#This Row],[Verbruik Hot Water deze maand]]+Tabel242567891011121314151716181921202223261415181920212224[[#This Row],[Verbruik Coffee Latte deze maand]]+Tabel242567891011121314151716181921202223261415181920212224[[#This Row],[Verbruik Latte Macchiato deze maand]]+Tabel242567891011121314151716181921202223261415181920212224[[#This Row],[Verbruik Espresso deze maand]]+Tabel242567891011121314151716181921202223261415181920212224[[#This Row],[Verbruik Coffee deze maand]]</f>
        <v>456</v>
      </c>
      <c r="AD54" s="53">
        <v>215.1</v>
      </c>
      <c r="AE54">
        <f>november2025!AD54</f>
        <v>199.7</v>
      </c>
      <c r="AF54">
        <f>Tabel242567891011121314151716181921202223261415181920212224[[#This Row],[Stand Kamertemp liter einde maand]]-Tabel242567891011121314151716181921202223261415181920212224[[#This Row],[Stand Kamertemp liter vorige maand]]</f>
        <v>15.400000000000006</v>
      </c>
      <c r="AG54" s="2">
        <f>Tabel242567891011121314151716181921202223261415181920212224[[#This Row],[Verbruik Kamertemp liter deze maand]]/0.15</f>
        <v>102.66666666666671</v>
      </c>
      <c r="AH54" s="53">
        <v>990.5</v>
      </c>
      <c r="AI54">
        <f>november2025!AH54</f>
        <v>918.4</v>
      </c>
      <c r="AJ54">
        <f>Tabel242567891011121314151716181921202223261415181920212224[[#This Row],[Stand Gekoeld liter einde maand]]-Tabel242567891011121314151716181921202223261415181920212224[[#This Row],[Stand Gekoeld liter vorige maand]]</f>
        <v>72.100000000000023</v>
      </c>
      <c r="AK54" s="2">
        <f>Tabel242567891011121314151716181921202223261415181920212224[[#This Row],[Verbruik Gekoeld liter deze maand]]/0.15</f>
        <v>480.66666666666686</v>
      </c>
      <c r="AL54" s="53">
        <v>887.4</v>
      </c>
      <c r="AM54">
        <f>november2025!AL54</f>
        <v>813.4</v>
      </c>
      <c r="AN54">
        <f>Tabel242567891011121314151716181921202223261415181920212224[[#This Row],[Stand Bruisend liter einde maand]]-Tabel242567891011121314151716181921202223261415181920212224[[#This Row],[Stand Bruisend liter vorige maand]]</f>
        <v>74</v>
      </c>
      <c r="AO54" s="2">
        <f>Tabel242567891011121314151716181921202223261415181920212224[[#This Row],[Verbruik Bruisend liter deze maand]]/0.15</f>
        <v>493.33333333333337</v>
      </c>
      <c r="AP54" s="53">
        <v>198.8</v>
      </c>
      <c r="AQ54">
        <f>november2025!AP54</f>
        <v>181.4</v>
      </c>
      <c r="AR54">
        <f>Tabel242567891011121314151716181921202223261415181920212224[[#This Row],[Stand licht bruisend liter einde maand]]-Tabel242567891011121314151716181921202223261415181920212224[[#This Row],[Stand licht bruisend liter vorige maand]]</f>
        <v>17.400000000000006</v>
      </c>
      <c r="AS54" s="2">
        <f>Tabel242567891011121314151716181921202223261415181920212224[[#This Row],[Verbruik licht bruisend liter deze maand]]/0.15</f>
        <v>116.00000000000004</v>
      </c>
      <c r="AT54" s="53">
        <v>2420</v>
      </c>
      <c r="AU54">
        <f>november2025!AT54</f>
        <v>2195.5</v>
      </c>
      <c r="AV54">
        <f>Tabel242567891011121314151716181921202223261415181920212224[[#This Row],[Stand heet water liter einde maand]]-Tabel242567891011121314151716181921202223261415181920212224[[#This Row],[Stand heet water liter vorige maand]]</f>
        <v>224.5</v>
      </c>
      <c r="AW54" s="2">
        <f>Tabel242567891011121314151716181921202223261415181920212224[[#This Row],[Verbruik heet Water liter deze maand ]]/0.15</f>
        <v>1496.6666666666667</v>
      </c>
      <c r="AX54" s="77">
        <f>Tabel242567891011121314151716181921202223261415181920212224[[#This Row],[Aantal consumpties heet water deze maand]]+Tabel242567891011121314151716181921202223261415181920212224[[#This Row],[Aantal consumpties licht bruisend water deze maand]]+Tabel242567891011121314151716181921202223261415181920212224[[#This Row],[aantal consumpties Bruisend water deze maand]]+Tabel242567891011121314151716181921202223261415181920212224[[#This Row],[Aantal consumpties gekoeld water deze maand]]+Tabel242567891011121314151716181921202223261415181920212224[[#This Row],[Aantal consumpties Kamertemp deze maand]]</f>
        <v>2689.3333333333335</v>
      </c>
      <c r="AY54" s="95">
        <f>Tabel242567891011121314151716181921202223261415181920212224[[#This Row],[Subtotaal waterbar in consumpties]]+Tabel242567891011121314151716181921202223261415181920212224[[#This Row],[Subtotaal koffieautomaten]]</f>
        <v>3145.3333333333335</v>
      </c>
    </row>
    <row r="55" spans="1:130" ht="14.45" customHeight="1" x14ac:dyDescent="0.25">
      <c r="A55" s="65" t="s">
        <v>48</v>
      </c>
      <c r="B55" t="s">
        <v>102</v>
      </c>
      <c r="C55" t="s">
        <v>31</v>
      </c>
      <c r="E55">
        <v>10422</v>
      </c>
      <c r="F55">
        <f>november2025!E55</f>
        <v>10173</v>
      </c>
      <c r="G55">
        <f>Tabel242567891011121314151716181921202223261415181920212224[[#This Row],[Stand Coffee einde maand]]-Tabel242567891011121314151716181921202223261415181920212224[[#This Row],[Coffee vorige maand]]</f>
        <v>249</v>
      </c>
      <c r="H55" s="53">
        <v>2424</v>
      </c>
      <c r="I55">
        <f>november2025!H55</f>
        <v>2408</v>
      </c>
      <c r="J55">
        <f>Tabel242567891011121314151716181921202223261415181920212224[[#This Row],[Stand Espresso Einde maand]]-Tabel242567891011121314151716181921202223261415181920212224[[#This Row],[Espresso vorige maand]]</f>
        <v>16</v>
      </c>
      <c r="K55" s="53">
        <v>1077</v>
      </c>
      <c r="L55">
        <f>november2025!K55</f>
        <v>1035</v>
      </c>
      <c r="M55">
        <f>Tabel242567891011121314151716181921202223261415181920212224[[#This Row],[Stand Latte Macchiato einde maand]]-Tabel242567891011121314151716181921202223261415181920212224[[#This Row],[Latte Macchiato vorige maand]]</f>
        <v>42</v>
      </c>
      <c r="N55" s="53">
        <v>598</v>
      </c>
      <c r="O55">
        <f>november2025!N55</f>
        <v>588</v>
      </c>
      <c r="P55">
        <f>Tabel242567891011121314151716181921202223261415181920212224[[#This Row],[Stand Coffee Latte einde maand]]-Tabel242567891011121314151716181921202223261415181920212224[[#This Row],[Coffee Latte vorige maand]]</f>
        <v>10</v>
      </c>
      <c r="Q55" s="53">
        <v>26462</v>
      </c>
      <c r="R55">
        <f>november2025!Q55</f>
        <v>25768</v>
      </c>
      <c r="S55">
        <f>Tabel242567891011121314151716181921202223261415181920212224[[#This Row],[Stand Hot Water einde maand]]-Tabel242567891011121314151716181921202223261415181920212224[[#This Row],[Hot Water vorige maand]]</f>
        <v>694</v>
      </c>
      <c r="T55" s="53">
        <v>4588</v>
      </c>
      <c r="U55">
        <f>november2025!T55</f>
        <v>4485</v>
      </c>
      <c r="V55">
        <f>Tabel242567891011121314151716181921202223261415181920212224[[#This Row],[Stand Cappucino einde maand]]-Tabel242567891011121314151716181921202223261415181920212224[[#This Row],[Stand Cappucino vorige maand]]</f>
        <v>103</v>
      </c>
      <c r="W55" s="53">
        <v>2032</v>
      </c>
      <c r="X55">
        <f>november2025!W55</f>
        <v>2018</v>
      </c>
      <c r="Y55">
        <f>Tabel242567891011121314151716181921202223261415181920212224[[#This Row],[Stand Cappucino Plantaardig einde maand]]-Tabel242567891011121314151716181921202223261415181920212224[[#This Row],[Stand Cappucino Plantaardig vorige maand]]</f>
        <v>14</v>
      </c>
      <c r="Z55" s="53">
        <v>262</v>
      </c>
      <c r="AA55">
        <f>november2025!Z55</f>
        <v>261</v>
      </c>
      <c r="AB55">
        <f>Tabel242567891011121314151716181921202223261415181920212224[[#This Row],[Stand Latte Macchiato Plantaardig einde maand]]-Tabel242567891011121314151716181921202223261415181920212224[[#This Row],[Stand Latte Macchiato Plantaardig vorige maand]]</f>
        <v>1</v>
      </c>
      <c r="AC55" s="71">
        <f>Tabel242567891011121314151716181921202223261415181920212224[[#This Row],[Verbruik Stand Latte Macchiato Plantaardig deze maand]]+Tabel242567891011121314151716181921202223261415181920212224[[#This Row],[Verbruik  Cappucino Plantaardig deze maand]]+Tabel242567891011121314151716181921202223261415181920212224[[#This Row],[Verbruik Cappucino deze maand]]+Tabel242567891011121314151716181921202223261415181920212224[[#This Row],[Verbruik Hot Water deze maand]]+Tabel242567891011121314151716181921202223261415181920212224[[#This Row],[Verbruik Coffee Latte deze maand]]+Tabel242567891011121314151716181921202223261415181920212224[[#This Row],[Verbruik Latte Macchiato deze maand]]+Tabel242567891011121314151716181921202223261415181920212224[[#This Row],[Verbruik Espresso deze maand]]+Tabel242567891011121314151716181921202223261415181920212224[[#This Row],[Verbruik Coffee deze maand]]</f>
        <v>1129</v>
      </c>
      <c r="AD55" s="69"/>
      <c r="AE55" s="41"/>
      <c r="AF55" s="5"/>
      <c r="AG55" s="5"/>
      <c r="AH55" s="75"/>
      <c r="AI55" s="41"/>
      <c r="AJ55" s="5"/>
      <c r="AK55" s="5"/>
      <c r="AL55" s="75"/>
      <c r="AM55" s="41"/>
      <c r="AN55" s="5"/>
      <c r="AO55" s="5"/>
      <c r="AP55" s="75"/>
      <c r="AQ55" s="41"/>
      <c r="AR55" s="5"/>
      <c r="AS55" s="5"/>
      <c r="AT55" s="75"/>
      <c r="AU55" s="41"/>
      <c r="AV55" s="5"/>
      <c r="AW55" s="5"/>
      <c r="AX55" s="79"/>
      <c r="AY55" s="95">
        <f>Tabel242567891011121314151716181921202223261415181920212224[[#This Row],[Subtotaal waterbar in consumpties]]+Tabel242567891011121314151716181921202223261415181920212224[[#This Row],[Subtotaal koffieautomaten]]</f>
        <v>1129</v>
      </c>
    </row>
    <row r="56" spans="1:130" ht="14.45" customHeight="1" x14ac:dyDescent="0.25">
      <c r="A56" s="65" t="s">
        <v>50</v>
      </c>
      <c r="B56" t="s">
        <v>103</v>
      </c>
      <c r="C56" t="s">
        <v>47</v>
      </c>
      <c r="E56">
        <v>10319</v>
      </c>
      <c r="F56">
        <f>november2025!E56</f>
        <v>10118</v>
      </c>
      <c r="G56">
        <f>Tabel242567891011121314151716181921202223261415181920212224[[#This Row],[Stand Coffee einde maand]]-Tabel242567891011121314151716181921202223261415181920212224[[#This Row],[Coffee vorige maand]]</f>
        <v>201</v>
      </c>
      <c r="H56" s="53">
        <v>4582</v>
      </c>
      <c r="I56">
        <f>november2025!H56</f>
        <v>4465</v>
      </c>
      <c r="J56">
        <f>Tabel242567891011121314151716181921202223261415181920212224[[#This Row],[Stand Espresso Einde maand]]-Tabel242567891011121314151716181921202223261415181920212224[[#This Row],[Espresso vorige maand]]</f>
        <v>117</v>
      </c>
      <c r="K56" s="53">
        <v>377</v>
      </c>
      <c r="L56">
        <f>november2025!K56</f>
        <v>370</v>
      </c>
      <c r="M56">
        <f>Tabel242567891011121314151716181921202223261415181920212224[[#This Row],[Stand Latte Macchiato einde maand]]-Tabel242567891011121314151716181921202223261415181920212224[[#This Row],[Latte Macchiato vorige maand]]</f>
        <v>7</v>
      </c>
      <c r="N56" s="53">
        <v>140</v>
      </c>
      <c r="O56">
        <f>november2025!N56</f>
        <v>138</v>
      </c>
      <c r="P56">
        <f>Tabel242567891011121314151716181921202223261415181920212224[[#This Row],[Stand Coffee Latte einde maand]]-Tabel242567891011121314151716181921202223261415181920212224[[#This Row],[Coffee Latte vorige maand]]</f>
        <v>2</v>
      </c>
      <c r="Q56" s="53">
        <v>0</v>
      </c>
      <c r="R56">
        <f>november2025!Q56</f>
        <v>0</v>
      </c>
      <c r="S56">
        <f>Tabel242567891011121314151716181921202223261415181920212224[[#This Row],[Stand Hot Water einde maand]]-Tabel242567891011121314151716181921202223261415181920212224[[#This Row],[Hot Water vorige maand]]</f>
        <v>0</v>
      </c>
      <c r="T56" s="53">
        <v>8147</v>
      </c>
      <c r="U56">
        <f>november2025!T56</f>
        <v>7978</v>
      </c>
      <c r="V56">
        <f>Tabel242567891011121314151716181921202223261415181920212224[[#This Row],[Stand Cappucino einde maand]]-Tabel242567891011121314151716181921202223261415181920212224[[#This Row],[Stand Cappucino vorige maand]]</f>
        <v>169</v>
      </c>
      <c r="W56" s="53">
        <v>763</v>
      </c>
      <c r="X56">
        <f>november2025!W56</f>
        <v>752</v>
      </c>
      <c r="Y56">
        <f>Tabel242567891011121314151716181921202223261415181920212224[[#This Row],[Stand Cappucino Plantaardig einde maand]]-Tabel242567891011121314151716181921202223261415181920212224[[#This Row],[Stand Cappucino Plantaardig vorige maand]]</f>
        <v>11</v>
      </c>
      <c r="Z56" s="53">
        <v>139</v>
      </c>
      <c r="AA56">
        <f>november2025!Z56</f>
        <v>136</v>
      </c>
      <c r="AB56">
        <f>Tabel242567891011121314151716181921202223261415181920212224[[#This Row],[Stand Latte Macchiato Plantaardig einde maand]]-Tabel242567891011121314151716181921202223261415181920212224[[#This Row],[Stand Latte Macchiato Plantaardig vorige maand]]</f>
        <v>3</v>
      </c>
      <c r="AC56" s="71">
        <f>Tabel242567891011121314151716181921202223261415181920212224[[#This Row],[Verbruik Stand Latte Macchiato Plantaardig deze maand]]+Tabel242567891011121314151716181921202223261415181920212224[[#This Row],[Verbruik  Cappucino Plantaardig deze maand]]+Tabel242567891011121314151716181921202223261415181920212224[[#This Row],[Verbruik Cappucino deze maand]]+Tabel242567891011121314151716181921202223261415181920212224[[#This Row],[Verbruik Hot Water deze maand]]+Tabel242567891011121314151716181921202223261415181920212224[[#This Row],[Verbruik Coffee Latte deze maand]]+Tabel242567891011121314151716181921202223261415181920212224[[#This Row],[Verbruik Latte Macchiato deze maand]]+Tabel242567891011121314151716181921202223261415181920212224[[#This Row],[Verbruik Espresso deze maand]]+Tabel242567891011121314151716181921202223261415181920212224[[#This Row],[Verbruik Coffee deze maand]]</f>
        <v>510</v>
      </c>
      <c r="AD56" s="53">
        <v>191.3</v>
      </c>
      <c r="AE56">
        <f>november2025!AD56</f>
        <v>172.5</v>
      </c>
      <c r="AF56">
        <f>Tabel242567891011121314151716181921202223261415181920212224[[#This Row],[Stand Kamertemp liter einde maand]]-Tabel242567891011121314151716181921202223261415181920212224[[#This Row],[Stand Kamertemp liter vorige maand]]</f>
        <v>18.800000000000011</v>
      </c>
      <c r="AG56" s="2">
        <f>Tabel242567891011121314151716181921202223261415181920212224[[#This Row],[Verbruik Kamertemp liter deze maand]]/0.15</f>
        <v>125.33333333333341</v>
      </c>
      <c r="AH56" s="53">
        <v>1035.8</v>
      </c>
      <c r="AI56">
        <f>november2025!AH56</f>
        <v>955.8</v>
      </c>
      <c r="AJ56">
        <f>Tabel242567891011121314151716181921202223261415181920212224[[#This Row],[Stand Gekoeld liter einde maand]]-Tabel242567891011121314151716181921202223261415181920212224[[#This Row],[Stand Gekoeld liter vorige maand]]</f>
        <v>80</v>
      </c>
      <c r="AK56" s="2">
        <f>Tabel242567891011121314151716181921202223261415181920212224[[#This Row],[Verbruik Gekoeld liter deze maand]]/0.15</f>
        <v>533.33333333333337</v>
      </c>
      <c r="AL56" s="53">
        <v>1094.0999999999999</v>
      </c>
      <c r="AM56">
        <f>november2025!AL56</f>
        <v>1027.2</v>
      </c>
      <c r="AN56">
        <f>Tabel242567891011121314151716181921202223261415181920212224[[#This Row],[Stand Bruisend liter einde maand]]-Tabel242567891011121314151716181921202223261415181920212224[[#This Row],[Stand Bruisend liter vorige maand]]</f>
        <v>66.899999999999864</v>
      </c>
      <c r="AO56" s="2">
        <f>Tabel242567891011121314151716181921202223261415181920212224[[#This Row],[Verbruik Bruisend liter deze maand]]/0.15</f>
        <v>445.99999999999909</v>
      </c>
      <c r="AP56" s="53">
        <v>361.4</v>
      </c>
      <c r="AQ56">
        <f>november2025!AP56</f>
        <v>346.6</v>
      </c>
      <c r="AR56">
        <f>Tabel242567891011121314151716181921202223261415181920212224[[#This Row],[Stand licht bruisend liter einde maand]]-Tabel242567891011121314151716181921202223261415181920212224[[#This Row],[Stand licht bruisend liter vorige maand]]</f>
        <v>14.799999999999955</v>
      </c>
      <c r="AS56" s="2">
        <f>Tabel242567891011121314151716181921202223261415181920212224[[#This Row],[Verbruik licht bruisend liter deze maand]]/0.15</f>
        <v>98.666666666666373</v>
      </c>
      <c r="AT56" s="53">
        <v>3449.4</v>
      </c>
      <c r="AU56">
        <f>november2025!AT56</f>
        <v>3166.6</v>
      </c>
      <c r="AV56">
        <f>Tabel242567891011121314151716181921202223261415181920212224[[#This Row],[Stand heet water liter einde maand]]-Tabel242567891011121314151716181921202223261415181920212224[[#This Row],[Stand heet water liter vorige maand]]</f>
        <v>282.80000000000018</v>
      </c>
      <c r="AW56" s="2">
        <f>Tabel242567891011121314151716181921202223261415181920212224[[#This Row],[Verbruik heet Water liter deze maand ]]/0.15</f>
        <v>1885.3333333333346</v>
      </c>
      <c r="AX56" s="77">
        <f>Tabel242567891011121314151716181921202223261415181920212224[[#This Row],[Aantal consumpties heet water deze maand]]+Tabel242567891011121314151716181921202223261415181920212224[[#This Row],[Aantal consumpties licht bruisend water deze maand]]+Tabel242567891011121314151716181921202223261415181920212224[[#This Row],[aantal consumpties Bruisend water deze maand]]+Tabel242567891011121314151716181921202223261415181920212224[[#This Row],[Aantal consumpties gekoeld water deze maand]]+Tabel242567891011121314151716181921202223261415181920212224[[#This Row],[Aantal consumpties Kamertemp deze maand]]</f>
        <v>3088.666666666667</v>
      </c>
      <c r="AY56" s="95">
        <f>Tabel242567891011121314151716181921202223261415181920212224[[#This Row],[Subtotaal waterbar in consumpties]]+Tabel242567891011121314151716181921202223261415181920212224[[#This Row],[Subtotaal koffieautomaten]]</f>
        <v>3598.666666666667</v>
      </c>
    </row>
    <row r="57" spans="1:130" ht="14.45" customHeight="1" x14ac:dyDescent="0.25">
      <c r="A57" s="65" t="s">
        <v>52</v>
      </c>
      <c r="B57" t="s">
        <v>104</v>
      </c>
      <c r="C57" t="s">
        <v>47</v>
      </c>
      <c r="E57">
        <v>5677</v>
      </c>
      <c r="F57">
        <f>november2025!E57</f>
        <v>5512</v>
      </c>
      <c r="G57">
        <f>Tabel242567891011121314151716181921202223261415181920212224[[#This Row],[Stand Coffee einde maand]]-Tabel242567891011121314151716181921202223261415181920212224[[#This Row],[Coffee vorige maand]]</f>
        <v>165</v>
      </c>
      <c r="H57" s="53">
        <v>985</v>
      </c>
      <c r="I57">
        <f>november2025!H57</f>
        <v>946</v>
      </c>
      <c r="J57">
        <f>Tabel242567891011121314151716181921202223261415181920212224[[#This Row],[Stand Espresso Einde maand]]-Tabel242567891011121314151716181921202223261415181920212224[[#This Row],[Espresso vorige maand]]</f>
        <v>39</v>
      </c>
      <c r="K57" s="53">
        <v>529</v>
      </c>
      <c r="L57">
        <f>november2025!K57</f>
        <v>511</v>
      </c>
      <c r="M57">
        <f>Tabel242567891011121314151716181921202223261415181920212224[[#This Row],[Stand Latte Macchiato einde maand]]-Tabel242567891011121314151716181921202223261415181920212224[[#This Row],[Latte Macchiato vorige maand]]</f>
        <v>18</v>
      </c>
      <c r="N57" s="53">
        <v>1366</v>
      </c>
      <c r="O57">
        <f>november2025!N57</f>
        <v>1318</v>
      </c>
      <c r="P57">
        <f>Tabel242567891011121314151716181921202223261415181920212224[[#This Row],[Stand Coffee Latte einde maand]]-Tabel242567891011121314151716181921202223261415181920212224[[#This Row],[Coffee Latte vorige maand]]</f>
        <v>48</v>
      </c>
      <c r="Q57" s="53">
        <v>952</v>
      </c>
      <c r="R57">
        <f>november2025!Q57</f>
        <v>939</v>
      </c>
      <c r="S57">
        <f>Tabel242567891011121314151716181921202223261415181920212224[[#This Row],[Stand Hot Water einde maand]]-Tabel242567891011121314151716181921202223261415181920212224[[#This Row],[Hot Water vorige maand]]</f>
        <v>13</v>
      </c>
      <c r="T57" s="53">
        <v>5787</v>
      </c>
      <c r="U57">
        <f>november2025!T57</f>
        <v>5629</v>
      </c>
      <c r="V57">
        <f>Tabel242567891011121314151716181921202223261415181920212224[[#This Row],[Stand Cappucino einde maand]]-Tabel242567891011121314151716181921202223261415181920212224[[#This Row],[Stand Cappucino vorige maand]]</f>
        <v>158</v>
      </c>
      <c r="W57" s="53">
        <v>968</v>
      </c>
      <c r="X57">
        <f>november2025!W57</f>
        <v>954</v>
      </c>
      <c r="Y57">
        <f>Tabel242567891011121314151716181921202223261415181920212224[[#This Row],[Stand Cappucino Plantaardig einde maand]]-Tabel242567891011121314151716181921202223261415181920212224[[#This Row],[Stand Cappucino Plantaardig vorige maand]]</f>
        <v>14</v>
      </c>
      <c r="Z57" s="53">
        <v>197</v>
      </c>
      <c r="AA57">
        <f>november2025!Z57</f>
        <v>180</v>
      </c>
      <c r="AB57">
        <f>Tabel242567891011121314151716181921202223261415181920212224[[#This Row],[Stand Latte Macchiato Plantaardig einde maand]]-Tabel242567891011121314151716181921202223261415181920212224[[#This Row],[Stand Latte Macchiato Plantaardig vorige maand]]</f>
        <v>17</v>
      </c>
      <c r="AC57" s="71">
        <f>Tabel242567891011121314151716181921202223261415181920212224[[#This Row],[Verbruik Stand Latte Macchiato Plantaardig deze maand]]+Tabel242567891011121314151716181921202223261415181920212224[[#This Row],[Verbruik  Cappucino Plantaardig deze maand]]+Tabel242567891011121314151716181921202223261415181920212224[[#This Row],[Verbruik Cappucino deze maand]]+Tabel242567891011121314151716181921202223261415181920212224[[#This Row],[Verbruik Hot Water deze maand]]+Tabel242567891011121314151716181921202223261415181920212224[[#This Row],[Verbruik Coffee Latte deze maand]]+Tabel242567891011121314151716181921202223261415181920212224[[#This Row],[Verbruik Latte Macchiato deze maand]]+Tabel242567891011121314151716181921202223261415181920212224[[#This Row],[Verbruik Espresso deze maand]]+Tabel242567891011121314151716181921202223261415181920212224[[#This Row],[Verbruik Coffee deze maand]]</f>
        <v>472</v>
      </c>
      <c r="AD57" s="53">
        <v>44.8</v>
      </c>
      <c r="AE57">
        <f>november2025!AD57</f>
        <v>35.9</v>
      </c>
      <c r="AF57">
        <f>Tabel242567891011121314151716181921202223261415181920212224[[#This Row],[Stand Kamertemp liter einde maand]]-Tabel242567891011121314151716181921202223261415181920212224[[#This Row],[Stand Kamertemp liter vorige maand]]</f>
        <v>8.8999999999999986</v>
      </c>
      <c r="AG57" s="2">
        <f>Tabel242567891011121314151716181921202223261415181920212224[[#This Row],[Verbruik Kamertemp liter deze maand]]/0.15</f>
        <v>59.333333333333329</v>
      </c>
      <c r="AH57" s="53">
        <v>497.6</v>
      </c>
      <c r="AI57">
        <f>november2025!AH57</f>
        <v>441</v>
      </c>
      <c r="AJ57">
        <f>Tabel242567891011121314151716181921202223261415181920212224[[#This Row],[Stand Gekoeld liter einde maand]]-Tabel242567891011121314151716181921202223261415181920212224[[#This Row],[Stand Gekoeld liter vorige maand]]</f>
        <v>56.600000000000023</v>
      </c>
      <c r="AK57" s="2">
        <f>Tabel242567891011121314151716181921202223261415181920212224[[#This Row],[Verbruik Gekoeld liter deze maand]]/0.15</f>
        <v>377.33333333333348</v>
      </c>
      <c r="AL57" s="53">
        <v>220.6</v>
      </c>
      <c r="AM57">
        <f>november2025!AL57</f>
        <v>187.8</v>
      </c>
      <c r="AN57">
        <f>Tabel242567891011121314151716181921202223261415181920212224[[#This Row],[Stand Bruisend liter einde maand]]-Tabel242567891011121314151716181921202223261415181920212224[[#This Row],[Stand Bruisend liter vorige maand]]</f>
        <v>32.799999999999983</v>
      </c>
      <c r="AO57" s="2">
        <f>Tabel242567891011121314151716181921202223261415181920212224[[#This Row],[Verbruik Bruisend liter deze maand]]/0.15</f>
        <v>218.66666666666657</v>
      </c>
      <c r="AP57" s="53">
        <v>70.3</v>
      </c>
      <c r="AQ57">
        <f>november2025!AP57</f>
        <v>62.5</v>
      </c>
      <c r="AR57">
        <f>Tabel242567891011121314151716181921202223261415181920212224[[#This Row],[Stand licht bruisend liter einde maand]]-Tabel242567891011121314151716181921202223261415181920212224[[#This Row],[Stand licht bruisend liter vorige maand]]</f>
        <v>7.7999999999999972</v>
      </c>
      <c r="AS57" s="2">
        <f>Tabel242567891011121314151716181921202223261415181920212224[[#This Row],[Verbruik licht bruisend liter deze maand]]/0.15</f>
        <v>51.999999999999986</v>
      </c>
      <c r="AT57" s="53">
        <v>1412.5</v>
      </c>
      <c r="AU57">
        <f>november2025!AT57</f>
        <v>1181.0999999999999</v>
      </c>
      <c r="AV57">
        <f>Tabel242567891011121314151716181921202223261415181920212224[[#This Row],[Stand heet water liter einde maand]]-Tabel242567891011121314151716181921202223261415181920212224[[#This Row],[Stand heet water liter vorige maand]]</f>
        <v>231.40000000000009</v>
      </c>
      <c r="AW57" s="2">
        <f>Tabel242567891011121314151716181921202223261415181920212224[[#This Row],[Verbruik heet Water liter deze maand ]]/0.15</f>
        <v>1542.6666666666674</v>
      </c>
      <c r="AX57" s="77">
        <f>Tabel242567891011121314151716181921202223261415181920212224[[#This Row],[Aantal consumpties heet water deze maand]]+Tabel242567891011121314151716181921202223261415181920212224[[#This Row],[Aantal consumpties licht bruisend water deze maand]]+Tabel242567891011121314151716181921202223261415181920212224[[#This Row],[aantal consumpties Bruisend water deze maand]]+Tabel242567891011121314151716181921202223261415181920212224[[#This Row],[Aantal consumpties gekoeld water deze maand]]+Tabel242567891011121314151716181921202223261415181920212224[[#This Row],[Aantal consumpties Kamertemp deze maand]]</f>
        <v>2250.0000000000009</v>
      </c>
      <c r="AY57" s="95">
        <f>Tabel242567891011121314151716181921202223261415181920212224[[#This Row],[Subtotaal waterbar in consumpties]]+Tabel242567891011121314151716181921202223261415181920212224[[#This Row],[Subtotaal koffieautomaten]]</f>
        <v>2722.0000000000009</v>
      </c>
    </row>
    <row r="58" spans="1:130" ht="14.45" customHeight="1" x14ac:dyDescent="0.25">
      <c r="A58" s="65" t="s">
        <v>54</v>
      </c>
      <c r="B58" t="s">
        <v>105</v>
      </c>
      <c r="C58" t="s">
        <v>31</v>
      </c>
      <c r="E58">
        <v>9155</v>
      </c>
      <c r="F58">
        <f>november2025!E58</f>
        <v>8981</v>
      </c>
      <c r="G58">
        <f>Tabel242567891011121314151716181921202223261415181920212224[[#This Row],[Stand Coffee einde maand]]-Tabel242567891011121314151716181921202223261415181920212224[[#This Row],[Coffee vorige maand]]</f>
        <v>174</v>
      </c>
      <c r="H58" s="53">
        <v>4371</v>
      </c>
      <c r="I58">
        <f>november2025!H58</f>
        <v>4273</v>
      </c>
      <c r="J58">
        <f>Tabel242567891011121314151716181921202223261415181920212224[[#This Row],[Stand Espresso Einde maand]]-Tabel242567891011121314151716181921202223261415181920212224[[#This Row],[Espresso vorige maand]]</f>
        <v>98</v>
      </c>
      <c r="K58" s="53">
        <v>3605</v>
      </c>
      <c r="L58">
        <f>november2025!K58</f>
        <v>3571</v>
      </c>
      <c r="M58">
        <f>Tabel242567891011121314151716181921202223261415181920212224[[#This Row],[Stand Latte Macchiato einde maand]]-Tabel242567891011121314151716181921202223261415181920212224[[#This Row],[Latte Macchiato vorige maand]]</f>
        <v>34</v>
      </c>
      <c r="N58" s="53">
        <v>1209</v>
      </c>
      <c r="O58">
        <f>november2025!N58</f>
        <v>1180</v>
      </c>
      <c r="P58">
        <f>Tabel242567891011121314151716181921202223261415181920212224[[#This Row],[Stand Coffee Latte einde maand]]-Tabel242567891011121314151716181921202223261415181920212224[[#This Row],[Coffee Latte vorige maand]]</f>
        <v>29</v>
      </c>
      <c r="Q58" s="53">
        <v>39707</v>
      </c>
      <c r="R58">
        <f>november2025!Q58</f>
        <v>38792</v>
      </c>
      <c r="S58">
        <f>Tabel242567891011121314151716181921202223261415181920212224[[#This Row],[Stand Hot Water einde maand]]-Tabel242567891011121314151716181921202223261415181920212224[[#This Row],[Hot Water vorige maand]]</f>
        <v>915</v>
      </c>
      <c r="T58" s="53">
        <v>7508</v>
      </c>
      <c r="U58">
        <f>november2025!T58</f>
        <v>7381</v>
      </c>
      <c r="V58">
        <f>Tabel242567891011121314151716181921202223261415181920212224[[#This Row],[Stand Cappucino einde maand]]-Tabel242567891011121314151716181921202223261415181920212224[[#This Row],[Stand Cappucino vorige maand]]</f>
        <v>127</v>
      </c>
      <c r="W58" s="53">
        <v>1188</v>
      </c>
      <c r="X58">
        <f>november2025!W58</f>
        <v>1173</v>
      </c>
      <c r="Y58">
        <f>Tabel242567891011121314151716181921202223261415181920212224[[#This Row],[Stand Cappucino Plantaardig einde maand]]-Tabel242567891011121314151716181921202223261415181920212224[[#This Row],[Stand Cappucino Plantaardig vorige maand]]</f>
        <v>15</v>
      </c>
      <c r="Z58" s="53">
        <v>324</v>
      </c>
      <c r="AA58">
        <f>november2025!Z58</f>
        <v>311</v>
      </c>
      <c r="AB58">
        <f>Tabel242567891011121314151716181921202223261415181920212224[[#This Row],[Stand Latte Macchiato Plantaardig einde maand]]-Tabel242567891011121314151716181921202223261415181920212224[[#This Row],[Stand Latte Macchiato Plantaardig vorige maand]]</f>
        <v>13</v>
      </c>
      <c r="AC58" s="71">
        <f>Tabel242567891011121314151716181921202223261415181920212224[[#This Row],[Verbruik Stand Latte Macchiato Plantaardig deze maand]]+Tabel242567891011121314151716181921202223261415181920212224[[#This Row],[Verbruik  Cappucino Plantaardig deze maand]]+Tabel242567891011121314151716181921202223261415181920212224[[#This Row],[Verbruik Cappucino deze maand]]+Tabel242567891011121314151716181921202223261415181920212224[[#This Row],[Verbruik Hot Water deze maand]]+Tabel242567891011121314151716181921202223261415181920212224[[#This Row],[Verbruik Coffee Latte deze maand]]+Tabel242567891011121314151716181921202223261415181920212224[[#This Row],[Verbruik Latte Macchiato deze maand]]+Tabel242567891011121314151716181921202223261415181920212224[[#This Row],[Verbruik Espresso deze maand]]+Tabel242567891011121314151716181921202223261415181920212224[[#This Row],[Verbruik Coffee deze maand]]</f>
        <v>1405</v>
      </c>
      <c r="AD58" s="69"/>
      <c r="AE58" s="41"/>
      <c r="AF58" s="5"/>
      <c r="AG58" s="5"/>
      <c r="AH58" s="75"/>
      <c r="AI58" s="41"/>
      <c r="AJ58" s="5"/>
      <c r="AK58" s="5"/>
      <c r="AL58" s="75"/>
      <c r="AM58" s="41"/>
      <c r="AN58" s="5"/>
      <c r="AO58" s="5"/>
      <c r="AP58" s="75"/>
      <c r="AQ58" s="41"/>
      <c r="AR58" s="5"/>
      <c r="AS58" s="5"/>
      <c r="AT58" s="75"/>
      <c r="AU58" s="41"/>
      <c r="AV58" s="5"/>
      <c r="AW58" s="5"/>
      <c r="AX58" s="79"/>
      <c r="AY58" s="95">
        <f>Tabel242567891011121314151716181921202223261415181920212224[[#This Row],[Subtotaal waterbar in consumpties]]+Tabel242567891011121314151716181921202223261415181920212224[[#This Row],[Subtotaal koffieautomaten]]</f>
        <v>1405</v>
      </c>
    </row>
    <row r="59" spans="1:130" ht="14.45" customHeight="1" x14ac:dyDescent="0.25">
      <c r="A59" s="65" t="s">
        <v>56</v>
      </c>
      <c r="B59" t="s">
        <v>106</v>
      </c>
      <c r="C59" t="s">
        <v>47</v>
      </c>
      <c r="E59">
        <v>14831</v>
      </c>
      <c r="F59">
        <f>november2025!E59</f>
        <v>14491</v>
      </c>
      <c r="G59">
        <f>Tabel242567891011121314151716181921202223261415181920212224[[#This Row],[Stand Coffee einde maand]]-Tabel242567891011121314151716181921202223261415181920212224[[#This Row],[Coffee vorige maand]]</f>
        <v>340</v>
      </c>
      <c r="H59" s="53">
        <v>4660</v>
      </c>
      <c r="I59">
        <f>november2025!H59</f>
        <v>4525</v>
      </c>
      <c r="J59">
        <f>Tabel242567891011121314151716181921202223261415181920212224[[#This Row],[Stand Espresso Einde maand]]-Tabel242567891011121314151716181921202223261415181920212224[[#This Row],[Espresso vorige maand]]</f>
        <v>135</v>
      </c>
      <c r="K59" s="53">
        <v>4034</v>
      </c>
      <c r="L59">
        <f>november2025!K59</f>
        <v>3937</v>
      </c>
      <c r="M59">
        <f>Tabel242567891011121314151716181921202223261415181920212224[[#This Row],[Stand Latte Macchiato einde maand]]-Tabel242567891011121314151716181921202223261415181920212224[[#This Row],[Latte Macchiato vorige maand]]</f>
        <v>97</v>
      </c>
      <c r="N59" s="53">
        <v>492</v>
      </c>
      <c r="O59">
        <f>november2025!N59</f>
        <v>479</v>
      </c>
      <c r="P59">
        <f>Tabel242567891011121314151716181921202223261415181920212224[[#This Row],[Stand Coffee Latte einde maand]]-Tabel242567891011121314151716181921202223261415181920212224[[#This Row],[Coffee Latte vorige maand]]</f>
        <v>13</v>
      </c>
      <c r="Q59" s="53">
        <v>1</v>
      </c>
      <c r="R59">
        <f>november2025!Q59</f>
        <v>1</v>
      </c>
      <c r="S59">
        <f>Tabel242567891011121314151716181921202223261415181920212224[[#This Row],[Stand Hot Water einde maand]]-Tabel242567891011121314151716181921202223261415181920212224[[#This Row],[Hot Water vorige maand]]</f>
        <v>0</v>
      </c>
      <c r="T59" s="53">
        <v>7692</v>
      </c>
      <c r="U59">
        <f>november2025!T59</f>
        <v>7566</v>
      </c>
      <c r="V59">
        <f>Tabel242567891011121314151716181921202223261415181920212224[[#This Row],[Stand Cappucino einde maand]]-Tabel242567891011121314151716181921202223261415181920212224[[#This Row],[Stand Cappucino vorige maand]]</f>
        <v>126</v>
      </c>
      <c r="W59" s="53">
        <v>1369</v>
      </c>
      <c r="X59">
        <f>november2025!W59</f>
        <v>1363</v>
      </c>
      <c r="Y59">
        <f>Tabel242567891011121314151716181921202223261415181920212224[[#This Row],[Stand Cappucino Plantaardig einde maand]]-Tabel242567891011121314151716181921202223261415181920212224[[#This Row],[Stand Cappucino Plantaardig vorige maand]]</f>
        <v>6</v>
      </c>
      <c r="Z59" s="53">
        <v>215</v>
      </c>
      <c r="AA59">
        <f>november2025!Z59</f>
        <v>208</v>
      </c>
      <c r="AB59">
        <f>Tabel242567891011121314151716181921202223261415181920212224[[#This Row],[Stand Latte Macchiato Plantaardig einde maand]]-Tabel242567891011121314151716181921202223261415181920212224[[#This Row],[Stand Latte Macchiato Plantaardig vorige maand]]</f>
        <v>7</v>
      </c>
      <c r="AC59" s="71">
        <f>Tabel242567891011121314151716181921202223261415181920212224[[#This Row],[Verbruik Stand Latte Macchiato Plantaardig deze maand]]+Tabel242567891011121314151716181921202223261415181920212224[[#This Row],[Verbruik  Cappucino Plantaardig deze maand]]+Tabel242567891011121314151716181921202223261415181920212224[[#This Row],[Verbruik Cappucino deze maand]]+Tabel242567891011121314151716181921202223261415181920212224[[#This Row],[Verbruik Hot Water deze maand]]+Tabel242567891011121314151716181921202223261415181920212224[[#This Row],[Verbruik Coffee Latte deze maand]]+Tabel242567891011121314151716181921202223261415181920212224[[#This Row],[Verbruik Latte Macchiato deze maand]]+Tabel242567891011121314151716181921202223261415181920212224[[#This Row],[Verbruik Espresso deze maand]]+Tabel242567891011121314151716181921202223261415181920212224[[#This Row],[Verbruik Coffee deze maand]]</f>
        <v>724</v>
      </c>
      <c r="AD59" s="53">
        <v>35.299999999999997</v>
      </c>
      <c r="AE59">
        <f>november2025!AD59</f>
        <v>17.8</v>
      </c>
      <c r="AF59">
        <f>Tabel242567891011121314151716181921202223261415181920212224[[#This Row],[Stand Kamertemp liter einde maand]]-Tabel242567891011121314151716181921202223261415181920212224[[#This Row],[Stand Kamertemp liter vorige maand]]</f>
        <v>17.499999999999996</v>
      </c>
      <c r="AG59" s="2">
        <f>Tabel242567891011121314151716181921202223261415181920212224[[#This Row],[Verbruik Kamertemp liter deze maand]]/0.15</f>
        <v>116.66666666666664</v>
      </c>
      <c r="AH59" s="53">
        <v>367.79999999999995</v>
      </c>
      <c r="AI59">
        <f>november2025!AH59</f>
        <v>269.39999999999998</v>
      </c>
      <c r="AJ59">
        <f>Tabel242567891011121314151716181921202223261415181920212224[[#This Row],[Stand Gekoeld liter einde maand]]-Tabel242567891011121314151716181921202223261415181920212224[[#This Row],[Stand Gekoeld liter vorige maand]]</f>
        <v>98.399999999999977</v>
      </c>
      <c r="AK59" s="2">
        <f>Tabel242567891011121314151716181921202223261415181920212224[[#This Row],[Verbruik Gekoeld liter deze maand]]/0.15</f>
        <v>655.99999999999989</v>
      </c>
      <c r="AL59" s="53">
        <v>225.4</v>
      </c>
      <c r="AM59">
        <f>november2025!AL59</f>
        <v>153.19999999999999</v>
      </c>
      <c r="AN59">
        <f>Tabel242567891011121314151716181921202223261415181920212224[[#This Row],[Stand Bruisend liter einde maand]]-Tabel242567891011121314151716181921202223261415181920212224[[#This Row],[Stand Bruisend liter vorige maand]]</f>
        <v>72.200000000000017</v>
      </c>
      <c r="AO59" s="2">
        <f>Tabel242567891011121314151716181921202223261415181920212224[[#This Row],[Verbruik Bruisend liter deze maand]]/0.15</f>
        <v>481.33333333333348</v>
      </c>
      <c r="AP59" s="53">
        <v>82.8</v>
      </c>
      <c r="AQ59">
        <f>november2025!AP59</f>
        <v>55.7</v>
      </c>
      <c r="AR59">
        <f>Tabel242567891011121314151716181921202223261415181920212224[[#This Row],[Stand licht bruisend liter einde maand]]-Tabel242567891011121314151716181921202223261415181920212224[[#This Row],[Stand licht bruisend liter vorige maand]]</f>
        <v>27.099999999999994</v>
      </c>
      <c r="AS59" s="2">
        <f>Tabel242567891011121314151716181921202223261415181920212224[[#This Row],[Verbruik licht bruisend liter deze maand]]/0.15</f>
        <v>180.66666666666663</v>
      </c>
      <c r="AT59" s="53">
        <v>589.29999999999995</v>
      </c>
      <c r="AU59">
        <f>november2025!AT59</f>
        <v>411.8</v>
      </c>
      <c r="AV59">
        <f>Tabel242567891011121314151716181921202223261415181920212224[[#This Row],[Stand heet water liter einde maand]]-Tabel242567891011121314151716181921202223261415181920212224[[#This Row],[Stand heet water liter vorige maand]]</f>
        <v>177.49999999999994</v>
      </c>
      <c r="AW59" s="2">
        <f>Tabel242567891011121314151716181921202223261415181920212224[[#This Row],[Verbruik heet Water liter deze maand ]]/0.15</f>
        <v>1183.333333333333</v>
      </c>
      <c r="AX59" s="77">
        <f>Tabel242567891011121314151716181921202223261415181920212224[[#This Row],[Aantal consumpties heet water deze maand]]+Tabel242567891011121314151716181921202223261415181920212224[[#This Row],[Aantal consumpties licht bruisend water deze maand]]+Tabel242567891011121314151716181921202223261415181920212224[[#This Row],[aantal consumpties Bruisend water deze maand]]+Tabel242567891011121314151716181921202223261415181920212224[[#This Row],[Aantal consumpties gekoeld water deze maand]]+Tabel242567891011121314151716181921202223261415181920212224[[#This Row],[Aantal consumpties Kamertemp deze maand]]</f>
        <v>2617.9999999999995</v>
      </c>
      <c r="AY59" s="95">
        <f>Tabel242567891011121314151716181921202223261415181920212224[[#This Row],[Subtotaal waterbar in consumpties]]+Tabel242567891011121314151716181921202223261415181920212224[[#This Row],[Subtotaal koffieautomaten]]</f>
        <v>3341.9999999999995</v>
      </c>
    </row>
    <row r="60" spans="1:130" ht="14.45" customHeight="1" x14ac:dyDescent="0.25">
      <c r="A60" s="65" t="s">
        <v>58</v>
      </c>
      <c r="B60" t="s">
        <v>107</v>
      </c>
      <c r="C60" t="s">
        <v>31</v>
      </c>
      <c r="E60">
        <v>16305</v>
      </c>
      <c r="F60">
        <f>november2025!E60</f>
        <v>15905</v>
      </c>
      <c r="G60">
        <f>Tabel242567891011121314151716181921202223261415181920212224[[#This Row],[Stand Coffee einde maand]]-Tabel242567891011121314151716181921202223261415181920212224[[#This Row],[Coffee vorige maand]]</f>
        <v>400</v>
      </c>
      <c r="H60" s="53">
        <v>3346</v>
      </c>
      <c r="I60">
        <f>november2025!H60</f>
        <v>3267</v>
      </c>
      <c r="J60">
        <f>Tabel242567891011121314151716181921202223261415181920212224[[#This Row],[Stand Espresso Einde maand]]-Tabel242567891011121314151716181921202223261415181920212224[[#This Row],[Espresso vorige maand]]</f>
        <v>79</v>
      </c>
      <c r="K60" s="53">
        <v>2370</v>
      </c>
      <c r="L60">
        <f>november2025!K60</f>
        <v>2320</v>
      </c>
      <c r="M60">
        <f>Tabel242567891011121314151716181921202223261415181920212224[[#This Row],[Stand Latte Macchiato einde maand]]-Tabel242567891011121314151716181921202223261415181920212224[[#This Row],[Latte Macchiato vorige maand]]</f>
        <v>50</v>
      </c>
      <c r="N60" s="53">
        <v>459</v>
      </c>
      <c r="O60">
        <f>november2025!N60</f>
        <v>416</v>
      </c>
      <c r="P60">
        <f>Tabel242567891011121314151716181921202223261415181920212224[[#This Row],[Stand Coffee Latte einde maand]]-Tabel242567891011121314151716181921202223261415181920212224[[#This Row],[Coffee Latte vorige maand]]</f>
        <v>43</v>
      </c>
      <c r="Q60" s="53">
        <v>30078</v>
      </c>
      <c r="R60">
        <f>november2025!Q60</f>
        <v>29254</v>
      </c>
      <c r="S60">
        <f>Tabel242567891011121314151716181921202223261415181920212224[[#This Row],[Stand Hot Water einde maand]]-Tabel242567891011121314151716181921202223261415181920212224[[#This Row],[Hot Water vorige maand]]</f>
        <v>824</v>
      </c>
      <c r="T60" s="53">
        <v>4290</v>
      </c>
      <c r="U60">
        <f>november2025!T60</f>
        <v>4187</v>
      </c>
      <c r="V60">
        <f>Tabel242567891011121314151716181921202223261415181920212224[[#This Row],[Stand Cappucino einde maand]]-Tabel242567891011121314151716181921202223261415181920212224[[#This Row],[Stand Cappucino vorige maand]]</f>
        <v>103</v>
      </c>
      <c r="W60" s="53">
        <v>2677</v>
      </c>
      <c r="X60">
        <f>november2025!W60</f>
        <v>2640</v>
      </c>
      <c r="Y60">
        <f>Tabel242567891011121314151716181921202223261415181920212224[[#This Row],[Stand Cappucino Plantaardig einde maand]]-Tabel242567891011121314151716181921202223261415181920212224[[#This Row],[Stand Cappucino Plantaardig vorige maand]]</f>
        <v>37</v>
      </c>
      <c r="Z60" s="53">
        <v>511</v>
      </c>
      <c r="AA60">
        <f>november2025!Z60</f>
        <v>501</v>
      </c>
      <c r="AB60">
        <f>Tabel242567891011121314151716181921202223261415181920212224[[#This Row],[Stand Latte Macchiato Plantaardig einde maand]]-Tabel242567891011121314151716181921202223261415181920212224[[#This Row],[Stand Latte Macchiato Plantaardig vorige maand]]</f>
        <v>10</v>
      </c>
      <c r="AC60" s="71">
        <f>Tabel242567891011121314151716181921202223261415181920212224[[#This Row],[Verbruik Stand Latte Macchiato Plantaardig deze maand]]+Tabel242567891011121314151716181921202223261415181920212224[[#This Row],[Verbruik  Cappucino Plantaardig deze maand]]+Tabel242567891011121314151716181921202223261415181920212224[[#This Row],[Verbruik Cappucino deze maand]]+Tabel242567891011121314151716181921202223261415181920212224[[#This Row],[Verbruik Hot Water deze maand]]+Tabel242567891011121314151716181921202223261415181920212224[[#This Row],[Verbruik Coffee Latte deze maand]]+Tabel242567891011121314151716181921202223261415181920212224[[#This Row],[Verbruik Latte Macchiato deze maand]]+Tabel242567891011121314151716181921202223261415181920212224[[#This Row],[Verbruik Espresso deze maand]]+Tabel242567891011121314151716181921202223261415181920212224[[#This Row],[Verbruik Coffee deze maand]]</f>
        <v>1546</v>
      </c>
      <c r="AD60" s="69"/>
      <c r="AE60" s="41"/>
      <c r="AF60" s="5"/>
      <c r="AG60" s="5"/>
      <c r="AH60" s="75"/>
      <c r="AI60" s="41"/>
      <c r="AJ60" s="5"/>
      <c r="AK60" s="5"/>
      <c r="AL60" s="75"/>
      <c r="AM60" s="41"/>
      <c r="AN60" s="5"/>
      <c r="AO60" s="5"/>
      <c r="AP60" s="75"/>
      <c r="AQ60" s="41"/>
      <c r="AR60" s="5"/>
      <c r="AS60" s="5"/>
      <c r="AT60" s="75"/>
      <c r="AU60" s="41"/>
      <c r="AV60" s="5"/>
      <c r="AW60" s="5"/>
      <c r="AX60" s="79"/>
      <c r="AY60" s="95">
        <f>Tabel242567891011121314151716181921202223261415181920212224[[#This Row],[Subtotaal waterbar in consumpties]]+Tabel242567891011121314151716181921202223261415181920212224[[#This Row],[Subtotaal koffieautomaten]]</f>
        <v>1546</v>
      </c>
    </row>
    <row r="61" spans="1:130" ht="14.45" customHeight="1" x14ac:dyDescent="0.25">
      <c r="A61" s="65" t="s">
        <v>60</v>
      </c>
      <c r="B61" t="s">
        <v>108</v>
      </c>
      <c r="C61" t="s">
        <v>36</v>
      </c>
      <c r="E61" s="46"/>
      <c r="F61" s="46"/>
      <c r="G61" s="47"/>
      <c r="H61" s="54"/>
      <c r="I61" s="46"/>
      <c r="J61" s="47"/>
      <c r="K61" s="54"/>
      <c r="L61" s="46"/>
      <c r="M61" s="47"/>
      <c r="N61" s="54"/>
      <c r="O61" s="46"/>
      <c r="P61" s="47"/>
      <c r="Q61" s="54"/>
      <c r="R61" s="46"/>
      <c r="S61" s="47"/>
      <c r="T61" s="54"/>
      <c r="U61" s="46"/>
      <c r="V61" s="47"/>
      <c r="W61" s="54"/>
      <c r="X61" s="46"/>
      <c r="Y61" s="47"/>
      <c r="Z61" s="54"/>
      <c r="AA61" s="46"/>
      <c r="AB61" s="47"/>
      <c r="AC61" s="72"/>
      <c r="AD61" s="53">
        <v>384.3</v>
      </c>
      <c r="AE61">
        <f>november2025!AD61</f>
        <v>379.1</v>
      </c>
      <c r="AF61">
        <f>Tabel242567891011121314151716181921202223261415181920212224[[#This Row],[Stand Kamertemp liter einde maand]]-Tabel242567891011121314151716181921202223261415181920212224[[#This Row],[Stand Kamertemp liter vorige maand]]</f>
        <v>5.1999999999999886</v>
      </c>
      <c r="AG61" s="2">
        <f>Tabel242567891011121314151716181921202223261415181920212224[[#This Row],[Verbruik Kamertemp liter deze maand]]/0.15</f>
        <v>34.666666666666593</v>
      </c>
      <c r="AH61" s="53">
        <v>2217.6999999999998</v>
      </c>
      <c r="AI61">
        <f>november2025!AH61</f>
        <v>2159.1</v>
      </c>
      <c r="AJ61">
        <f>Tabel242567891011121314151716181921202223261415181920212224[[#This Row],[Stand Gekoeld liter einde maand]]-Tabel242567891011121314151716181921202223261415181920212224[[#This Row],[Stand Gekoeld liter vorige maand]]</f>
        <v>58.599999999999909</v>
      </c>
      <c r="AK61" s="2">
        <f>Tabel242567891011121314151716181921202223261415181920212224[[#This Row],[Verbruik Gekoeld liter deze maand]]/0.15</f>
        <v>390.66666666666606</v>
      </c>
      <c r="AL61" s="53">
        <v>1105.7</v>
      </c>
      <c r="AM61">
        <f>november2025!AL61</f>
        <v>1084.9000000000001</v>
      </c>
      <c r="AN61">
        <f>Tabel242567891011121314151716181921202223261415181920212224[[#This Row],[Stand Bruisend liter einde maand]]-Tabel242567891011121314151716181921202223261415181920212224[[#This Row],[Stand Bruisend liter vorige maand]]</f>
        <v>20.799999999999955</v>
      </c>
      <c r="AO61" s="2">
        <f>Tabel242567891011121314151716181921202223261415181920212224[[#This Row],[Verbruik Bruisend liter deze maand]]/0.15</f>
        <v>138.66666666666637</v>
      </c>
      <c r="AP61" s="53">
        <v>1499.6</v>
      </c>
      <c r="AQ61">
        <f>november2025!AP61</f>
        <v>1475.3</v>
      </c>
      <c r="AR61">
        <f>Tabel242567891011121314151716181921202223261415181920212224[[#This Row],[Stand licht bruisend liter einde maand]]-Tabel242567891011121314151716181921202223261415181920212224[[#This Row],[Stand licht bruisend liter vorige maand]]</f>
        <v>24.299999999999955</v>
      </c>
      <c r="AS61" s="2">
        <f>Tabel242567891011121314151716181921202223261415181920212224[[#This Row],[Verbruik licht bruisend liter deze maand]]/0.15</f>
        <v>161.99999999999972</v>
      </c>
      <c r="AT61" s="53">
        <v>5416.7</v>
      </c>
      <c r="AU61">
        <f>november2025!AT61</f>
        <v>5265.1</v>
      </c>
      <c r="AV61">
        <f>Tabel242567891011121314151716181921202223261415181920212224[[#This Row],[Stand heet water liter einde maand]]-Tabel242567891011121314151716181921202223261415181920212224[[#This Row],[Stand heet water liter vorige maand]]</f>
        <v>151.59999999999945</v>
      </c>
      <c r="AW61" s="2">
        <f>Tabel242567891011121314151716181921202223261415181920212224[[#This Row],[Verbruik heet Water liter deze maand ]]/0.15</f>
        <v>1010.6666666666631</v>
      </c>
      <c r="AX61" s="77">
        <f>Tabel242567891011121314151716181921202223261415181920212224[[#This Row],[Aantal consumpties heet water deze maand]]+Tabel242567891011121314151716181921202223261415181920212224[[#This Row],[Aantal consumpties licht bruisend water deze maand]]+Tabel242567891011121314151716181921202223261415181920212224[[#This Row],[aantal consumpties Bruisend water deze maand]]+Tabel242567891011121314151716181921202223261415181920212224[[#This Row],[Aantal consumpties gekoeld water deze maand]]+Tabel242567891011121314151716181921202223261415181920212224[[#This Row],[Aantal consumpties Kamertemp deze maand]]</f>
        <v>1736.6666666666617</v>
      </c>
      <c r="AY61" s="95">
        <f>Tabel242567891011121314151716181921202223261415181920212224[[#This Row],[Subtotaal waterbar in consumpties]]+Tabel242567891011121314151716181921202223261415181920212224[[#This Row],[Subtotaal koffieautomaten]]</f>
        <v>1736.6666666666617</v>
      </c>
    </row>
    <row r="62" spans="1:130" s="81" customFormat="1" x14ac:dyDescent="0.25">
      <c r="A62" s="165" t="s">
        <v>109</v>
      </c>
      <c r="B62" s="151"/>
      <c r="C62" s="151"/>
      <c r="D62" s="166"/>
      <c r="E62" s="151"/>
      <c r="F62" s="151"/>
      <c r="G62" s="151"/>
      <c r="H62" s="167"/>
      <c r="I62" s="151"/>
      <c r="J62" s="151"/>
      <c r="K62" s="167"/>
      <c r="L62" s="151"/>
      <c r="M62" s="151"/>
      <c r="N62" s="167"/>
      <c r="O62" s="151"/>
      <c r="P62" s="151"/>
      <c r="Q62" s="167"/>
      <c r="R62" s="151"/>
      <c r="S62" s="151"/>
      <c r="T62" s="167"/>
      <c r="U62" s="151"/>
      <c r="V62" s="151"/>
      <c r="W62" s="167"/>
      <c r="X62" s="151"/>
      <c r="Y62" s="151"/>
      <c r="Z62" s="167"/>
      <c r="AA62" s="151"/>
      <c r="AB62" s="151"/>
      <c r="AC62" s="168"/>
      <c r="AD62" s="169"/>
      <c r="AE62" s="154"/>
      <c r="AF62" s="151"/>
      <c r="AG62" s="155"/>
      <c r="AH62" s="169"/>
      <c r="AI62" s="154"/>
      <c r="AJ62" s="151"/>
      <c r="AK62" s="155"/>
      <c r="AL62" s="169"/>
      <c r="AM62" s="154"/>
      <c r="AN62" s="151"/>
      <c r="AO62" s="155"/>
      <c r="AP62" s="169"/>
      <c r="AQ62" s="154"/>
      <c r="AR62" s="151"/>
      <c r="AS62" s="155"/>
      <c r="AT62" s="169"/>
      <c r="AU62" s="154"/>
      <c r="AV62" s="151"/>
      <c r="AW62" s="155"/>
      <c r="AX62" s="170"/>
      <c r="AY62" s="171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</row>
    <row r="63" spans="1:130" x14ac:dyDescent="0.25">
      <c r="A63" s="67">
        <v>1</v>
      </c>
      <c r="B63" t="s">
        <v>110</v>
      </c>
      <c r="C63" t="s">
        <v>31</v>
      </c>
      <c r="E63">
        <v>14059</v>
      </c>
      <c r="F63">
        <f>november2025!E63</f>
        <v>13689</v>
      </c>
      <c r="G63">
        <f>Tabel242567891011121314151716181921202223261415181920212224[[#This Row],[Stand Coffee einde maand]]-Tabel242567891011121314151716181921202223261415181920212224[[#This Row],[Coffee vorige maand]]</f>
        <v>370</v>
      </c>
      <c r="H63" s="53">
        <v>1826</v>
      </c>
      <c r="I63">
        <f>november2025!H63</f>
        <v>1789</v>
      </c>
      <c r="J63">
        <f>Tabel242567891011121314151716181921202223261415181920212224[[#This Row],[Stand Espresso Einde maand]]-Tabel242567891011121314151716181921202223261415181920212224[[#This Row],[Espresso vorige maand]]</f>
        <v>37</v>
      </c>
      <c r="K63" s="53">
        <v>1197</v>
      </c>
      <c r="L63">
        <f>november2025!K63</f>
        <v>1195</v>
      </c>
      <c r="M63">
        <f>Tabel242567891011121314151716181921202223261415181920212224[[#This Row],[Stand Latte Macchiato einde maand]]-Tabel242567891011121314151716181921202223261415181920212224[[#This Row],[Latte Macchiato vorige maand]]</f>
        <v>2</v>
      </c>
      <c r="N63" s="53">
        <v>547</v>
      </c>
      <c r="O63">
        <f>november2025!N63</f>
        <v>542</v>
      </c>
      <c r="P63">
        <f>Tabel242567891011121314151716181921202223261415181920212224[[#This Row],[Stand Coffee Latte einde maand]]-Tabel242567891011121314151716181921202223261415181920212224[[#This Row],[Coffee Latte vorige maand]]</f>
        <v>5</v>
      </c>
      <c r="Q63" s="53">
        <v>12300</v>
      </c>
      <c r="R63">
        <f>november2025!Q63</f>
        <v>11945</v>
      </c>
      <c r="S63">
        <f>Tabel242567891011121314151716181921202223261415181920212224[[#This Row],[Stand Hot Water einde maand]]-Tabel242567891011121314151716181921202223261415181920212224[[#This Row],[Hot Water vorige maand]]</f>
        <v>355</v>
      </c>
      <c r="T63" s="53">
        <v>4788</v>
      </c>
      <c r="U63">
        <f>november2025!T63</f>
        <v>4708</v>
      </c>
      <c r="V63">
        <f>Tabel242567891011121314151716181921202223261415181920212224[[#This Row],[Stand Cappucino einde maand]]-Tabel242567891011121314151716181921202223261415181920212224[[#This Row],[Stand Cappucino vorige maand]]</f>
        <v>80</v>
      </c>
      <c r="W63" s="53">
        <v>67</v>
      </c>
      <c r="X63">
        <f>november2025!W63</f>
        <v>65</v>
      </c>
      <c r="Y63">
        <f>Tabel242567891011121314151716181921202223261415181920212224[[#This Row],[Stand Cappucino Plantaardig einde maand]]-Tabel242567891011121314151716181921202223261415181920212224[[#This Row],[Stand Cappucino Plantaardig vorige maand]]</f>
        <v>2</v>
      </c>
      <c r="Z63" s="53">
        <v>258</v>
      </c>
      <c r="AA63">
        <f>november2025!Z63</f>
        <v>256</v>
      </c>
      <c r="AB63">
        <f>Tabel242567891011121314151716181921202223261415181920212224[[#This Row],[Stand Latte Macchiato Plantaardig einde maand]]-Tabel242567891011121314151716181921202223261415181920212224[[#This Row],[Stand Latte Macchiato Plantaardig vorige maand]]</f>
        <v>2</v>
      </c>
      <c r="AC63" s="71">
        <f>Tabel242567891011121314151716181921202223261415181920212224[[#This Row],[Verbruik Stand Latte Macchiato Plantaardig deze maand]]+Tabel242567891011121314151716181921202223261415181920212224[[#This Row],[Verbruik  Cappucino Plantaardig deze maand]]+Tabel242567891011121314151716181921202223261415181920212224[[#This Row],[Verbruik Cappucino deze maand]]+Tabel242567891011121314151716181921202223261415181920212224[[#This Row],[Verbruik Hot Water deze maand]]+Tabel242567891011121314151716181921202223261415181920212224[[#This Row],[Verbruik Coffee Latte deze maand]]+Tabel242567891011121314151716181921202223261415181920212224[[#This Row],[Verbruik Latte Macchiato deze maand]]+Tabel242567891011121314151716181921202223261415181920212224[[#This Row],[Verbruik Espresso deze maand]]+Tabel242567891011121314151716181921202223261415181920212224[[#This Row],[Verbruik Coffee deze maand]]</f>
        <v>853</v>
      </c>
      <c r="AD63" s="69"/>
      <c r="AE63" s="41"/>
      <c r="AF63" s="5"/>
      <c r="AG63" s="5"/>
      <c r="AH63" s="69"/>
      <c r="AI63" s="41"/>
      <c r="AJ63" s="5"/>
      <c r="AK63" s="5"/>
      <c r="AL63" s="69"/>
      <c r="AM63" s="41"/>
      <c r="AN63" s="5"/>
      <c r="AO63" s="5"/>
      <c r="AP63" s="69"/>
      <c r="AQ63" s="41"/>
      <c r="AR63" s="5"/>
      <c r="AS63" s="5"/>
      <c r="AT63" s="69"/>
      <c r="AU63" s="41"/>
      <c r="AV63" s="5"/>
      <c r="AW63" s="7"/>
      <c r="AX63" s="78"/>
      <c r="AY63" s="95">
        <f>Tabel242567891011121314151716181921202223261415181920212224[[#This Row],[Subtotaal waterbar in consumpties]]+Tabel242567891011121314151716181921202223261415181920212224[[#This Row],[Subtotaal koffieautomaten]]</f>
        <v>853</v>
      </c>
    </row>
    <row r="64" spans="1:130" x14ac:dyDescent="0.25">
      <c r="A64" s="67">
        <v>1</v>
      </c>
      <c r="B64" t="s">
        <v>111</v>
      </c>
      <c r="C64" t="s">
        <v>31</v>
      </c>
      <c r="E64">
        <v>14522</v>
      </c>
      <c r="F64">
        <f>november2025!E64</f>
        <v>14134</v>
      </c>
      <c r="G64">
        <f>Tabel242567891011121314151716181921202223261415181920212224[[#This Row],[Stand Coffee einde maand]]-Tabel242567891011121314151716181921202223261415181920212224[[#This Row],[Coffee vorige maand]]</f>
        <v>388</v>
      </c>
      <c r="H64" s="53">
        <v>791</v>
      </c>
      <c r="I64">
        <f>november2025!H64</f>
        <v>767</v>
      </c>
      <c r="J64">
        <f>Tabel242567891011121314151716181921202223261415181920212224[[#This Row],[Stand Espresso Einde maand]]-Tabel242567891011121314151716181921202223261415181920212224[[#This Row],[Espresso vorige maand]]</f>
        <v>24</v>
      </c>
      <c r="K64" s="53">
        <v>2369</v>
      </c>
      <c r="L64">
        <f>november2025!K64</f>
        <v>2364</v>
      </c>
      <c r="M64">
        <f>Tabel242567891011121314151716181921202223261415181920212224[[#This Row],[Stand Latte Macchiato einde maand]]-Tabel242567891011121314151716181921202223261415181920212224[[#This Row],[Latte Macchiato vorige maand]]</f>
        <v>5</v>
      </c>
      <c r="N64" s="53">
        <v>1378</v>
      </c>
      <c r="O64">
        <f>november2025!N64</f>
        <v>1350</v>
      </c>
      <c r="P64">
        <f>Tabel242567891011121314151716181921202223261415181920212224[[#This Row],[Stand Coffee Latte einde maand]]-Tabel242567891011121314151716181921202223261415181920212224[[#This Row],[Coffee Latte vorige maand]]</f>
        <v>28</v>
      </c>
      <c r="Q64" s="53">
        <v>11823</v>
      </c>
      <c r="R64">
        <f>november2025!Q64</f>
        <v>11501</v>
      </c>
      <c r="S64">
        <f>Tabel242567891011121314151716181921202223261415181920212224[[#This Row],[Stand Hot Water einde maand]]-Tabel242567891011121314151716181921202223261415181920212224[[#This Row],[Hot Water vorige maand]]</f>
        <v>322</v>
      </c>
      <c r="T64" s="53">
        <v>4386</v>
      </c>
      <c r="U64">
        <f>november2025!T64</f>
        <v>4326</v>
      </c>
      <c r="V64">
        <f>Tabel242567891011121314151716181921202223261415181920212224[[#This Row],[Stand Cappucino einde maand]]-Tabel242567891011121314151716181921202223261415181920212224[[#This Row],[Stand Cappucino vorige maand]]</f>
        <v>60</v>
      </c>
      <c r="W64" s="53">
        <v>316</v>
      </c>
      <c r="X64">
        <f>november2025!W64</f>
        <v>305</v>
      </c>
      <c r="Y64">
        <f>Tabel242567891011121314151716181921202223261415181920212224[[#This Row],[Stand Cappucino Plantaardig einde maand]]-Tabel242567891011121314151716181921202223261415181920212224[[#This Row],[Stand Cappucino Plantaardig vorige maand]]</f>
        <v>11</v>
      </c>
      <c r="Z64" s="53">
        <v>349</v>
      </c>
      <c r="AA64">
        <f>november2025!Z64</f>
        <v>347</v>
      </c>
      <c r="AB64">
        <f>Tabel242567891011121314151716181921202223261415181920212224[[#This Row],[Stand Latte Macchiato Plantaardig einde maand]]-Tabel242567891011121314151716181921202223261415181920212224[[#This Row],[Stand Latte Macchiato Plantaardig vorige maand]]</f>
        <v>2</v>
      </c>
      <c r="AC64" s="71">
        <f>Tabel242567891011121314151716181921202223261415181920212224[[#This Row],[Verbruik Stand Latte Macchiato Plantaardig deze maand]]+Tabel242567891011121314151716181921202223261415181920212224[[#This Row],[Verbruik  Cappucino Plantaardig deze maand]]+Tabel242567891011121314151716181921202223261415181920212224[[#This Row],[Verbruik Cappucino deze maand]]+Tabel242567891011121314151716181921202223261415181920212224[[#This Row],[Verbruik Hot Water deze maand]]+Tabel242567891011121314151716181921202223261415181920212224[[#This Row],[Verbruik Coffee Latte deze maand]]+Tabel242567891011121314151716181921202223261415181920212224[[#This Row],[Verbruik Latte Macchiato deze maand]]+Tabel242567891011121314151716181921202223261415181920212224[[#This Row],[Verbruik Espresso deze maand]]+Tabel242567891011121314151716181921202223261415181920212224[[#This Row],[Verbruik Coffee deze maand]]</f>
        <v>840</v>
      </c>
      <c r="AD64" s="69"/>
      <c r="AE64" s="41"/>
      <c r="AF64" s="5"/>
      <c r="AG64" s="5"/>
      <c r="AH64" s="69"/>
      <c r="AI64" s="41"/>
      <c r="AJ64" s="5"/>
      <c r="AK64" s="5"/>
      <c r="AL64" s="69"/>
      <c r="AM64" s="41"/>
      <c r="AN64" s="5"/>
      <c r="AO64" s="5"/>
      <c r="AP64" s="69"/>
      <c r="AQ64" s="41"/>
      <c r="AR64" s="5"/>
      <c r="AS64" s="5"/>
      <c r="AT64" s="69"/>
      <c r="AU64" s="41"/>
      <c r="AV64" s="5"/>
      <c r="AW64" s="7"/>
      <c r="AX64" s="78"/>
      <c r="AY64" s="95">
        <f>Tabel242567891011121314151716181921202223261415181920212224[[#This Row],[Subtotaal waterbar in consumpties]]+Tabel242567891011121314151716181921202223261415181920212224[[#This Row],[Subtotaal koffieautomaten]]</f>
        <v>840</v>
      </c>
    </row>
    <row r="65" spans="1:57" x14ac:dyDescent="0.25">
      <c r="A65" s="66" t="s">
        <v>112</v>
      </c>
      <c r="E65" s="3">
        <f>SUM(E5:E64)</f>
        <v>888018</v>
      </c>
      <c r="F65" s="3">
        <f>SUM(F5:F64)</f>
        <v>868226</v>
      </c>
      <c r="G65" s="3">
        <f>SUM(G4:G64)</f>
        <v>19792</v>
      </c>
      <c r="H65" s="55">
        <f>SUM(H5:H64)</f>
        <v>236188</v>
      </c>
      <c r="I65" s="3">
        <f>SUM(I5:I64)</f>
        <v>230119</v>
      </c>
      <c r="J65" s="3">
        <f>SUM(J4:J64)</f>
        <v>6069</v>
      </c>
      <c r="K65" s="55">
        <f>SUM(K5:K64)</f>
        <v>100699</v>
      </c>
      <c r="L65" s="3">
        <f>SUM(L5:L64)</f>
        <v>98969</v>
      </c>
      <c r="M65" s="3">
        <f>SUM(M4:M64)</f>
        <v>1730</v>
      </c>
      <c r="N65" s="55">
        <f>SUM(N5:N64)</f>
        <v>61038</v>
      </c>
      <c r="O65" s="3">
        <f>SUM(O5:O64)</f>
        <v>59719</v>
      </c>
      <c r="P65" s="3">
        <f>SUM(P4:P64)</f>
        <v>1319</v>
      </c>
      <c r="Q65" s="55">
        <f>SUM(Q5:Q64)</f>
        <v>1071657</v>
      </c>
      <c r="R65" s="3">
        <f>SUM(R5:R64)</f>
        <v>1046157</v>
      </c>
      <c r="S65" s="3">
        <f>SUM(S4:S64)</f>
        <v>25500</v>
      </c>
      <c r="T65" s="55">
        <f>SUM(T5:T64)</f>
        <v>469891</v>
      </c>
      <c r="U65" s="3">
        <f>SUM(U5:U64)</f>
        <v>461790</v>
      </c>
      <c r="V65" s="3">
        <f>SUM(V4:V64)</f>
        <v>8101</v>
      </c>
      <c r="W65" s="55">
        <f>SUM(W5:W64)</f>
        <v>83760</v>
      </c>
      <c r="X65" s="3">
        <f>SUM(X5:X64)</f>
        <v>82480</v>
      </c>
      <c r="Y65" s="3">
        <f>SUM(Y4:Y64)</f>
        <v>1280</v>
      </c>
      <c r="Z65" s="55">
        <f>SUM(Z5:Z64)</f>
        <v>31717</v>
      </c>
      <c r="AA65" s="3">
        <f>SUM(AA5:AA64)</f>
        <v>31125</v>
      </c>
      <c r="AB65" s="3">
        <f t="shared" ref="AB65:AQ65" si="0">SUM(AB4:AB64)</f>
        <v>592</v>
      </c>
      <c r="AC65" s="71">
        <f t="shared" si="0"/>
        <v>64383</v>
      </c>
      <c r="AD65" s="55">
        <f t="shared" si="0"/>
        <v>7252.4000000000005</v>
      </c>
      <c r="AE65" s="3">
        <f t="shared" si="0"/>
        <v>6851.9000000000005</v>
      </c>
      <c r="AF65" s="4">
        <f t="shared" si="0"/>
        <v>400.49999999999989</v>
      </c>
      <c r="AG65" s="4">
        <f t="shared" si="0"/>
        <v>2669.9999999999995</v>
      </c>
      <c r="AH65" s="76"/>
      <c r="AI65" s="4">
        <f t="shared" si="0"/>
        <v>41451.80000000001</v>
      </c>
      <c r="AJ65" s="4">
        <f t="shared" si="0"/>
        <v>2166.8000000000011</v>
      </c>
      <c r="AK65" s="4">
        <f t="shared" si="0"/>
        <v>14445.333333333339</v>
      </c>
      <c r="AL65" s="76">
        <f t="shared" si="0"/>
        <v>29385.599999999999</v>
      </c>
      <c r="AM65" s="4">
        <f t="shared" si="0"/>
        <v>27826.500000000007</v>
      </c>
      <c r="AN65" s="4">
        <f t="shared" si="0"/>
        <v>1559.1</v>
      </c>
      <c r="AO65" s="4">
        <f t="shared" si="0"/>
        <v>10393.999999999998</v>
      </c>
      <c r="AP65" s="76">
        <f t="shared" si="0"/>
        <v>11578.599999999997</v>
      </c>
      <c r="AQ65" s="4">
        <f t="shared" si="0"/>
        <v>11029.6</v>
      </c>
      <c r="AR65" s="3">
        <f>SUM(AR5:AR64)</f>
        <v>549</v>
      </c>
      <c r="AS65" s="4">
        <f>SUM(AS4:AS64)</f>
        <v>3659.9999999999995</v>
      </c>
      <c r="AT65" s="76">
        <f>SUM(AT4:AT64)</f>
        <v>88228.5</v>
      </c>
      <c r="AU65" s="4">
        <f>SUM(AU4:AU64)</f>
        <v>82812.400000000023</v>
      </c>
      <c r="AV65" s="3">
        <f>SUM(AV5:AV64)</f>
        <v>5416.0999999999995</v>
      </c>
      <c r="AW65" s="4">
        <f>SUM(AW4:AW64)</f>
        <v>36107.333333333343</v>
      </c>
      <c r="AX65" s="77">
        <f>SUM(AX4:AX64)</f>
        <v>67276.666666666672</v>
      </c>
      <c r="AY65" s="95">
        <f>Tabel242567891011121314151716181921202223261415181920212224[[#This Row],[Subtotaal waterbar in consumpties]]+Tabel242567891011121314151716181921202223261415181920212224[[#This Row],[Subtotaal koffieautomaten]]</f>
        <v>131659.66666666669</v>
      </c>
    </row>
    <row r="66" spans="1:57" x14ac:dyDescent="0.25">
      <c r="A66" s="91"/>
      <c r="B66" s="57"/>
      <c r="C66" s="57"/>
      <c r="D66" s="58"/>
      <c r="E66" s="57"/>
      <c r="F66" s="57"/>
      <c r="G66" s="57"/>
      <c r="H66" s="56"/>
      <c r="I66" s="57"/>
      <c r="J66" s="57"/>
      <c r="K66" s="56"/>
      <c r="L66" s="57"/>
      <c r="M66" s="57"/>
      <c r="N66" s="56"/>
      <c r="O66" s="57"/>
      <c r="P66" s="57"/>
      <c r="Q66" s="56"/>
      <c r="R66" s="57"/>
      <c r="S66" s="57"/>
      <c r="T66" s="56"/>
      <c r="U66" s="57"/>
      <c r="V66" s="57"/>
      <c r="W66" s="56"/>
      <c r="X66" s="57"/>
      <c r="Y66" s="57"/>
      <c r="Z66" s="56"/>
      <c r="AA66" s="57"/>
      <c r="AB66" s="57"/>
      <c r="AC66" s="90"/>
      <c r="AD66" s="56"/>
      <c r="AE66" s="57"/>
      <c r="AF66" s="57"/>
      <c r="AG66" s="57"/>
      <c r="AH66" s="56"/>
      <c r="AI66" s="57"/>
      <c r="AJ66" s="57"/>
      <c r="AK66" s="57"/>
      <c r="AL66" s="56"/>
      <c r="AM66" s="57"/>
      <c r="AN66" s="57"/>
      <c r="AO66" s="57"/>
      <c r="AP66" s="56"/>
      <c r="AQ66" s="57"/>
      <c r="AR66" s="57"/>
      <c r="AS66" s="57"/>
      <c r="AT66" s="56"/>
      <c r="AU66" s="57"/>
      <c r="AV66" s="57"/>
      <c r="AW66" s="57"/>
      <c r="AX66" s="92"/>
      <c r="AY66" s="96"/>
    </row>
    <row r="67" spans="1:57" x14ac:dyDescent="0.25">
      <c r="A67"/>
      <c r="D67"/>
      <c r="K67"/>
      <c r="N67"/>
      <c r="Q67"/>
      <c r="T67"/>
      <c r="W67"/>
      <c r="Z67"/>
      <c r="AC67"/>
      <c r="AD67"/>
      <c r="AH67"/>
      <c r="AL67"/>
      <c r="AP67"/>
      <c r="AT67"/>
      <c r="AX67"/>
      <c r="AY67" s="2"/>
      <c r="BC67" s="4"/>
      <c r="BD67" s="4"/>
      <c r="BE67" s="48"/>
    </row>
    <row r="68" spans="1:57" x14ac:dyDescent="0.25">
      <c r="A68"/>
      <c r="D68"/>
      <c r="K68"/>
      <c r="N68"/>
      <c r="Q68"/>
      <c r="T68"/>
      <c r="W68"/>
      <c r="Z68"/>
      <c r="AC68"/>
      <c r="AD68"/>
      <c r="AH68"/>
      <c r="AL68"/>
      <c r="AP68"/>
      <c r="AT68"/>
      <c r="AX68"/>
      <c r="AY68"/>
      <c r="AZ68" s="2"/>
      <c r="BC68" s="3"/>
      <c r="BD68" s="4"/>
      <c r="BE68" s="48"/>
    </row>
    <row r="69" spans="1:57" x14ac:dyDescent="0.25">
      <c r="A69" s="49"/>
      <c r="B69" t="s">
        <v>166</v>
      </c>
      <c r="D69"/>
      <c r="K69"/>
      <c r="N69"/>
      <c r="Q69"/>
      <c r="T69"/>
      <c r="W69"/>
      <c r="Z69"/>
      <c r="AC69"/>
      <c r="AD69"/>
      <c r="AH69"/>
      <c r="AL69"/>
      <c r="AP69"/>
      <c r="AT69"/>
      <c r="AX69"/>
      <c r="AY69"/>
      <c r="BD69" s="2"/>
    </row>
    <row r="70" spans="1:57" x14ac:dyDescent="0.25">
      <c r="A70" s="50"/>
      <c r="B70" t="s">
        <v>167</v>
      </c>
      <c r="D70"/>
      <c r="K70"/>
      <c r="N70"/>
      <c r="Q70"/>
      <c r="T70"/>
      <c r="W70"/>
      <c r="Z70"/>
      <c r="AC70"/>
      <c r="AD70"/>
      <c r="AH70"/>
      <c r="AL70"/>
      <c r="AP70"/>
      <c r="AT70"/>
      <c r="AU70" s="3"/>
      <c r="AW70" s="3"/>
      <c r="AX70" s="3"/>
      <c r="AY70" s="3"/>
    </row>
    <row r="71" spans="1:57" x14ac:dyDescent="0.25">
      <c r="A71"/>
      <c r="D71"/>
      <c r="K71"/>
      <c r="N71"/>
      <c r="Q71"/>
      <c r="T71"/>
      <c r="W71"/>
      <c r="Z71"/>
      <c r="AC71"/>
      <c r="AD71"/>
      <c r="AH71"/>
      <c r="AL71"/>
      <c r="AP71"/>
      <c r="AT71"/>
      <c r="AU71" s="3"/>
      <c r="AW71" s="141"/>
      <c r="AX71" s="142"/>
      <c r="AY71" s="143"/>
    </row>
    <row r="72" spans="1:57" x14ac:dyDescent="0.25">
      <c r="A72"/>
      <c r="D72"/>
      <c r="K72"/>
      <c r="N72"/>
      <c r="Q72"/>
      <c r="T72"/>
      <c r="W72"/>
      <c r="Z72"/>
      <c r="AC72"/>
      <c r="AD72"/>
      <c r="AH72"/>
      <c r="AL72"/>
      <c r="AP72"/>
      <c r="AT72"/>
      <c r="AU72" s="3"/>
      <c r="AW72" s="141"/>
      <c r="AX72" s="142"/>
      <c r="AY72" s="143"/>
    </row>
    <row r="73" spans="1:57" x14ac:dyDescent="0.25">
      <c r="A73"/>
      <c r="D73"/>
      <c r="K73"/>
      <c r="N73"/>
      <c r="Q73"/>
      <c r="T73"/>
      <c r="W73"/>
      <c r="Z73"/>
      <c r="AC73"/>
      <c r="AD73"/>
      <c r="AH73"/>
      <c r="AL73"/>
      <c r="AP73"/>
      <c r="AT73"/>
      <c r="AX73"/>
      <c r="AY73" s="144"/>
    </row>
    <row r="74" spans="1:57" x14ac:dyDescent="0.25">
      <c r="A74"/>
      <c r="D74"/>
      <c r="K74"/>
      <c r="N74"/>
      <c r="Q74"/>
      <c r="T74"/>
      <c r="W74"/>
      <c r="Z74"/>
      <c r="AC74"/>
      <c r="AD74"/>
      <c r="AH74"/>
      <c r="AL74"/>
      <c r="AP74"/>
      <c r="AT74"/>
      <c r="AX74"/>
      <c r="AY74"/>
    </row>
    <row r="75" spans="1:57" x14ac:dyDescent="0.25">
      <c r="A75"/>
      <c r="D75"/>
      <c r="K75"/>
      <c r="N75"/>
      <c r="Q75"/>
      <c r="T75"/>
      <c r="W75"/>
      <c r="Z75"/>
      <c r="AC75"/>
      <c r="AD75"/>
      <c r="AH75"/>
      <c r="AL75"/>
      <c r="AP75"/>
      <c r="AT75"/>
      <c r="AX75"/>
      <c r="AY75"/>
    </row>
    <row r="76" spans="1:57" x14ac:dyDescent="0.25">
      <c r="A76"/>
      <c r="D76"/>
      <c r="K76"/>
      <c r="N76"/>
      <c r="Q76"/>
      <c r="T76"/>
      <c r="W76"/>
      <c r="Z76"/>
      <c r="AC76"/>
      <c r="AD76"/>
      <c r="AH76"/>
      <c r="AL76"/>
      <c r="AP76"/>
      <c r="AT76"/>
      <c r="AX76"/>
      <c r="AY76"/>
    </row>
    <row r="77" spans="1:57" x14ac:dyDescent="0.25">
      <c r="A77"/>
      <c r="D77"/>
      <c r="K77"/>
      <c r="N77"/>
      <c r="Q77"/>
      <c r="T77"/>
      <c r="W77"/>
      <c r="Z77"/>
      <c r="AC77"/>
      <c r="AD77"/>
      <c r="AH77"/>
      <c r="AL77"/>
      <c r="AP77"/>
      <c r="AT77"/>
      <c r="AX77"/>
      <c r="AY77"/>
    </row>
    <row r="78" spans="1:57" x14ac:dyDescent="0.25">
      <c r="A78"/>
      <c r="D78"/>
      <c r="K78"/>
      <c r="N78"/>
      <c r="Q78"/>
      <c r="T78"/>
      <c r="W78"/>
      <c r="Z78"/>
      <c r="AC78"/>
      <c r="AD78"/>
      <c r="AH78"/>
      <c r="AL78"/>
      <c r="AP78"/>
      <c r="AT78"/>
      <c r="AX78"/>
      <c r="AY78"/>
    </row>
    <row r="79" spans="1:57" x14ac:dyDescent="0.25">
      <c r="A79"/>
      <c r="D79"/>
      <c r="K79"/>
      <c r="N79"/>
      <c r="Q79"/>
      <c r="T79"/>
      <c r="W79"/>
      <c r="Z79"/>
      <c r="AC79"/>
      <c r="AD79"/>
      <c r="AH79"/>
      <c r="AL79"/>
      <c r="AP79"/>
      <c r="AT79"/>
      <c r="AX79"/>
      <c r="AY79"/>
    </row>
    <row r="80" spans="1:57" x14ac:dyDescent="0.25">
      <c r="A80"/>
      <c r="D80"/>
      <c r="K80"/>
      <c r="N80"/>
      <c r="Q80"/>
      <c r="T80"/>
      <c r="W80"/>
      <c r="Z80"/>
      <c r="AC80"/>
      <c r="AD80"/>
      <c r="AH80"/>
      <c r="AL80"/>
      <c r="AP80"/>
      <c r="AT80"/>
      <c r="AX80"/>
      <c r="AY80"/>
    </row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</sheetData>
  <mergeCells count="2">
    <mergeCell ref="E1:AC1"/>
    <mergeCell ref="AD1:AY1"/>
  </mergeCells>
  <pageMargins left="0.70866141732283472" right="0.70866141732283472" top="0.74803149606299213" bottom="0.74803149606299213" header="0.31496062992125984" footer="0.31496062992125984"/>
  <pageSetup paperSize="9" scale="27" orientation="landscape" r:id="rId1"/>
  <colBreaks count="1" manualBreakCount="1">
    <brk id="29" max="71" man="1"/>
  </colBreaks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A0274-F0D2-40E6-B0A2-B2380D7CBCF5}">
  <dimension ref="A1:AZ68"/>
  <sheetViews>
    <sheetView zoomScale="70" zoomScaleNormal="70" workbookViewId="0">
      <pane xSplit="3" topLeftCell="AZ1" activePane="topRight" state="frozen"/>
      <selection activeCell="G19" sqref="G19"/>
      <selection pane="topRight" activeCell="G19" sqref="G19"/>
    </sheetView>
  </sheetViews>
  <sheetFormatPr defaultRowHeight="15" x14ac:dyDescent="0.25"/>
  <cols>
    <col min="1" max="1" width="32.140625" bestFit="1" customWidth="1"/>
    <col min="2" max="2" width="21.42578125" bestFit="1" customWidth="1"/>
    <col min="3" max="3" width="25.42578125" bestFit="1" customWidth="1"/>
    <col min="4" max="4" width="18.5703125" customWidth="1"/>
    <col min="5" max="5" width="10.140625" style="11" customWidth="1"/>
    <col min="6" max="6" width="10.42578125" customWidth="1"/>
    <col min="7" max="7" width="10.5703125" style="12" customWidth="1"/>
    <col min="8" max="8" width="11.85546875" customWidth="1"/>
    <col min="9" max="9" width="11.7109375" customWidth="1"/>
    <col min="10" max="10" width="12.42578125" customWidth="1"/>
    <col min="11" max="11" width="17.140625" customWidth="1"/>
    <col min="12" max="12" width="13.5703125" customWidth="1"/>
    <col min="13" max="13" width="13.42578125" bestFit="1" customWidth="1"/>
    <col min="14" max="14" width="14" style="11" customWidth="1"/>
    <col min="15" max="16" width="14" customWidth="1"/>
    <col min="17" max="17" width="14.140625" style="11" customWidth="1"/>
    <col min="18" max="19" width="12.28515625" customWidth="1"/>
    <col min="20" max="20" width="12.42578125" style="11" customWidth="1"/>
    <col min="21" max="22" width="12.42578125" customWidth="1"/>
    <col min="23" max="23" width="17" style="11" customWidth="1"/>
    <col min="24" max="25" width="17" customWidth="1"/>
    <col min="26" max="26" width="20.7109375" style="11" customWidth="1"/>
    <col min="27" max="27" width="20.7109375" customWidth="1"/>
    <col min="28" max="28" width="20.7109375" style="12" customWidth="1"/>
    <col min="29" max="29" width="13.85546875" customWidth="1"/>
    <col min="30" max="30" width="17.5703125" style="11" customWidth="1"/>
    <col min="31" max="32" width="17.5703125" customWidth="1"/>
    <col min="33" max="33" width="20.28515625" customWidth="1"/>
    <col min="34" max="34" width="14.42578125" style="11" customWidth="1"/>
    <col min="35" max="36" width="14.42578125" customWidth="1"/>
    <col min="37" max="37" width="21.28515625" customWidth="1"/>
    <col min="38" max="38" width="15.140625" style="11" customWidth="1"/>
    <col min="39" max="40" width="15.140625" customWidth="1"/>
    <col min="41" max="41" width="21.28515625" customWidth="1"/>
    <col min="42" max="42" width="19.42578125" style="11" customWidth="1"/>
    <col min="43" max="44" width="19.42578125" customWidth="1"/>
    <col min="45" max="45" width="21.28515625" customWidth="1"/>
    <col min="46" max="46" width="17" style="11" customWidth="1"/>
    <col min="47" max="48" width="17" customWidth="1"/>
    <col min="49" max="49" width="21.28515625" style="12" customWidth="1"/>
    <col min="50" max="50" width="20" customWidth="1"/>
    <col min="51" max="51" width="14.140625" customWidth="1"/>
  </cols>
  <sheetData>
    <row r="1" spans="1:51" x14ac:dyDescent="0.25">
      <c r="A1" s="172" t="s">
        <v>0</v>
      </c>
      <c r="B1" s="172"/>
      <c r="C1" s="172"/>
      <c r="D1" s="172"/>
      <c r="E1" s="172" t="s">
        <v>1</v>
      </c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 t="s">
        <v>2</v>
      </c>
      <c r="AE1" s="172"/>
      <c r="AF1" s="172"/>
      <c r="AG1" s="172"/>
      <c r="AH1" s="172"/>
      <c r="AI1" s="172"/>
      <c r="AJ1" s="172"/>
      <c r="AK1" s="172"/>
      <c r="AL1" s="172"/>
      <c r="AM1" s="172"/>
      <c r="AN1" s="172"/>
      <c r="AO1" s="172"/>
      <c r="AP1" s="172"/>
      <c r="AQ1" s="172"/>
      <c r="AR1" s="172"/>
      <c r="AS1" s="172"/>
      <c r="AT1" s="172"/>
      <c r="AU1" s="172"/>
      <c r="AV1" s="172"/>
      <c r="AW1" s="172"/>
      <c r="AX1" s="172"/>
      <c r="AY1" s="172"/>
    </row>
    <row r="2" spans="1:51" ht="60" x14ac:dyDescent="0.25">
      <c r="A2" t="s">
        <v>3</v>
      </c>
      <c r="B2" t="s">
        <v>4</v>
      </c>
      <c r="C2" t="s">
        <v>5</v>
      </c>
      <c r="D2" t="s">
        <v>6</v>
      </c>
      <c r="E2" s="9" t="s">
        <v>113</v>
      </c>
      <c r="F2" s="1" t="s">
        <v>114</v>
      </c>
      <c r="G2" s="10" t="s">
        <v>115</v>
      </c>
      <c r="H2" s="1" t="s">
        <v>116</v>
      </c>
      <c r="I2" s="1" t="s">
        <v>117</v>
      </c>
      <c r="J2" s="1" t="s">
        <v>118</v>
      </c>
      <c r="K2" s="1" t="s">
        <v>119</v>
      </c>
      <c r="L2" s="1" t="s">
        <v>120</v>
      </c>
      <c r="M2" s="1" t="s">
        <v>121</v>
      </c>
      <c r="N2" s="9" t="s">
        <v>122</v>
      </c>
      <c r="O2" s="1" t="s">
        <v>123</v>
      </c>
      <c r="P2" s="1" t="s">
        <v>124</v>
      </c>
      <c r="Q2" s="9" t="s">
        <v>125</v>
      </c>
      <c r="R2" s="1" t="s">
        <v>126</v>
      </c>
      <c r="S2" s="1" t="s">
        <v>127</v>
      </c>
      <c r="T2" s="9" t="s">
        <v>128</v>
      </c>
      <c r="U2" s="1" t="s">
        <v>129</v>
      </c>
      <c r="V2" s="1" t="s">
        <v>130</v>
      </c>
      <c r="W2" s="9" t="s">
        <v>131</v>
      </c>
      <c r="X2" s="1" t="s">
        <v>132</v>
      </c>
      <c r="Y2" s="1" t="s">
        <v>133</v>
      </c>
      <c r="Z2" s="9" t="s">
        <v>134</v>
      </c>
      <c r="AA2" s="1" t="s">
        <v>135</v>
      </c>
      <c r="AB2" s="10" t="s">
        <v>136</v>
      </c>
      <c r="AC2" s="1" t="s">
        <v>15</v>
      </c>
      <c r="AD2" s="9" t="s">
        <v>137</v>
      </c>
      <c r="AE2" s="1" t="s">
        <v>138</v>
      </c>
      <c r="AF2" s="1" t="s">
        <v>139</v>
      </c>
      <c r="AG2" s="1" t="s">
        <v>140</v>
      </c>
      <c r="AH2" s="9" t="s">
        <v>141</v>
      </c>
      <c r="AI2" s="1" t="s">
        <v>142</v>
      </c>
      <c r="AJ2" s="1" t="s">
        <v>143</v>
      </c>
      <c r="AK2" s="1" t="s">
        <v>144</v>
      </c>
      <c r="AL2" s="9" t="s">
        <v>145</v>
      </c>
      <c r="AM2" s="1" t="s">
        <v>146</v>
      </c>
      <c r="AN2" s="1" t="s">
        <v>147</v>
      </c>
      <c r="AO2" s="1" t="s">
        <v>148</v>
      </c>
      <c r="AP2" s="9" t="s">
        <v>149</v>
      </c>
      <c r="AQ2" s="1" t="s">
        <v>150</v>
      </c>
      <c r="AR2" s="1" t="s">
        <v>151</v>
      </c>
      <c r="AS2" s="1" t="s">
        <v>152</v>
      </c>
      <c r="AT2" s="9" t="s">
        <v>153</v>
      </c>
      <c r="AU2" s="1" t="s">
        <v>154</v>
      </c>
      <c r="AV2" s="1" t="s">
        <v>155</v>
      </c>
      <c r="AW2" s="10" t="s">
        <v>156</v>
      </c>
      <c r="AX2" s="1" t="s">
        <v>157</v>
      </c>
      <c r="AY2" t="s">
        <v>27</v>
      </c>
    </row>
    <row r="3" spans="1:51" x14ac:dyDescent="0.25">
      <c r="A3" s="3" t="s">
        <v>28</v>
      </c>
      <c r="E3" s="25"/>
      <c r="H3" s="27"/>
      <c r="I3" s="18"/>
      <c r="J3" s="19"/>
      <c r="K3" s="27"/>
      <c r="L3" s="18"/>
      <c r="M3" s="18"/>
      <c r="N3" s="25"/>
      <c r="Q3" s="25"/>
      <c r="T3" s="25"/>
      <c r="W3" s="25"/>
      <c r="Z3" s="25"/>
      <c r="AC3" s="3"/>
      <c r="AG3" s="2"/>
      <c r="AH3" s="25"/>
      <c r="AK3" s="2"/>
      <c r="AL3" s="25"/>
      <c r="AO3" s="2"/>
      <c r="AP3" s="25"/>
      <c r="AS3" s="2"/>
      <c r="AT3" s="25"/>
      <c r="AW3" s="20"/>
      <c r="AX3" s="4"/>
      <c r="AY3" s="4">
        <f>Tabel242[[#This Row],[Subtotaal waterbar in consumpties]]+Tabel242[[#This Row],[Subtotaal koffieautomaten]]</f>
        <v>0</v>
      </c>
    </row>
    <row r="4" spans="1:51" x14ac:dyDescent="0.25">
      <c r="A4" t="s">
        <v>29</v>
      </c>
      <c r="B4" t="s">
        <v>30</v>
      </c>
      <c r="C4" t="s">
        <v>31</v>
      </c>
      <c r="E4" s="25">
        <v>513</v>
      </c>
      <c r="F4">
        <f>Tabel24[[#This Row],[Stand Coffee einde maand]]</f>
        <v>266</v>
      </c>
      <c r="G4" s="12">
        <f>Tabel242[[#This Row],[Stand Coffee einde maand]]-Tabel242[[#This Row],[Coffee vorige maand]]</f>
        <v>247</v>
      </c>
      <c r="H4" s="25">
        <v>171</v>
      </c>
      <c r="I4">
        <f>Tabel24[[#This Row],[Stand Espresso Einde maand]]</f>
        <v>98</v>
      </c>
      <c r="J4" s="12">
        <f>Tabel242[[#This Row],[Stand Espresso Einde maand]]-Tabel242[[#This Row],[Espresso vorige maand]]</f>
        <v>73</v>
      </c>
      <c r="K4" s="25">
        <v>236</v>
      </c>
      <c r="L4">
        <f>Tabel24[[#This Row],[Stand Latte Macchiato einde maand]]</f>
        <v>166</v>
      </c>
      <c r="M4">
        <f>Tabel242[[#This Row],[Stand Latte Macchiato einde maand]]-Tabel242[[#This Row],[Latte Macchiato vorige maand]]</f>
        <v>70</v>
      </c>
      <c r="N4" s="25">
        <v>269</v>
      </c>
      <c r="O4">
        <f>Tabel24[[#This Row],[Stand Coffee Latte einde maand]]</f>
        <v>148</v>
      </c>
      <c r="P4">
        <f>Tabel242[[#This Row],[Stand Coffee Latte einde maand]]-Tabel242[[#This Row],[Coffee Latte vorige maand]]</f>
        <v>121</v>
      </c>
      <c r="Q4" s="25">
        <v>822</v>
      </c>
      <c r="R4">
        <f>Tabel24[[#This Row],[Stand Hot Water einde maand]]</f>
        <v>446</v>
      </c>
      <c r="S4">
        <f>Tabel242[[#This Row],[Stand Hot Water einde maand]]-Tabel242[[#This Row],[Hot Water vorige maand]]</f>
        <v>376</v>
      </c>
      <c r="T4" s="25">
        <v>829</v>
      </c>
      <c r="U4">
        <f>Tabel24[[#This Row],[Stand Cappucino einde maand]]</f>
        <v>472</v>
      </c>
      <c r="V4">
        <f>Tabel242[[#This Row],[Stand Cappucino einde maand]]-Tabel242[[#This Row],[Stand Cappucino vorige maand]]</f>
        <v>357</v>
      </c>
      <c r="W4" s="25">
        <v>39</v>
      </c>
      <c r="X4">
        <f>Tabel24[[#This Row],[Stand Cappucino Plantaardig einde maand]]</f>
        <v>29</v>
      </c>
      <c r="Y4">
        <f>Tabel242[[#This Row],[Stand Cappucino Plantaardig einde maand]]-Tabel242[[#This Row],[Stand Cappucino Plantaardig vorige maand]]</f>
        <v>10</v>
      </c>
      <c r="Z4" s="25">
        <v>16</v>
      </c>
      <c r="AA4">
        <f>Tabel24[[#This Row],[Stand Latte Macchiato Plantaardig einde maand]]</f>
        <v>12</v>
      </c>
      <c r="AB4" s="12">
        <f>Tabel242[[#This Row],[Stand Latte Macchiato Plantaardig einde maand]]-Tabel242[[#This Row],[Stand Latte Macchiato Plantaardig vorige maand]]</f>
        <v>4</v>
      </c>
      <c r="AC4" s="3">
        <f>Tabel242[[#This Row],[Verbruik Stand Latte Macchiato Plantaardig deze maand]]+Tabel242[[#This Row],[Verbruik  Cappucino Plantaardig deze maand]]+Tabel242[[#This Row],[Verbruik Cappucino deze maand]]+Tabel242[[#This Row],[Verbruik Hot Water deze maand]]+Tabel242[[#This Row],[Verbruik Coffee Latte deze maand]]+Tabel242[[#This Row],[Verbruik Latte Macchiato deze maand]]+Tabel242[[#This Row],[Verbruik Espresso deze maand]]+Tabel242[[#This Row],[Verbruik Coffee deze maand]]</f>
        <v>1258</v>
      </c>
      <c r="AD4" s="26"/>
      <c r="AE4" s="5"/>
      <c r="AF4" s="5"/>
      <c r="AG4" s="5"/>
      <c r="AH4" s="26"/>
      <c r="AI4" s="5"/>
      <c r="AJ4" s="5"/>
      <c r="AK4" s="5"/>
      <c r="AL4" s="26"/>
      <c r="AM4" s="5"/>
      <c r="AN4" s="5"/>
      <c r="AO4" s="5"/>
      <c r="AP4" s="26"/>
      <c r="AQ4" s="5"/>
      <c r="AR4" s="5"/>
      <c r="AS4" s="5"/>
      <c r="AT4" s="26"/>
      <c r="AU4" s="5"/>
      <c r="AV4" s="5"/>
      <c r="AW4" s="21"/>
      <c r="AX4" s="8"/>
      <c r="AY4" s="4">
        <f>Tabel242[[#This Row],[Subtotaal waterbar in consumpties]]+Tabel242[[#This Row],[Subtotaal koffieautomaten]]</f>
        <v>1258</v>
      </c>
    </row>
    <row r="5" spans="1:51" x14ac:dyDescent="0.25">
      <c r="A5" t="s">
        <v>32</v>
      </c>
      <c r="B5" t="s">
        <v>33</v>
      </c>
      <c r="C5" t="s">
        <v>31</v>
      </c>
      <c r="E5" s="25">
        <v>1551</v>
      </c>
      <c r="F5">
        <f>Tabel24[[#This Row],[Stand Coffee einde maand]]</f>
        <v>955</v>
      </c>
      <c r="G5" s="12">
        <f>Tabel242[[#This Row],[Stand Coffee einde maand]]-Tabel242[[#This Row],[Coffee vorige maand]]</f>
        <v>596</v>
      </c>
      <c r="H5" s="25">
        <v>370</v>
      </c>
      <c r="I5">
        <f>Tabel24[[#This Row],[Stand Espresso Einde maand]]</f>
        <v>217</v>
      </c>
      <c r="J5" s="12">
        <f>Tabel242[[#This Row],[Stand Espresso Einde maand]]-Tabel242[[#This Row],[Espresso vorige maand]]</f>
        <v>153</v>
      </c>
      <c r="K5" s="25">
        <v>441</v>
      </c>
      <c r="L5">
        <f>Tabel24[[#This Row],[Stand Latte Macchiato einde maand]]</f>
        <v>305</v>
      </c>
      <c r="M5">
        <f>Tabel242[[#This Row],[Stand Latte Macchiato einde maand]]-Tabel242[[#This Row],[Latte Macchiato vorige maand]]</f>
        <v>136</v>
      </c>
      <c r="N5" s="25">
        <v>502</v>
      </c>
      <c r="O5">
        <f>Tabel24[[#This Row],[Stand Coffee Latte einde maand]]</f>
        <v>356</v>
      </c>
      <c r="P5">
        <f>Tabel242[[#This Row],[Stand Coffee Latte einde maand]]-Tabel242[[#This Row],[Coffee Latte vorige maand]]</f>
        <v>146</v>
      </c>
      <c r="Q5" s="25">
        <v>3810</v>
      </c>
      <c r="R5">
        <f>Tabel24[[#This Row],[Stand Hot Water einde maand]]</f>
        <v>2583</v>
      </c>
      <c r="S5">
        <f>Tabel242[[#This Row],[Stand Hot Water einde maand]]-Tabel242[[#This Row],[Hot Water vorige maand]]</f>
        <v>1227</v>
      </c>
      <c r="T5" s="25">
        <v>2165</v>
      </c>
      <c r="U5">
        <f>Tabel24[[#This Row],[Stand Cappucino einde maand]]</f>
        <v>1402</v>
      </c>
      <c r="V5">
        <f>Tabel242[[#This Row],[Stand Cappucino einde maand]]-Tabel242[[#This Row],[Stand Cappucino vorige maand]]</f>
        <v>763</v>
      </c>
      <c r="W5" s="25">
        <v>301</v>
      </c>
      <c r="X5">
        <f>Tabel24[[#This Row],[Stand Cappucino Plantaardig einde maand]]</f>
        <v>207</v>
      </c>
      <c r="Y5">
        <f>Tabel242[[#This Row],[Stand Cappucino Plantaardig einde maand]]-Tabel242[[#This Row],[Stand Cappucino Plantaardig vorige maand]]</f>
        <v>94</v>
      </c>
      <c r="Z5" s="25">
        <v>80</v>
      </c>
      <c r="AA5">
        <f>Tabel24[[#This Row],[Stand Latte Macchiato Plantaardig einde maand]]</f>
        <v>56</v>
      </c>
      <c r="AB5" s="12">
        <f>Tabel242[[#This Row],[Stand Latte Macchiato Plantaardig einde maand]]-Tabel242[[#This Row],[Stand Latte Macchiato Plantaardig vorige maand]]</f>
        <v>24</v>
      </c>
      <c r="AC5" s="3">
        <f>Tabel242[[#This Row],[Verbruik Stand Latte Macchiato Plantaardig deze maand]]+Tabel242[[#This Row],[Verbruik  Cappucino Plantaardig deze maand]]+Tabel242[[#This Row],[Verbruik Cappucino deze maand]]+Tabel242[[#This Row],[Verbruik Hot Water deze maand]]+Tabel242[[#This Row],[Verbruik Coffee Latte deze maand]]+Tabel242[[#This Row],[Verbruik Latte Macchiato deze maand]]+Tabel242[[#This Row],[Verbruik Espresso deze maand]]+Tabel242[[#This Row],[Verbruik Coffee deze maand]]</f>
        <v>3139</v>
      </c>
      <c r="AD5" s="26"/>
      <c r="AE5" s="5"/>
      <c r="AF5" s="5"/>
      <c r="AG5" s="5"/>
      <c r="AH5" s="26"/>
      <c r="AI5" s="5"/>
      <c r="AJ5" s="5"/>
      <c r="AK5" s="5"/>
      <c r="AL5" s="26"/>
      <c r="AM5" s="5"/>
      <c r="AN5" s="5"/>
      <c r="AO5" s="5"/>
      <c r="AP5" s="26"/>
      <c r="AQ5" s="5"/>
      <c r="AR5" s="5"/>
      <c r="AS5" s="5"/>
      <c r="AT5" s="26"/>
      <c r="AU5" s="5"/>
      <c r="AV5" s="5"/>
      <c r="AW5" s="21"/>
      <c r="AX5" s="8"/>
      <c r="AY5" s="4">
        <f>Tabel242[[#This Row],[Subtotaal waterbar in consumpties]]+Tabel242[[#This Row],[Subtotaal koffieautomaten]]</f>
        <v>3139</v>
      </c>
    </row>
    <row r="6" spans="1:51" x14ac:dyDescent="0.25">
      <c r="A6" t="s">
        <v>34</v>
      </c>
      <c r="B6" t="s">
        <v>35</v>
      </c>
      <c r="C6" t="s">
        <v>36</v>
      </c>
      <c r="E6" s="32"/>
      <c r="F6" s="33"/>
      <c r="G6" s="34"/>
      <c r="H6" s="32"/>
      <c r="I6" s="33"/>
      <c r="J6" s="34"/>
      <c r="K6" s="32"/>
      <c r="L6" s="33"/>
      <c r="M6" s="33"/>
      <c r="N6" s="32"/>
      <c r="O6" s="33"/>
      <c r="P6" s="33"/>
      <c r="Q6" s="32"/>
      <c r="R6" s="33"/>
      <c r="S6" s="33"/>
      <c r="T6" s="32"/>
      <c r="U6" s="33"/>
      <c r="V6" s="33"/>
      <c r="W6" s="32"/>
      <c r="X6" s="33"/>
      <c r="Y6" s="33"/>
      <c r="Z6" s="32"/>
      <c r="AA6" s="33"/>
      <c r="AB6" s="34"/>
      <c r="AC6" s="35"/>
      <c r="AD6" s="25">
        <v>34.4</v>
      </c>
      <c r="AE6">
        <f>Tabel24[[#This Row],[Stand Kamertemp liter einde maand]]</f>
        <v>18.899999999999999</v>
      </c>
      <c r="AF6">
        <f>Tabel242[[#This Row],[Stand Kamertemp liter einde maand]]-Tabel242[[#This Row],[Stand Kamertemp liter vorige maand]]</f>
        <v>15.5</v>
      </c>
      <c r="AG6" s="2">
        <f>Tabel242[[#This Row],[Verbruik Kamertemp liter deze maand]]/0.15</f>
        <v>103.33333333333334</v>
      </c>
      <c r="AH6" s="25">
        <v>171.8</v>
      </c>
      <c r="AI6">
        <f>Tabel24[[#This Row],[Stand Gekoeld liter einde maand]]</f>
        <v>83.4</v>
      </c>
      <c r="AJ6">
        <f>Tabel242[[#This Row],[Stand Gekoeld liter einde maand]]-Tabel242[[#This Row],[Stand Gekoeld liter vorige maand]]</f>
        <v>88.4</v>
      </c>
      <c r="AK6" s="2">
        <f>Tabel242[[#This Row],[Verbruik Gekoeld liter deze maand]]/0.15</f>
        <v>589.33333333333337</v>
      </c>
      <c r="AL6" s="25">
        <v>160.30000000000001</v>
      </c>
      <c r="AM6">
        <f>Tabel24[[#This Row],[Stand Bruisend liter einde maand]]</f>
        <v>63.9</v>
      </c>
      <c r="AN6">
        <f>Tabel242[[#This Row],[Stand Bruisend liter einde maand]]-Tabel242[[#This Row],[Stand Bruisend liter vorige maand]]</f>
        <v>96.4</v>
      </c>
      <c r="AO6" s="2">
        <f>Tabel242[[#This Row],[Verbruik Bruisend liter deze maand]]/0.15</f>
        <v>642.66666666666674</v>
      </c>
      <c r="AP6" s="25">
        <v>41.7</v>
      </c>
      <c r="AQ6">
        <f>Tabel24[[#This Row],[Stand licht bruisend liter einde maand]]</f>
        <v>15.1</v>
      </c>
      <c r="AR6">
        <f>Tabel242[[#This Row],[Stand licht bruisend liter einde maand]]-Tabel242[[#This Row],[Stand licht bruisend liter vorige maand]]</f>
        <v>26.6</v>
      </c>
      <c r="AS6" s="2">
        <f>Tabel242[[#This Row],[Verbruik licht bruisend liter deze maand]]/0.15</f>
        <v>177.33333333333334</v>
      </c>
      <c r="AT6" s="25">
        <v>334.1</v>
      </c>
      <c r="AU6">
        <f>Tabel24[[#This Row],[Stand heet water liter einde maand]]</f>
        <v>111.9</v>
      </c>
      <c r="AV6">
        <f>Tabel242[[#This Row],[Stand heet water liter einde maand]]-Tabel242[[#This Row],[Stand heet water liter vorige maand]]</f>
        <v>222.20000000000002</v>
      </c>
      <c r="AW6" s="20">
        <f>Tabel242[[#This Row],[Verbruik heet Water liter deze maand ]]/0.15</f>
        <v>1481.3333333333335</v>
      </c>
      <c r="AX6" s="4">
        <f>Tabel242[[#This Row],[Aantal consumpties heet water deze maand]]+Tabel242[[#This Row],[Aantal consumpties licht bruisend water deze maand]]+Tabel242[[#This Row],[aantal consumpties Bruisend water deze maand]]+Tabel242[[#This Row],[Aantal consumpties gekoeld water deze maand]]+Tabel242[[#This Row],[Aantal consumpties Kamertemp deze maand]]</f>
        <v>2994.0000000000005</v>
      </c>
      <c r="AY6" s="4">
        <f>Tabel242[[#This Row],[Subtotaal waterbar in consumpties]]+Tabel242[[#This Row],[Subtotaal koffieautomaten]]</f>
        <v>2994.0000000000005</v>
      </c>
    </row>
    <row r="7" spans="1:51" x14ac:dyDescent="0.25">
      <c r="A7" s="28" t="s">
        <v>37</v>
      </c>
      <c r="B7" s="28" t="s">
        <v>38</v>
      </c>
      <c r="C7" s="28" t="s">
        <v>31</v>
      </c>
      <c r="D7" s="28"/>
      <c r="E7" s="29">
        <v>361</v>
      </c>
      <c r="F7" s="28">
        <v>0</v>
      </c>
      <c r="G7" s="30">
        <f>Tabel242[[#This Row],[Stand Coffee einde maand]]-Tabel242[[#This Row],[Coffee vorige maand]]</f>
        <v>361</v>
      </c>
      <c r="H7" s="29">
        <v>106</v>
      </c>
      <c r="I7" s="28">
        <v>0</v>
      </c>
      <c r="J7" s="30">
        <f>Tabel242[[#This Row],[Stand Espresso Einde maand]]-Tabel242[[#This Row],[Espresso vorige maand]]</f>
        <v>106</v>
      </c>
      <c r="K7" s="29">
        <v>37</v>
      </c>
      <c r="L7" s="28">
        <v>0</v>
      </c>
      <c r="M7" s="28">
        <f>Tabel242[[#This Row],[Stand Latte Macchiato einde maand]]-Tabel242[[#This Row],[Latte Macchiato vorige maand]]</f>
        <v>37</v>
      </c>
      <c r="N7" s="29">
        <v>31</v>
      </c>
      <c r="O7" s="28">
        <v>0</v>
      </c>
      <c r="P7" s="28">
        <f>Tabel242[[#This Row],[Stand Coffee Latte einde maand]]-Tabel242[[#This Row],[Coffee Latte vorige maand]]</f>
        <v>31</v>
      </c>
      <c r="Q7" s="29">
        <v>587</v>
      </c>
      <c r="R7" s="28">
        <v>0</v>
      </c>
      <c r="S7" s="28">
        <f>Tabel242[[#This Row],[Stand Hot Water einde maand]]-Tabel242[[#This Row],[Hot Water vorige maand]]</f>
        <v>587</v>
      </c>
      <c r="T7" s="29">
        <v>311</v>
      </c>
      <c r="U7" s="28">
        <v>0</v>
      </c>
      <c r="V7" s="28">
        <f>Tabel242[[#This Row],[Stand Cappucino einde maand]]-Tabel242[[#This Row],[Stand Cappucino vorige maand]]</f>
        <v>311</v>
      </c>
      <c r="W7" s="29">
        <v>31</v>
      </c>
      <c r="X7" s="28">
        <v>0</v>
      </c>
      <c r="Y7" s="28">
        <f>Tabel242[[#This Row],[Stand Cappucino Plantaardig einde maand]]-Tabel242[[#This Row],[Stand Cappucino Plantaardig vorige maand]]</f>
        <v>31</v>
      </c>
      <c r="Z7" s="29">
        <v>10</v>
      </c>
      <c r="AA7" s="28">
        <v>0</v>
      </c>
      <c r="AB7" s="30">
        <f>Tabel242[[#This Row],[Stand Latte Macchiato Plantaardig einde maand]]-Tabel242[[#This Row],[Stand Latte Macchiato Plantaardig vorige maand]]</f>
        <v>10</v>
      </c>
      <c r="AC7" s="31">
        <f>Tabel242[[#This Row],[Verbruik Stand Latte Macchiato Plantaardig deze maand]]+Tabel242[[#This Row],[Verbruik  Cappucino Plantaardig deze maand]]+Tabel242[[#This Row],[Verbruik Cappucino deze maand]]+Tabel242[[#This Row],[Verbruik Hot Water deze maand]]+Tabel242[[#This Row],[Verbruik Coffee Latte deze maand]]+Tabel242[[#This Row],[Verbruik Latte Macchiato deze maand]]+Tabel242[[#This Row],[Verbruik Espresso deze maand]]+Tabel242[[#This Row],[Verbruik Coffee deze maand]]</f>
        <v>1474</v>
      </c>
      <c r="AD7" s="26"/>
      <c r="AE7" s="5"/>
      <c r="AF7" s="5"/>
      <c r="AG7" s="5"/>
      <c r="AH7" s="26"/>
      <c r="AI7" s="5"/>
      <c r="AJ7" s="5"/>
      <c r="AK7" s="5"/>
      <c r="AL7" s="26"/>
      <c r="AM7" s="5"/>
      <c r="AN7" s="5"/>
      <c r="AO7" s="5"/>
      <c r="AP7" s="26"/>
      <c r="AQ7" s="5"/>
      <c r="AR7" s="5"/>
      <c r="AS7" s="5"/>
      <c r="AT7" s="26"/>
      <c r="AU7" s="5"/>
      <c r="AV7" s="5"/>
      <c r="AW7" s="21"/>
      <c r="AX7" s="8"/>
      <c r="AY7" s="4">
        <f>Tabel242[[#This Row],[Subtotaal waterbar in consumpties]]+Tabel242[[#This Row],[Subtotaal koffieautomaten]]</f>
        <v>1474</v>
      </c>
    </row>
    <row r="8" spans="1:51" x14ac:dyDescent="0.25">
      <c r="A8" t="s">
        <v>39</v>
      </c>
      <c r="B8" t="s">
        <v>40</v>
      </c>
      <c r="C8" t="s">
        <v>31</v>
      </c>
      <c r="E8" s="25">
        <v>2102</v>
      </c>
      <c r="F8">
        <f>Tabel24[[#This Row],[Stand Coffee einde maand]]</f>
        <v>1267</v>
      </c>
      <c r="G8" s="12">
        <f>Tabel242[[#This Row],[Stand Coffee einde maand]]-Tabel242[[#This Row],[Coffee vorige maand]]</f>
        <v>835</v>
      </c>
      <c r="H8" s="25">
        <v>923</v>
      </c>
      <c r="I8">
        <f>Tabel24[[#This Row],[Stand Espresso Einde maand]]</f>
        <v>563</v>
      </c>
      <c r="J8" s="12">
        <f>Tabel242[[#This Row],[Stand Espresso Einde maand]]-Tabel242[[#This Row],[Espresso vorige maand]]</f>
        <v>360</v>
      </c>
      <c r="K8" s="25">
        <v>484</v>
      </c>
      <c r="L8">
        <f>Tabel24[[#This Row],[Stand Latte Macchiato einde maand]]</f>
        <v>264</v>
      </c>
      <c r="M8">
        <f>Tabel242[[#This Row],[Stand Latte Macchiato einde maand]]-Tabel242[[#This Row],[Latte Macchiato vorige maand]]</f>
        <v>220</v>
      </c>
      <c r="N8" s="25">
        <v>193</v>
      </c>
      <c r="O8">
        <f>Tabel24[[#This Row],[Stand Coffee Latte einde maand]]</f>
        <v>89</v>
      </c>
      <c r="P8">
        <f>Tabel242[[#This Row],[Stand Coffee Latte einde maand]]-Tabel242[[#This Row],[Coffee Latte vorige maand]]</f>
        <v>104</v>
      </c>
      <c r="Q8" s="25">
        <v>3253</v>
      </c>
      <c r="R8">
        <f>Tabel24[[#This Row],[Stand Hot Water einde maand]]</f>
        <v>1842</v>
      </c>
      <c r="S8">
        <f>Tabel242[[#This Row],[Stand Hot Water einde maand]]-Tabel242[[#This Row],[Hot Water vorige maand]]</f>
        <v>1411</v>
      </c>
      <c r="T8" s="25">
        <v>1440</v>
      </c>
      <c r="U8">
        <f>Tabel24[[#This Row],[Stand Cappucino einde maand]]</f>
        <v>793</v>
      </c>
      <c r="V8">
        <f>Tabel242[[#This Row],[Stand Cappucino einde maand]]-Tabel242[[#This Row],[Stand Cappucino vorige maand]]</f>
        <v>647</v>
      </c>
      <c r="W8" s="25">
        <v>467</v>
      </c>
      <c r="X8">
        <f>Tabel24[[#This Row],[Stand Cappucino Plantaardig einde maand]]</f>
        <v>303</v>
      </c>
      <c r="Y8">
        <f>Tabel242[[#This Row],[Stand Cappucino Plantaardig einde maand]]-Tabel242[[#This Row],[Stand Cappucino Plantaardig vorige maand]]</f>
        <v>164</v>
      </c>
      <c r="Z8" s="25">
        <v>34</v>
      </c>
      <c r="AA8">
        <f>Tabel24[[#This Row],[Stand Latte Macchiato Plantaardig einde maand]]</f>
        <v>18</v>
      </c>
      <c r="AB8" s="12">
        <f>Tabel242[[#This Row],[Stand Latte Macchiato Plantaardig einde maand]]-Tabel242[[#This Row],[Stand Latte Macchiato Plantaardig vorige maand]]</f>
        <v>16</v>
      </c>
      <c r="AC8" s="3">
        <f>Tabel242[[#This Row],[Verbruik Stand Latte Macchiato Plantaardig deze maand]]+Tabel242[[#This Row],[Verbruik  Cappucino Plantaardig deze maand]]+Tabel242[[#This Row],[Verbruik Cappucino deze maand]]+Tabel242[[#This Row],[Verbruik Hot Water deze maand]]+Tabel242[[#This Row],[Verbruik Coffee Latte deze maand]]+Tabel242[[#This Row],[Verbruik Latte Macchiato deze maand]]+Tabel242[[#This Row],[Verbruik Espresso deze maand]]+Tabel242[[#This Row],[Verbruik Coffee deze maand]]</f>
        <v>3757</v>
      </c>
      <c r="AD8" s="26"/>
      <c r="AE8" s="5"/>
      <c r="AF8" s="5"/>
      <c r="AG8" s="5"/>
      <c r="AH8" s="26"/>
      <c r="AI8" s="5"/>
      <c r="AJ8" s="5"/>
      <c r="AK8" s="5"/>
      <c r="AL8" s="26"/>
      <c r="AM8" s="5"/>
      <c r="AN8" s="5"/>
      <c r="AO8" s="5"/>
      <c r="AP8" s="26"/>
      <c r="AQ8" s="5"/>
      <c r="AR8" s="5"/>
      <c r="AS8" s="5"/>
      <c r="AT8" s="26"/>
      <c r="AU8" s="5"/>
      <c r="AV8" s="5"/>
      <c r="AW8" s="21"/>
      <c r="AX8" s="8"/>
      <c r="AY8" s="4">
        <f>Tabel242[[#This Row],[Subtotaal waterbar in consumpties]]+Tabel242[[#This Row],[Subtotaal koffieautomaten]]</f>
        <v>3757</v>
      </c>
    </row>
    <row r="9" spans="1:51" x14ac:dyDescent="0.25">
      <c r="A9" t="s">
        <v>41</v>
      </c>
      <c r="B9" t="s">
        <v>42</v>
      </c>
      <c r="C9" t="s">
        <v>31</v>
      </c>
      <c r="E9" s="25">
        <v>1036</v>
      </c>
      <c r="F9">
        <f>Tabel24[[#This Row],[Stand Coffee einde maand]]</f>
        <v>593</v>
      </c>
      <c r="G9" s="12">
        <f>Tabel242[[#This Row],[Stand Coffee einde maand]]-Tabel242[[#This Row],[Coffee vorige maand]]</f>
        <v>443</v>
      </c>
      <c r="H9" s="25">
        <v>340</v>
      </c>
      <c r="I9">
        <f>Tabel24[[#This Row],[Stand Espresso Einde maand]]</f>
        <v>169</v>
      </c>
      <c r="J9" s="12">
        <f>Tabel242[[#This Row],[Stand Espresso Einde maand]]-Tabel242[[#This Row],[Espresso vorige maand]]</f>
        <v>171</v>
      </c>
      <c r="K9" s="25">
        <v>404</v>
      </c>
      <c r="L9">
        <f>Tabel24[[#This Row],[Stand Latte Macchiato einde maand]]</f>
        <v>260</v>
      </c>
      <c r="M9">
        <f>Tabel242[[#This Row],[Stand Latte Macchiato einde maand]]-Tabel242[[#This Row],[Latte Macchiato vorige maand]]</f>
        <v>144</v>
      </c>
      <c r="N9" s="25">
        <v>192</v>
      </c>
      <c r="O9">
        <f>Tabel24[[#This Row],[Stand Coffee Latte einde maand]]</f>
        <v>129</v>
      </c>
      <c r="P9">
        <f>Tabel242[[#This Row],[Stand Coffee Latte einde maand]]-Tabel242[[#This Row],[Coffee Latte vorige maand]]</f>
        <v>63</v>
      </c>
      <c r="Q9" s="25">
        <v>4638</v>
      </c>
      <c r="R9">
        <f>Tabel24[[#This Row],[Stand Hot Water einde maand]]</f>
        <v>2953</v>
      </c>
      <c r="S9">
        <f>Tabel242[[#This Row],[Stand Hot Water einde maand]]-Tabel242[[#This Row],[Hot Water vorige maand]]</f>
        <v>1685</v>
      </c>
      <c r="T9" s="25">
        <v>887</v>
      </c>
      <c r="U9">
        <f>Tabel24[[#This Row],[Stand Cappucino einde maand]]</f>
        <v>595</v>
      </c>
      <c r="V9">
        <f>Tabel242[[#This Row],[Stand Cappucino einde maand]]-Tabel242[[#This Row],[Stand Cappucino vorige maand]]</f>
        <v>292</v>
      </c>
      <c r="W9" s="25">
        <v>301</v>
      </c>
      <c r="X9">
        <f>Tabel24[[#This Row],[Stand Cappucino Plantaardig einde maand]]</f>
        <v>219</v>
      </c>
      <c r="Y9">
        <f>Tabel242[[#This Row],[Stand Cappucino Plantaardig einde maand]]-Tabel242[[#This Row],[Stand Cappucino Plantaardig vorige maand]]</f>
        <v>82</v>
      </c>
      <c r="Z9" s="25">
        <v>62</v>
      </c>
      <c r="AA9">
        <f>Tabel24[[#This Row],[Stand Latte Macchiato Plantaardig einde maand]]</f>
        <v>45</v>
      </c>
      <c r="AB9" s="12">
        <f>Tabel242[[#This Row],[Stand Latte Macchiato Plantaardig einde maand]]-Tabel242[[#This Row],[Stand Latte Macchiato Plantaardig vorige maand]]</f>
        <v>17</v>
      </c>
      <c r="AC9" s="3">
        <f>Tabel242[[#This Row],[Verbruik Stand Latte Macchiato Plantaardig deze maand]]+Tabel242[[#This Row],[Verbruik  Cappucino Plantaardig deze maand]]+Tabel242[[#This Row],[Verbruik Cappucino deze maand]]+Tabel242[[#This Row],[Verbruik Hot Water deze maand]]+Tabel242[[#This Row],[Verbruik Coffee Latte deze maand]]+Tabel242[[#This Row],[Verbruik Latte Macchiato deze maand]]+Tabel242[[#This Row],[Verbruik Espresso deze maand]]+Tabel242[[#This Row],[Verbruik Coffee deze maand]]</f>
        <v>2897</v>
      </c>
      <c r="AD9" s="26"/>
      <c r="AE9" s="5"/>
      <c r="AF9" s="5"/>
      <c r="AG9" s="5"/>
      <c r="AH9" s="26"/>
      <c r="AI9" s="5"/>
      <c r="AJ9" s="5"/>
      <c r="AK9" s="5"/>
      <c r="AL9" s="26"/>
      <c r="AM9" s="5"/>
      <c r="AN9" s="5"/>
      <c r="AO9" s="5"/>
      <c r="AP9" s="26"/>
      <c r="AQ9" s="5"/>
      <c r="AR9" s="5"/>
      <c r="AS9" s="5"/>
      <c r="AT9" s="26"/>
      <c r="AU9" s="5"/>
      <c r="AV9" s="5"/>
      <c r="AW9" s="21"/>
      <c r="AX9" s="8"/>
      <c r="AY9" s="4">
        <f>Tabel242[[#This Row],[Subtotaal waterbar in consumpties]]+Tabel242[[#This Row],[Subtotaal koffieautomaten]]</f>
        <v>2897</v>
      </c>
    </row>
    <row r="10" spans="1:51" x14ac:dyDescent="0.25">
      <c r="A10" t="s">
        <v>43</v>
      </c>
      <c r="B10" t="s">
        <v>44</v>
      </c>
      <c r="C10" t="s">
        <v>31</v>
      </c>
      <c r="E10" s="25">
        <v>1780</v>
      </c>
      <c r="F10">
        <f>Tabel24[[#This Row],[Stand Coffee einde maand]]</f>
        <v>1200</v>
      </c>
      <c r="G10" s="12">
        <f>Tabel242[[#This Row],[Stand Coffee einde maand]]-Tabel242[[#This Row],[Coffee vorige maand]]</f>
        <v>580</v>
      </c>
      <c r="H10" s="25">
        <v>399</v>
      </c>
      <c r="I10">
        <f>Tabel24[[#This Row],[Stand Espresso Einde maand]]</f>
        <v>266</v>
      </c>
      <c r="J10" s="12">
        <f>Tabel242[[#This Row],[Stand Espresso Einde maand]]-Tabel242[[#This Row],[Espresso vorige maand]]</f>
        <v>133</v>
      </c>
      <c r="K10" s="25">
        <v>239</v>
      </c>
      <c r="L10">
        <f>Tabel24[[#This Row],[Stand Latte Macchiato einde maand]]</f>
        <v>164</v>
      </c>
      <c r="M10">
        <f>Tabel242[[#This Row],[Stand Latte Macchiato einde maand]]-Tabel242[[#This Row],[Latte Macchiato vorige maand]]</f>
        <v>75</v>
      </c>
      <c r="N10" s="25">
        <v>89</v>
      </c>
      <c r="O10">
        <f>Tabel24[[#This Row],[Stand Coffee Latte einde maand]]</f>
        <v>48</v>
      </c>
      <c r="P10">
        <f>Tabel242[[#This Row],[Stand Coffee Latte einde maand]]-Tabel242[[#This Row],[Coffee Latte vorige maand]]</f>
        <v>41</v>
      </c>
      <c r="Q10" s="25">
        <v>2488</v>
      </c>
      <c r="R10">
        <f>Tabel24[[#This Row],[Stand Hot Water einde maand]]</f>
        <v>1542</v>
      </c>
      <c r="S10">
        <f>Tabel242[[#This Row],[Stand Hot Water einde maand]]-Tabel242[[#This Row],[Hot Water vorige maand]]</f>
        <v>946</v>
      </c>
      <c r="T10" s="25">
        <v>1004</v>
      </c>
      <c r="U10">
        <f>Tabel24[[#This Row],[Stand Cappucino einde maand]]</f>
        <v>635</v>
      </c>
      <c r="V10">
        <f>Tabel242[[#This Row],[Stand Cappucino einde maand]]-Tabel242[[#This Row],[Stand Cappucino vorige maand]]</f>
        <v>369</v>
      </c>
      <c r="W10" s="25">
        <v>215</v>
      </c>
      <c r="X10">
        <f>Tabel24[[#This Row],[Stand Cappucino Plantaardig einde maand]]</f>
        <v>114</v>
      </c>
      <c r="Y10">
        <f>Tabel242[[#This Row],[Stand Cappucino Plantaardig einde maand]]-Tabel242[[#This Row],[Stand Cappucino Plantaardig vorige maand]]</f>
        <v>101</v>
      </c>
      <c r="Z10" s="25">
        <v>173</v>
      </c>
      <c r="AA10">
        <f>Tabel24[[#This Row],[Stand Latte Macchiato Plantaardig einde maand]]</f>
        <v>110</v>
      </c>
      <c r="AB10" s="12">
        <f>Tabel242[[#This Row],[Stand Latte Macchiato Plantaardig einde maand]]-Tabel242[[#This Row],[Stand Latte Macchiato Plantaardig vorige maand]]</f>
        <v>63</v>
      </c>
      <c r="AC10" s="3">
        <f>Tabel242[[#This Row],[Verbruik Stand Latte Macchiato Plantaardig deze maand]]+Tabel242[[#This Row],[Verbruik  Cappucino Plantaardig deze maand]]+Tabel242[[#This Row],[Verbruik Cappucino deze maand]]+Tabel242[[#This Row],[Verbruik Hot Water deze maand]]+Tabel242[[#This Row],[Verbruik Coffee Latte deze maand]]+Tabel242[[#This Row],[Verbruik Latte Macchiato deze maand]]+Tabel242[[#This Row],[Verbruik Espresso deze maand]]+Tabel242[[#This Row],[Verbruik Coffee deze maand]]</f>
        <v>2308</v>
      </c>
      <c r="AD10" s="26"/>
      <c r="AE10" s="5"/>
      <c r="AF10" s="5"/>
      <c r="AG10" s="7"/>
      <c r="AH10" s="26"/>
      <c r="AI10" s="5"/>
      <c r="AJ10" s="5"/>
      <c r="AK10" s="5"/>
      <c r="AL10" s="26"/>
      <c r="AM10" s="5"/>
      <c r="AN10" s="5"/>
      <c r="AO10" s="5"/>
      <c r="AP10" s="26"/>
      <c r="AQ10" s="5"/>
      <c r="AR10" s="5"/>
      <c r="AS10" s="5"/>
      <c r="AT10" s="26"/>
      <c r="AU10" s="5"/>
      <c r="AV10" s="5"/>
      <c r="AW10" s="21"/>
      <c r="AX10" s="8"/>
      <c r="AY10" s="4">
        <f>Tabel242[[#This Row],[Subtotaal waterbar in consumpties]]+Tabel242[[#This Row],[Subtotaal koffieautomaten]]</f>
        <v>2308</v>
      </c>
    </row>
    <row r="11" spans="1:51" x14ac:dyDescent="0.25">
      <c r="A11" t="s">
        <v>45</v>
      </c>
      <c r="B11" t="s">
        <v>46</v>
      </c>
      <c r="C11" t="s">
        <v>47</v>
      </c>
      <c r="E11" s="25">
        <v>2893</v>
      </c>
      <c r="F11">
        <f>Tabel24[[#This Row],[Stand Coffee einde maand]]</f>
        <v>1781</v>
      </c>
      <c r="G11" s="12">
        <f>Tabel242[[#This Row],[Stand Coffee einde maand]]-Tabel242[[#This Row],[Coffee vorige maand]]</f>
        <v>1112</v>
      </c>
      <c r="H11" s="25">
        <v>329</v>
      </c>
      <c r="I11">
        <f>Tabel24[[#This Row],[Stand Espresso Einde maand]]</f>
        <v>211</v>
      </c>
      <c r="J11" s="12">
        <f>Tabel242[[#This Row],[Stand Espresso Einde maand]]-Tabel242[[#This Row],[Espresso vorige maand]]</f>
        <v>118</v>
      </c>
      <c r="K11" s="25">
        <v>266</v>
      </c>
      <c r="L11">
        <f>Tabel24[[#This Row],[Stand Latte Macchiato einde maand]]</f>
        <v>195</v>
      </c>
      <c r="M11">
        <f>Tabel242[[#This Row],[Stand Latte Macchiato einde maand]]-Tabel242[[#This Row],[Latte Macchiato vorige maand]]</f>
        <v>71</v>
      </c>
      <c r="N11" s="25">
        <v>92</v>
      </c>
      <c r="O11">
        <f>Tabel24[[#This Row],[Stand Coffee Latte einde maand]]</f>
        <v>58</v>
      </c>
      <c r="P11">
        <f>Tabel242[[#This Row],[Stand Coffee Latte einde maand]]-Tabel242[[#This Row],[Coffee Latte vorige maand]]</f>
        <v>34</v>
      </c>
      <c r="Q11" s="25"/>
      <c r="R11">
        <f>Tabel24[[#This Row],[Stand Hot Water einde maand]]</f>
        <v>1</v>
      </c>
      <c r="S11">
        <f>Tabel242[[#This Row],[Stand Hot Water einde maand]]-Tabel242[[#This Row],[Hot Water vorige maand]]</f>
        <v>-1</v>
      </c>
      <c r="T11" s="25">
        <v>864</v>
      </c>
      <c r="U11">
        <f>Tabel24[[#This Row],[Stand Cappucino einde maand]]</f>
        <v>545</v>
      </c>
      <c r="V11">
        <f>Tabel242[[#This Row],[Stand Cappucino einde maand]]-Tabel242[[#This Row],[Stand Cappucino vorige maand]]</f>
        <v>319</v>
      </c>
      <c r="W11" s="25">
        <v>393</v>
      </c>
      <c r="X11">
        <f>Tabel24[[#This Row],[Stand Cappucino Plantaardig einde maand]]</f>
        <v>271</v>
      </c>
      <c r="Y11">
        <f>Tabel242[[#This Row],[Stand Cappucino Plantaardig einde maand]]-Tabel242[[#This Row],[Stand Cappucino Plantaardig vorige maand]]</f>
        <v>122</v>
      </c>
      <c r="Z11" s="25">
        <v>217</v>
      </c>
      <c r="AA11">
        <f>Tabel24[[#This Row],[Stand Latte Macchiato Plantaardig einde maand]]</f>
        <v>156</v>
      </c>
      <c r="AB11" s="12">
        <f>Tabel242[[#This Row],[Stand Latte Macchiato Plantaardig einde maand]]-Tabel242[[#This Row],[Stand Latte Macchiato Plantaardig vorige maand]]</f>
        <v>61</v>
      </c>
      <c r="AC11" s="3">
        <f>Tabel242[[#This Row],[Verbruik Stand Latte Macchiato Plantaardig deze maand]]+Tabel242[[#This Row],[Verbruik  Cappucino Plantaardig deze maand]]+Tabel242[[#This Row],[Verbruik Cappucino deze maand]]+Tabel242[[#This Row],[Verbruik Hot Water deze maand]]+Tabel242[[#This Row],[Verbruik Coffee Latte deze maand]]+Tabel242[[#This Row],[Verbruik Latte Macchiato deze maand]]+Tabel242[[#This Row],[Verbruik Espresso deze maand]]+Tabel242[[#This Row],[Verbruik Coffee deze maand]]</f>
        <v>1836</v>
      </c>
      <c r="AD11" s="25">
        <v>87</v>
      </c>
      <c r="AE11">
        <f>Tabel24[[#This Row],[Stand Kamertemp liter einde maand]]</f>
        <v>58</v>
      </c>
      <c r="AF11">
        <f>Tabel242[[#This Row],[Stand Kamertemp liter einde maand]]-Tabel242[[#This Row],[Stand Kamertemp liter vorige maand]]</f>
        <v>29</v>
      </c>
      <c r="AG11" s="2">
        <f>Tabel242[[#This Row],[Verbruik Kamertemp liter deze maand]]/0.15</f>
        <v>193.33333333333334</v>
      </c>
      <c r="AH11" s="25">
        <v>394.8</v>
      </c>
      <c r="AI11">
        <f>Tabel24[[#This Row],[Stand Gekoeld liter einde maand]]</f>
        <v>247.8</v>
      </c>
      <c r="AJ11">
        <f>Tabel242[[#This Row],[Stand Gekoeld liter einde maand]]-Tabel242[[#This Row],[Stand Gekoeld liter vorige maand]]</f>
        <v>147</v>
      </c>
      <c r="AK11" s="2">
        <f>Tabel242[[#This Row],[Verbruik Gekoeld liter deze maand]]/0.15</f>
        <v>980</v>
      </c>
      <c r="AL11" s="25">
        <v>510.4</v>
      </c>
      <c r="AM11">
        <f>Tabel24[[#This Row],[Stand Bruisend liter einde maand]]</f>
        <v>360.2</v>
      </c>
      <c r="AN11">
        <f>Tabel242[[#This Row],[Stand Bruisend liter einde maand]]-Tabel242[[#This Row],[Stand Bruisend liter vorige maand]]</f>
        <v>150.19999999999999</v>
      </c>
      <c r="AO11" s="2">
        <f>Tabel242[[#This Row],[Verbruik Bruisend liter deze maand]]/0.15</f>
        <v>1001.3333333333333</v>
      </c>
      <c r="AP11" s="25">
        <v>208.4</v>
      </c>
      <c r="AQ11">
        <f>Tabel24[[#This Row],[Stand licht bruisend liter einde maand]]</f>
        <v>139.69999999999999</v>
      </c>
      <c r="AR11">
        <f>Tabel242[[#This Row],[Stand licht bruisend liter einde maand]]-Tabel242[[#This Row],[Stand licht bruisend liter vorige maand]]</f>
        <v>68.700000000000017</v>
      </c>
      <c r="AS11" s="2">
        <f>Tabel242[[#This Row],[Verbruik licht bruisend liter deze maand]]/0.15</f>
        <v>458.00000000000011</v>
      </c>
      <c r="AT11" s="25">
        <v>1411</v>
      </c>
      <c r="AU11">
        <f>Tabel24[[#This Row],[Stand heet water liter einde maand]]</f>
        <v>932.5</v>
      </c>
      <c r="AV11">
        <f>Tabel242[[#This Row],[Stand heet water liter einde maand]]-Tabel242[[#This Row],[Stand heet water liter vorige maand]]</f>
        <v>478.5</v>
      </c>
      <c r="AW11" s="20">
        <f>Tabel242[[#This Row],[Verbruik heet Water liter deze maand ]]/0.15</f>
        <v>3190</v>
      </c>
      <c r="AX11" s="4">
        <f>Tabel242[[#This Row],[Aantal consumpties heet water deze maand]]+Tabel242[[#This Row],[Aantal consumpties licht bruisend water deze maand]]+Tabel242[[#This Row],[aantal consumpties Bruisend water deze maand]]+Tabel242[[#This Row],[Aantal consumpties gekoeld water deze maand]]+Tabel242[[#This Row],[Aantal consumpties Kamertemp deze maand]]</f>
        <v>5822.6666666666661</v>
      </c>
      <c r="AY11" s="4">
        <f>Tabel242[[#This Row],[Subtotaal waterbar in consumpties]]+Tabel242[[#This Row],[Subtotaal koffieautomaten]]</f>
        <v>7658.6666666666661</v>
      </c>
    </row>
    <row r="12" spans="1:51" x14ac:dyDescent="0.25">
      <c r="A12" t="s">
        <v>48</v>
      </c>
      <c r="B12" t="s">
        <v>49</v>
      </c>
      <c r="C12" t="s">
        <v>31</v>
      </c>
      <c r="E12" s="25">
        <v>2799</v>
      </c>
      <c r="F12">
        <f>Tabel24[[#This Row],[Stand Coffee einde maand]]</f>
        <v>1753</v>
      </c>
      <c r="G12" s="12">
        <f>Tabel242[[#This Row],[Stand Coffee einde maand]]-Tabel242[[#This Row],[Coffee vorige maand]]</f>
        <v>1046</v>
      </c>
      <c r="H12" s="25">
        <v>897</v>
      </c>
      <c r="I12">
        <f>Tabel24[[#This Row],[Stand Espresso Einde maand]]</f>
        <v>568</v>
      </c>
      <c r="J12" s="12">
        <f>Tabel242[[#This Row],[Stand Espresso Einde maand]]-Tabel242[[#This Row],[Espresso vorige maand]]</f>
        <v>329</v>
      </c>
      <c r="K12" s="25">
        <v>214</v>
      </c>
      <c r="L12">
        <f>Tabel24[[#This Row],[Stand Latte Macchiato einde maand]]</f>
        <v>139</v>
      </c>
      <c r="M12">
        <f>Tabel242[[#This Row],[Stand Latte Macchiato einde maand]]-Tabel242[[#This Row],[Latte Macchiato vorige maand]]</f>
        <v>75</v>
      </c>
      <c r="N12" s="25">
        <v>39</v>
      </c>
      <c r="O12">
        <f>Tabel24[[#This Row],[Stand Coffee Latte einde maand]]</f>
        <v>29</v>
      </c>
      <c r="P12">
        <f>Tabel242[[#This Row],[Stand Coffee Latte einde maand]]-Tabel242[[#This Row],[Coffee Latte vorige maand]]</f>
        <v>10</v>
      </c>
      <c r="Q12" s="25">
        <v>6732</v>
      </c>
      <c r="R12">
        <f>Tabel24[[#This Row],[Stand Hot Water einde maand]]</f>
        <v>4256</v>
      </c>
      <c r="S12">
        <f>Tabel242[[#This Row],[Stand Hot Water einde maand]]-Tabel242[[#This Row],[Hot Water vorige maand]]</f>
        <v>2476</v>
      </c>
      <c r="T12" s="25">
        <v>1200</v>
      </c>
      <c r="U12">
        <f>Tabel24[[#This Row],[Stand Cappucino einde maand]]</f>
        <v>751</v>
      </c>
      <c r="V12">
        <f>Tabel242[[#This Row],[Stand Cappucino einde maand]]-Tabel242[[#This Row],[Stand Cappucino vorige maand]]</f>
        <v>449</v>
      </c>
      <c r="W12" s="25">
        <v>484</v>
      </c>
      <c r="X12">
        <f>Tabel24[[#This Row],[Stand Cappucino Plantaardig einde maand]]</f>
        <v>343</v>
      </c>
      <c r="Y12">
        <f>Tabel242[[#This Row],[Stand Cappucino Plantaardig einde maand]]-Tabel242[[#This Row],[Stand Cappucino Plantaardig vorige maand]]</f>
        <v>141</v>
      </c>
      <c r="Z12" s="25">
        <v>147</v>
      </c>
      <c r="AA12">
        <f>Tabel24[[#This Row],[Stand Latte Macchiato Plantaardig einde maand]]</f>
        <v>120</v>
      </c>
      <c r="AB12" s="12">
        <f>Tabel242[[#This Row],[Stand Latte Macchiato Plantaardig einde maand]]-Tabel242[[#This Row],[Stand Latte Macchiato Plantaardig vorige maand]]</f>
        <v>27</v>
      </c>
      <c r="AC12" s="3">
        <f>Tabel242[[#This Row],[Verbruik Stand Latte Macchiato Plantaardig deze maand]]+Tabel242[[#This Row],[Verbruik  Cappucino Plantaardig deze maand]]+Tabel242[[#This Row],[Verbruik Cappucino deze maand]]+Tabel242[[#This Row],[Verbruik Hot Water deze maand]]+Tabel242[[#This Row],[Verbruik Coffee Latte deze maand]]+Tabel242[[#This Row],[Verbruik Latte Macchiato deze maand]]+Tabel242[[#This Row],[Verbruik Espresso deze maand]]+Tabel242[[#This Row],[Verbruik Coffee deze maand]]</f>
        <v>4553</v>
      </c>
      <c r="AD12" s="26"/>
      <c r="AE12" s="5"/>
      <c r="AF12" s="5"/>
      <c r="AG12" s="7"/>
      <c r="AH12" s="26"/>
      <c r="AI12" s="5"/>
      <c r="AJ12" s="5"/>
      <c r="AK12" s="7"/>
      <c r="AL12" s="26"/>
      <c r="AM12" s="5"/>
      <c r="AN12" s="5"/>
      <c r="AO12" s="5"/>
      <c r="AP12" s="26"/>
      <c r="AQ12" s="5"/>
      <c r="AR12" s="5"/>
      <c r="AS12" s="7"/>
      <c r="AT12" s="26"/>
      <c r="AU12" s="5"/>
      <c r="AV12" s="5"/>
      <c r="AW12" s="21"/>
      <c r="AX12" s="8"/>
      <c r="AY12" s="4">
        <f>Tabel242[[#This Row],[Subtotaal waterbar in consumpties]]+Tabel242[[#This Row],[Subtotaal koffieautomaten]]</f>
        <v>4553</v>
      </c>
    </row>
    <row r="13" spans="1:51" x14ac:dyDescent="0.25">
      <c r="A13" t="s">
        <v>50</v>
      </c>
      <c r="B13" t="s">
        <v>51</v>
      </c>
      <c r="C13" t="s">
        <v>47</v>
      </c>
      <c r="E13" s="25">
        <v>2135</v>
      </c>
      <c r="F13">
        <f>Tabel24[[#This Row],[Stand Coffee einde maand]]</f>
        <v>1270</v>
      </c>
      <c r="G13" s="12">
        <f>Tabel242[[#This Row],[Stand Coffee einde maand]]-Tabel242[[#This Row],[Coffee vorige maand]]</f>
        <v>865</v>
      </c>
      <c r="H13" s="25">
        <v>645</v>
      </c>
      <c r="I13">
        <f>Tabel24[[#This Row],[Stand Espresso Einde maand]]</f>
        <v>462</v>
      </c>
      <c r="J13" s="12">
        <f>Tabel242[[#This Row],[Stand Espresso Einde maand]]-Tabel242[[#This Row],[Espresso vorige maand]]</f>
        <v>183</v>
      </c>
      <c r="K13" s="25">
        <v>269</v>
      </c>
      <c r="L13">
        <f>Tabel24[[#This Row],[Stand Latte Macchiato einde maand]]</f>
        <v>139</v>
      </c>
      <c r="M13">
        <f>Tabel242[[#This Row],[Stand Latte Macchiato einde maand]]-Tabel242[[#This Row],[Latte Macchiato vorige maand]]</f>
        <v>130</v>
      </c>
      <c r="N13" s="25">
        <v>195</v>
      </c>
      <c r="O13">
        <f>Tabel24[[#This Row],[Stand Coffee Latte einde maand]]</f>
        <v>99</v>
      </c>
      <c r="P13">
        <f>Tabel242[[#This Row],[Stand Coffee Latte einde maand]]-Tabel242[[#This Row],[Coffee Latte vorige maand]]</f>
        <v>96</v>
      </c>
      <c r="Q13" s="25"/>
      <c r="R13">
        <f>Tabel24[[#This Row],[Stand Hot Water einde maand]]</f>
        <v>1</v>
      </c>
      <c r="S13">
        <f>Tabel242[[#This Row],[Stand Hot Water einde maand]]-Tabel242[[#This Row],[Hot Water vorige maand]]</f>
        <v>-1</v>
      </c>
      <c r="T13" s="25">
        <v>889</v>
      </c>
      <c r="U13">
        <f>Tabel24[[#This Row],[Stand Cappucino einde maand]]</f>
        <v>570</v>
      </c>
      <c r="V13">
        <f>Tabel242[[#This Row],[Stand Cappucino einde maand]]-Tabel242[[#This Row],[Stand Cappucino vorige maand]]</f>
        <v>319</v>
      </c>
      <c r="W13" s="25">
        <v>409</v>
      </c>
      <c r="X13">
        <f>Tabel24[[#This Row],[Stand Cappucino Plantaardig einde maand]]</f>
        <v>276</v>
      </c>
      <c r="Y13">
        <f>Tabel242[[#This Row],[Stand Cappucino Plantaardig einde maand]]-Tabel242[[#This Row],[Stand Cappucino Plantaardig vorige maand]]</f>
        <v>133</v>
      </c>
      <c r="Z13" s="25">
        <v>87</v>
      </c>
      <c r="AA13">
        <f>Tabel24[[#This Row],[Stand Latte Macchiato Plantaardig einde maand]]</f>
        <v>65</v>
      </c>
      <c r="AB13" s="12">
        <f>Tabel242[[#This Row],[Stand Latte Macchiato Plantaardig einde maand]]-Tabel242[[#This Row],[Stand Latte Macchiato Plantaardig vorige maand]]</f>
        <v>22</v>
      </c>
      <c r="AC13" s="3">
        <f>Tabel242[[#This Row],[Verbruik Stand Latte Macchiato Plantaardig deze maand]]+Tabel242[[#This Row],[Verbruik  Cappucino Plantaardig deze maand]]+Tabel242[[#This Row],[Verbruik Cappucino deze maand]]+Tabel242[[#This Row],[Verbruik Hot Water deze maand]]+Tabel242[[#This Row],[Verbruik Coffee Latte deze maand]]+Tabel242[[#This Row],[Verbruik Latte Macchiato deze maand]]+Tabel242[[#This Row],[Verbruik Espresso deze maand]]+Tabel242[[#This Row],[Verbruik Coffee deze maand]]</f>
        <v>1747</v>
      </c>
      <c r="AD13" s="25">
        <v>58.5</v>
      </c>
      <c r="AE13">
        <f>Tabel24[[#This Row],[Stand Kamertemp liter einde maand]]</f>
        <v>38.5</v>
      </c>
      <c r="AF13">
        <f>Tabel242[[#This Row],[Stand Kamertemp liter einde maand]]-Tabel242[[#This Row],[Stand Kamertemp liter vorige maand]]</f>
        <v>20</v>
      </c>
      <c r="AG13" s="2">
        <f>Tabel242[[#This Row],[Verbruik Kamertemp liter deze maand]]/0.15</f>
        <v>133.33333333333334</v>
      </c>
      <c r="AH13" s="25">
        <v>396.6</v>
      </c>
      <c r="AI13">
        <f>Tabel24[[#This Row],[Stand Gekoeld liter einde maand]]</f>
        <v>254.2</v>
      </c>
      <c r="AJ13">
        <f>Tabel242[[#This Row],[Stand Gekoeld liter einde maand]]-Tabel242[[#This Row],[Stand Gekoeld liter vorige maand]]</f>
        <v>142.40000000000003</v>
      </c>
      <c r="AK13" s="2">
        <f>Tabel242[[#This Row],[Verbruik Gekoeld liter deze maand]]/0.15</f>
        <v>949.3333333333336</v>
      </c>
      <c r="AL13" s="25">
        <v>388.2</v>
      </c>
      <c r="AM13">
        <f>Tabel24[[#This Row],[Stand Bruisend liter einde maand]]</f>
        <v>266.8</v>
      </c>
      <c r="AN13">
        <f>Tabel242[[#This Row],[Stand Bruisend liter einde maand]]-Tabel242[[#This Row],[Stand Bruisend liter vorige maand]]</f>
        <v>121.39999999999998</v>
      </c>
      <c r="AO13" s="2">
        <f>Tabel242[[#This Row],[Verbruik Bruisend liter deze maand]]/0.15</f>
        <v>809.33333333333326</v>
      </c>
      <c r="AP13" s="25">
        <v>340.2</v>
      </c>
      <c r="AQ13">
        <f>Tabel24[[#This Row],[Stand licht bruisend liter einde maand]]</f>
        <v>216.1</v>
      </c>
      <c r="AR13">
        <f>Tabel242[[#This Row],[Stand licht bruisend liter einde maand]]-Tabel242[[#This Row],[Stand licht bruisend liter vorige maand]]</f>
        <v>124.1</v>
      </c>
      <c r="AS13" s="2">
        <f>Tabel242[[#This Row],[Verbruik licht bruisend liter deze maand]]/0.15</f>
        <v>827.33333333333337</v>
      </c>
      <c r="AT13" s="25">
        <v>1599.5</v>
      </c>
      <c r="AU13">
        <f>Tabel24[[#This Row],[Stand heet water liter einde maand]]</f>
        <v>1038.0999999999999</v>
      </c>
      <c r="AV13">
        <f>Tabel242[[#This Row],[Stand heet water liter einde maand]]-Tabel242[[#This Row],[Stand heet water liter vorige maand]]</f>
        <v>561.40000000000009</v>
      </c>
      <c r="AW13" s="20">
        <f>Tabel242[[#This Row],[Verbruik heet Water liter deze maand ]]/0.15</f>
        <v>3742.6666666666674</v>
      </c>
      <c r="AX13" s="4">
        <f>Tabel242[[#This Row],[Aantal consumpties heet water deze maand]]+Tabel242[[#This Row],[Aantal consumpties licht bruisend water deze maand]]+Tabel242[[#This Row],[aantal consumpties Bruisend water deze maand]]+Tabel242[[#This Row],[Aantal consumpties gekoeld water deze maand]]+Tabel242[[#This Row],[Aantal consumpties Kamertemp deze maand]]</f>
        <v>6462.0000000000009</v>
      </c>
      <c r="AY13" s="4">
        <f>Tabel242[[#This Row],[Subtotaal waterbar in consumpties]]+Tabel242[[#This Row],[Subtotaal koffieautomaten]]</f>
        <v>8209</v>
      </c>
    </row>
    <row r="14" spans="1:51" x14ac:dyDescent="0.25">
      <c r="A14" t="s">
        <v>52</v>
      </c>
      <c r="B14" t="s">
        <v>53</v>
      </c>
      <c r="C14" t="s">
        <v>31</v>
      </c>
      <c r="E14" s="25">
        <v>2305</v>
      </c>
      <c r="F14">
        <f>Tabel24[[#This Row],[Stand Coffee einde maand]]</f>
        <v>1472</v>
      </c>
      <c r="G14" s="12">
        <f>Tabel242[[#This Row],[Stand Coffee einde maand]]-Tabel242[[#This Row],[Coffee vorige maand]]</f>
        <v>833</v>
      </c>
      <c r="H14" s="25">
        <v>615</v>
      </c>
      <c r="I14">
        <f>Tabel24[[#This Row],[Stand Espresso Einde maand]]</f>
        <v>361</v>
      </c>
      <c r="J14" s="12">
        <f>Tabel242[[#This Row],[Stand Espresso Einde maand]]-Tabel242[[#This Row],[Espresso vorige maand]]</f>
        <v>254</v>
      </c>
      <c r="K14" s="25">
        <v>109</v>
      </c>
      <c r="L14">
        <f>Tabel24[[#This Row],[Stand Latte Macchiato einde maand]]</f>
        <v>81</v>
      </c>
      <c r="M14">
        <f>Tabel242[[#This Row],[Stand Latte Macchiato einde maand]]-Tabel242[[#This Row],[Latte Macchiato vorige maand]]</f>
        <v>28</v>
      </c>
      <c r="N14" s="25">
        <v>102</v>
      </c>
      <c r="O14">
        <f>Tabel24[[#This Row],[Stand Coffee Latte einde maand]]</f>
        <v>65</v>
      </c>
      <c r="P14">
        <f>Tabel242[[#This Row],[Stand Coffee Latte einde maand]]-Tabel242[[#This Row],[Coffee Latte vorige maand]]</f>
        <v>37</v>
      </c>
      <c r="Q14" s="25">
        <v>3479</v>
      </c>
      <c r="R14">
        <f>Tabel24[[#This Row],[Stand Hot Water einde maand]]</f>
        <v>2240</v>
      </c>
      <c r="S14">
        <f>Tabel242[[#This Row],[Stand Hot Water einde maand]]-Tabel242[[#This Row],[Hot Water vorige maand]]</f>
        <v>1239</v>
      </c>
      <c r="T14" s="25">
        <v>1043</v>
      </c>
      <c r="U14">
        <f>Tabel24[[#This Row],[Stand Cappucino einde maand]]</f>
        <v>655</v>
      </c>
      <c r="V14">
        <f>Tabel242[[#This Row],[Stand Cappucino einde maand]]-Tabel242[[#This Row],[Stand Cappucino vorige maand]]</f>
        <v>388</v>
      </c>
      <c r="W14" s="25">
        <v>375</v>
      </c>
      <c r="X14">
        <f>Tabel24[[#This Row],[Stand Cappucino Plantaardig einde maand]]</f>
        <v>254</v>
      </c>
      <c r="Y14">
        <f>Tabel242[[#This Row],[Stand Cappucino Plantaardig einde maand]]-Tabel242[[#This Row],[Stand Cappucino Plantaardig vorige maand]]</f>
        <v>121</v>
      </c>
      <c r="Z14" s="25">
        <v>103</v>
      </c>
      <c r="AA14">
        <f>Tabel24[[#This Row],[Stand Latte Macchiato Plantaardig einde maand]]</f>
        <v>90</v>
      </c>
      <c r="AB14" s="12">
        <f>Tabel242[[#This Row],[Stand Latte Macchiato Plantaardig einde maand]]-Tabel242[[#This Row],[Stand Latte Macchiato Plantaardig vorige maand]]</f>
        <v>13</v>
      </c>
      <c r="AC14" s="3">
        <f>Tabel242[[#This Row],[Verbruik Stand Latte Macchiato Plantaardig deze maand]]+Tabel242[[#This Row],[Verbruik  Cappucino Plantaardig deze maand]]+Tabel242[[#This Row],[Verbruik Cappucino deze maand]]+Tabel242[[#This Row],[Verbruik Hot Water deze maand]]+Tabel242[[#This Row],[Verbruik Coffee Latte deze maand]]+Tabel242[[#This Row],[Verbruik Latte Macchiato deze maand]]+Tabel242[[#This Row],[Verbruik Espresso deze maand]]+Tabel242[[#This Row],[Verbruik Coffee deze maand]]</f>
        <v>2913</v>
      </c>
      <c r="AD14" s="26"/>
      <c r="AE14" s="5"/>
      <c r="AF14" s="5"/>
      <c r="AG14" s="7"/>
      <c r="AH14" s="26"/>
      <c r="AI14" s="5"/>
      <c r="AJ14" s="5"/>
      <c r="AK14" s="7"/>
      <c r="AL14" s="26"/>
      <c r="AM14" s="5"/>
      <c r="AN14" s="5"/>
      <c r="AO14" s="5"/>
      <c r="AP14" s="26"/>
      <c r="AQ14" s="5"/>
      <c r="AR14" s="5"/>
      <c r="AS14" s="7"/>
      <c r="AT14" s="26"/>
      <c r="AU14" s="5"/>
      <c r="AV14" s="5"/>
      <c r="AW14" s="21"/>
      <c r="AX14" s="8"/>
      <c r="AY14" s="4">
        <f>Tabel242[[#This Row],[Subtotaal waterbar in consumpties]]+Tabel242[[#This Row],[Subtotaal koffieautomaten]]</f>
        <v>2913</v>
      </c>
    </row>
    <row r="15" spans="1:51" x14ac:dyDescent="0.25">
      <c r="A15" t="s">
        <v>54</v>
      </c>
      <c r="B15" t="s">
        <v>55</v>
      </c>
      <c r="C15" t="s">
        <v>36</v>
      </c>
      <c r="E15" s="32"/>
      <c r="F15" s="33"/>
      <c r="G15" s="34"/>
      <c r="H15" s="32"/>
      <c r="I15" s="33"/>
      <c r="J15" s="34"/>
      <c r="K15" s="32"/>
      <c r="L15" s="33"/>
      <c r="M15" s="33"/>
      <c r="N15" s="32"/>
      <c r="O15" s="33"/>
      <c r="P15" s="33"/>
      <c r="Q15" s="32"/>
      <c r="R15" s="33"/>
      <c r="S15" s="33"/>
      <c r="T15" s="32"/>
      <c r="U15" s="33"/>
      <c r="V15" s="33"/>
      <c r="W15" s="32"/>
      <c r="X15" s="33"/>
      <c r="Y15" s="33"/>
      <c r="Z15" s="32"/>
      <c r="AA15" s="33"/>
      <c r="AB15" s="34"/>
      <c r="AC15" s="35"/>
      <c r="AD15" s="25">
        <v>40.1</v>
      </c>
      <c r="AE15">
        <f>Tabel24[[#This Row],[Stand Kamertemp liter einde maand]]</f>
        <v>26.6</v>
      </c>
      <c r="AF15">
        <f>Tabel242[[#This Row],[Stand Kamertemp liter einde maand]]-Tabel242[[#This Row],[Stand Kamertemp liter vorige maand]]</f>
        <v>13.5</v>
      </c>
      <c r="AG15" s="2">
        <f>Tabel242[[#This Row],[Verbruik Kamertemp liter deze maand]]/0.15</f>
        <v>90</v>
      </c>
      <c r="AH15" s="25">
        <v>196.6</v>
      </c>
      <c r="AI15">
        <f>Tabel24[[#This Row],[Stand Gekoeld liter einde maand]]</f>
        <v>120</v>
      </c>
      <c r="AJ15">
        <f>Tabel242[[#This Row],[Stand Gekoeld liter einde maand]]-Tabel242[[#This Row],[Stand Gekoeld liter vorige maand]]</f>
        <v>76.599999999999994</v>
      </c>
      <c r="AK15" s="2">
        <f>Tabel242[[#This Row],[Verbruik Gekoeld liter deze maand]]/0.15</f>
        <v>510.66666666666663</v>
      </c>
      <c r="AL15" s="25">
        <v>295.39999999999998</v>
      </c>
      <c r="AM15">
        <f>Tabel24[[#This Row],[Stand Bruisend liter einde maand]]</f>
        <v>202.4</v>
      </c>
      <c r="AN15">
        <f>Tabel242[[#This Row],[Stand Bruisend liter einde maand]]-Tabel242[[#This Row],[Stand Bruisend liter vorige maand]]</f>
        <v>92.999999999999972</v>
      </c>
      <c r="AO15" s="2">
        <f>Tabel242[[#This Row],[Verbruik Bruisend liter deze maand]]/0.15</f>
        <v>619.99999999999989</v>
      </c>
      <c r="AP15" s="25">
        <v>109.6</v>
      </c>
      <c r="AQ15">
        <f>Tabel24[[#This Row],[Stand licht bruisend liter einde maand]]</f>
        <v>68</v>
      </c>
      <c r="AR15">
        <f>Tabel242[[#This Row],[Stand licht bruisend liter einde maand]]-Tabel242[[#This Row],[Stand licht bruisend liter vorige maand]]</f>
        <v>41.599999999999994</v>
      </c>
      <c r="AS15" s="2">
        <f>Tabel242[[#This Row],[Verbruik licht bruisend liter deze maand]]/0.15</f>
        <v>277.33333333333331</v>
      </c>
      <c r="AT15" s="25">
        <v>1000.5</v>
      </c>
      <c r="AU15">
        <f>Tabel24[[#This Row],[Stand heet water liter einde maand]]</f>
        <v>685.7</v>
      </c>
      <c r="AV15">
        <f>Tabel242[[#This Row],[Stand heet water liter einde maand]]-Tabel242[[#This Row],[Stand heet water liter vorige maand]]</f>
        <v>314.79999999999995</v>
      </c>
      <c r="AW15" s="20">
        <f>Tabel242[[#This Row],[Verbruik heet Water liter deze maand ]]/0.15</f>
        <v>2098.6666666666665</v>
      </c>
      <c r="AX15" s="4">
        <f>Tabel242[[#This Row],[Aantal consumpties heet water deze maand]]+Tabel242[[#This Row],[Aantal consumpties licht bruisend water deze maand]]+Tabel242[[#This Row],[aantal consumpties Bruisend water deze maand]]+Tabel242[[#This Row],[Aantal consumpties gekoeld water deze maand]]+Tabel242[[#This Row],[Aantal consumpties Kamertemp deze maand]]</f>
        <v>3596.6666666666665</v>
      </c>
      <c r="AY15" s="4">
        <f>Tabel242[[#This Row],[Subtotaal waterbar in consumpties]]+Tabel242[[#This Row],[Subtotaal koffieautomaten]]</f>
        <v>3596.6666666666665</v>
      </c>
    </row>
    <row r="16" spans="1:51" x14ac:dyDescent="0.25">
      <c r="A16" t="s">
        <v>56</v>
      </c>
      <c r="B16" t="s">
        <v>57</v>
      </c>
      <c r="C16" t="s">
        <v>31</v>
      </c>
      <c r="E16" s="25">
        <v>3046</v>
      </c>
      <c r="F16">
        <f>Tabel24[[#This Row],[Stand Coffee einde maand]]</f>
        <v>1951</v>
      </c>
      <c r="G16" s="12">
        <f>Tabel242[[#This Row],[Stand Coffee einde maand]]-Tabel242[[#This Row],[Coffee vorige maand]]</f>
        <v>1095</v>
      </c>
      <c r="H16" s="25">
        <v>700</v>
      </c>
      <c r="I16">
        <f>Tabel24[[#This Row],[Stand Espresso Einde maand]]</f>
        <v>485</v>
      </c>
      <c r="J16" s="12">
        <f>Tabel242[[#This Row],[Stand Espresso Einde maand]]-Tabel242[[#This Row],[Espresso vorige maand]]</f>
        <v>215</v>
      </c>
      <c r="K16" s="25">
        <v>105</v>
      </c>
      <c r="L16">
        <f>Tabel24[[#This Row],[Stand Latte Macchiato einde maand]]</f>
        <v>84</v>
      </c>
      <c r="M16">
        <f>Tabel242[[#This Row],[Stand Latte Macchiato einde maand]]-Tabel242[[#This Row],[Latte Macchiato vorige maand]]</f>
        <v>21</v>
      </c>
      <c r="N16" s="25">
        <v>187</v>
      </c>
      <c r="O16">
        <f>Tabel24[[#This Row],[Stand Coffee Latte einde maand]]</f>
        <v>120</v>
      </c>
      <c r="P16">
        <f>Tabel242[[#This Row],[Stand Coffee Latte einde maand]]-Tabel242[[#This Row],[Coffee Latte vorige maand]]</f>
        <v>67</v>
      </c>
      <c r="Q16" s="25">
        <v>4461</v>
      </c>
      <c r="R16">
        <f>Tabel24[[#This Row],[Stand Hot Water einde maand]]</f>
        <v>2991</v>
      </c>
      <c r="S16">
        <f>Tabel242[[#This Row],[Stand Hot Water einde maand]]-Tabel242[[#This Row],[Hot Water vorige maand]]</f>
        <v>1470</v>
      </c>
      <c r="T16" s="25">
        <v>1509</v>
      </c>
      <c r="U16">
        <f>Tabel24[[#This Row],[Stand Cappucino einde maand]]</f>
        <v>974</v>
      </c>
      <c r="V16">
        <f>Tabel242[[#This Row],[Stand Cappucino einde maand]]-Tabel242[[#This Row],[Stand Cappucino vorige maand]]</f>
        <v>535</v>
      </c>
      <c r="W16" s="25">
        <v>533</v>
      </c>
      <c r="X16">
        <f>Tabel24[[#This Row],[Stand Cappucino Plantaardig einde maand]]</f>
        <v>379</v>
      </c>
      <c r="Y16">
        <f>Tabel242[[#This Row],[Stand Cappucino Plantaardig einde maand]]-Tabel242[[#This Row],[Stand Cappucino Plantaardig vorige maand]]</f>
        <v>154</v>
      </c>
      <c r="Z16" s="25">
        <v>177</v>
      </c>
      <c r="AA16">
        <f>Tabel24[[#This Row],[Stand Latte Macchiato Plantaardig einde maand]]</f>
        <v>135</v>
      </c>
      <c r="AB16" s="12">
        <f>Tabel242[[#This Row],[Stand Latte Macchiato Plantaardig einde maand]]-Tabel242[[#This Row],[Stand Latte Macchiato Plantaardig vorige maand]]</f>
        <v>42</v>
      </c>
      <c r="AC16" s="3">
        <f>Tabel242[[#This Row],[Verbruik Stand Latte Macchiato Plantaardig deze maand]]+Tabel242[[#This Row],[Verbruik  Cappucino Plantaardig deze maand]]+Tabel242[[#This Row],[Verbruik Cappucino deze maand]]+Tabel242[[#This Row],[Verbruik Hot Water deze maand]]+Tabel242[[#This Row],[Verbruik Coffee Latte deze maand]]+Tabel242[[#This Row],[Verbruik Latte Macchiato deze maand]]+Tabel242[[#This Row],[Verbruik Espresso deze maand]]+Tabel242[[#This Row],[Verbruik Coffee deze maand]]</f>
        <v>3599</v>
      </c>
      <c r="AD16" s="26"/>
      <c r="AE16" s="5"/>
      <c r="AF16" s="5"/>
      <c r="AG16" s="7"/>
      <c r="AH16" s="26"/>
      <c r="AI16" s="5"/>
      <c r="AJ16" s="5"/>
      <c r="AK16" s="7"/>
      <c r="AL16" s="26"/>
      <c r="AM16" s="5"/>
      <c r="AN16" s="5"/>
      <c r="AO16" s="5"/>
      <c r="AP16" s="26"/>
      <c r="AQ16" s="5"/>
      <c r="AR16" s="5"/>
      <c r="AS16" s="7"/>
      <c r="AT16" s="26"/>
      <c r="AU16" s="5"/>
      <c r="AV16" s="5"/>
      <c r="AW16" s="21"/>
      <c r="AX16" s="8"/>
      <c r="AY16" s="4">
        <f>Tabel242[[#This Row],[Subtotaal waterbar in consumpties]]+Tabel242[[#This Row],[Subtotaal koffieautomaten]]</f>
        <v>3599</v>
      </c>
    </row>
    <row r="17" spans="1:51" x14ac:dyDescent="0.25">
      <c r="A17" t="s">
        <v>58</v>
      </c>
      <c r="B17" t="s">
        <v>59</v>
      </c>
      <c r="C17" t="s">
        <v>47</v>
      </c>
      <c r="E17" s="25">
        <v>2478</v>
      </c>
      <c r="F17">
        <f>Tabel24[[#This Row],[Stand Coffee einde maand]]</f>
        <v>1478</v>
      </c>
      <c r="G17" s="12">
        <f>Tabel242[[#This Row],[Stand Coffee einde maand]]-Tabel242[[#This Row],[Coffee vorige maand]]</f>
        <v>1000</v>
      </c>
      <c r="H17" s="25">
        <v>421</v>
      </c>
      <c r="I17">
        <f>Tabel24[[#This Row],[Stand Espresso Einde maand]]</f>
        <v>279</v>
      </c>
      <c r="J17" s="12">
        <f>Tabel242[[#This Row],[Stand Espresso Einde maand]]-Tabel242[[#This Row],[Espresso vorige maand]]</f>
        <v>142</v>
      </c>
      <c r="K17" s="25">
        <v>227</v>
      </c>
      <c r="L17">
        <f>Tabel24[[#This Row],[Stand Latte Macchiato einde maand]]</f>
        <v>145</v>
      </c>
      <c r="M17">
        <f>Tabel242[[#This Row],[Stand Latte Macchiato einde maand]]-Tabel242[[#This Row],[Latte Macchiato vorige maand]]</f>
        <v>82</v>
      </c>
      <c r="N17" s="25">
        <v>92</v>
      </c>
      <c r="O17">
        <f>Tabel24[[#This Row],[Stand Coffee Latte einde maand]]</f>
        <v>72</v>
      </c>
      <c r="P17">
        <f>Tabel242[[#This Row],[Stand Coffee Latte einde maand]]-Tabel242[[#This Row],[Coffee Latte vorige maand]]</f>
        <v>20</v>
      </c>
      <c r="Q17" s="25"/>
      <c r="R17">
        <f>Tabel24[[#This Row],[Stand Hot Water einde maand]]</f>
        <v>1</v>
      </c>
      <c r="S17">
        <f>Tabel242[[#This Row],[Stand Hot Water einde maand]]-Tabel242[[#This Row],[Hot Water vorige maand]]</f>
        <v>-1</v>
      </c>
      <c r="T17" s="25">
        <v>1014</v>
      </c>
      <c r="U17">
        <f>Tabel24[[#This Row],[Stand Cappucino einde maand]]</f>
        <v>599</v>
      </c>
      <c r="V17">
        <f>Tabel242[[#This Row],[Stand Cappucino einde maand]]-Tabel242[[#This Row],[Stand Cappucino vorige maand]]</f>
        <v>415</v>
      </c>
      <c r="W17" s="25">
        <v>740</v>
      </c>
      <c r="X17">
        <f>Tabel24[[#This Row],[Stand Cappucino Plantaardig einde maand]]</f>
        <v>486</v>
      </c>
      <c r="Y17">
        <f>Tabel242[[#This Row],[Stand Cappucino Plantaardig einde maand]]-Tabel242[[#This Row],[Stand Cappucino Plantaardig vorige maand]]</f>
        <v>254</v>
      </c>
      <c r="Z17" s="25">
        <v>63</v>
      </c>
      <c r="AA17">
        <f>Tabel24[[#This Row],[Stand Latte Macchiato Plantaardig einde maand]]</f>
        <v>39</v>
      </c>
      <c r="AB17" s="12">
        <f>Tabel242[[#This Row],[Stand Latte Macchiato Plantaardig einde maand]]-Tabel242[[#This Row],[Stand Latte Macchiato Plantaardig vorige maand]]</f>
        <v>24</v>
      </c>
      <c r="AC17" s="3">
        <f>Tabel242[[#This Row],[Verbruik Stand Latte Macchiato Plantaardig deze maand]]+Tabel242[[#This Row],[Verbruik  Cappucino Plantaardig deze maand]]+Tabel242[[#This Row],[Verbruik Cappucino deze maand]]+Tabel242[[#This Row],[Verbruik Hot Water deze maand]]+Tabel242[[#This Row],[Verbruik Coffee Latte deze maand]]+Tabel242[[#This Row],[Verbruik Latte Macchiato deze maand]]+Tabel242[[#This Row],[Verbruik Espresso deze maand]]+Tabel242[[#This Row],[Verbruik Coffee deze maand]]</f>
        <v>1936</v>
      </c>
      <c r="AD17" s="25">
        <v>98.6</v>
      </c>
      <c r="AE17">
        <f>Tabel24[[#This Row],[Stand Kamertemp liter einde maand]]</f>
        <v>70.2</v>
      </c>
      <c r="AF17">
        <f>Tabel242[[#This Row],[Stand Kamertemp liter einde maand]]-Tabel242[[#This Row],[Stand Kamertemp liter vorige maand]]</f>
        <v>28.399999999999991</v>
      </c>
      <c r="AG17" s="2">
        <f>Tabel242[[#This Row],[Verbruik Kamertemp liter deze maand]]/0.15</f>
        <v>189.33333333333329</v>
      </c>
      <c r="AH17" s="25">
        <v>359.9</v>
      </c>
      <c r="AI17">
        <f>Tabel24[[#This Row],[Stand Gekoeld liter einde maand]]</f>
        <v>227.6</v>
      </c>
      <c r="AJ17">
        <f>Tabel242[[#This Row],[Stand Gekoeld liter einde maand]]-Tabel242[[#This Row],[Stand Gekoeld liter vorige maand]]</f>
        <v>132.29999999999998</v>
      </c>
      <c r="AK17" s="2">
        <f>Tabel242[[#This Row],[Verbruik Gekoeld liter deze maand]]/0.15</f>
        <v>881.99999999999989</v>
      </c>
      <c r="AL17" s="25">
        <v>422.2</v>
      </c>
      <c r="AM17">
        <f>Tabel24[[#This Row],[Stand Bruisend liter einde maand]]</f>
        <v>264.60000000000002</v>
      </c>
      <c r="AN17">
        <f>Tabel242[[#This Row],[Stand Bruisend liter einde maand]]-Tabel242[[#This Row],[Stand Bruisend liter vorige maand]]</f>
        <v>157.59999999999997</v>
      </c>
      <c r="AO17" s="2">
        <f>Tabel242[[#This Row],[Verbruik Bruisend liter deze maand]]/0.15</f>
        <v>1050.6666666666665</v>
      </c>
      <c r="AP17" s="25">
        <v>144.30000000000001</v>
      </c>
      <c r="AQ17">
        <f>Tabel24[[#This Row],[Stand licht bruisend liter einde maand]]</f>
        <v>103.3</v>
      </c>
      <c r="AR17">
        <f>Tabel242[[#This Row],[Stand licht bruisend liter einde maand]]-Tabel242[[#This Row],[Stand licht bruisend liter vorige maand]]</f>
        <v>41.000000000000014</v>
      </c>
      <c r="AS17" s="2">
        <f>Tabel242[[#This Row],[Verbruik licht bruisend liter deze maand]]/0.15</f>
        <v>273.33333333333343</v>
      </c>
      <c r="AT17" s="25">
        <v>1224.4000000000001</v>
      </c>
      <c r="AU17">
        <f>Tabel24[[#This Row],[Stand heet water liter einde maand]]</f>
        <v>845.5</v>
      </c>
      <c r="AV17">
        <f>Tabel242[[#This Row],[Stand heet water liter einde maand]]-Tabel242[[#This Row],[Stand heet water liter vorige maand]]</f>
        <v>378.90000000000009</v>
      </c>
      <c r="AW17" s="20">
        <f>Tabel242[[#This Row],[Verbruik heet Water liter deze maand ]]/0.15</f>
        <v>2526.0000000000009</v>
      </c>
      <c r="AX17" s="4">
        <f>Tabel242[[#This Row],[Aantal consumpties heet water deze maand]]+Tabel242[[#This Row],[Aantal consumpties licht bruisend water deze maand]]+Tabel242[[#This Row],[aantal consumpties Bruisend water deze maand]]+Tabel242[[#This Row],[Aantal consumpties gekoeld water deze maand]]+Tabel242[[#This Row],[Aantal consumpties Kamertemp deze maand]]</f>
        <v>4921.3333333333339</v>
      </c>
      <c r="AY17" s="4">
        <f>Tabel242[[#This Row],[Subtotaal waterbar in consumpties]]+Tabel242[[#This Row],[Subtotaal koffieautomaten]]</f>
        <v>6857.3333333333339</v>
      </c>
    </row>
    <row r="18" spans="1:51" x14ac:dyDescent="0.25">
      <c r="A18" t="s">
        <v>60</v>
      </c>
      <c r="B18" t="s">
        <v>61</v>
      </c>
      <c r="C18" t="s">
        <v>31</v>
      </c>
      <c r="E18" s="25">
        <v>2413</v>
      </c>
      <c r="F18">
        <f>Tabel24[[#This Row],[Stand Coffee einde maand]]</f>
        <v>1423</v>
      </c>
      <c r="G18" s="12">
        <f>Tabel242[[#This Row],[Stand Coffee einde maand]]-Tabel242[[#This Row],[Coffee vorige maand]]</f>
        <v>990</v>
      </c>
      <c r="H18" s="25">
        <v>437</v>
      </c>
      <c r="I18">
        <f>Tabel24[[#This Row],[Stand Espresso Einde maand]]</f>
        <v>296</v>
      </c>
      <c r="J18" s="12">
        <f>Tabel242[[#This Row],[Stand Espresso Einde maand]]-Tabel242[[#This Row],[Espresso vorige maand]]</f>
        <v>141</v>
      </c>
      <c r="K18" s="25">
        <v>207</v>
      </c>
      <c r="L18">
        <f>Tabel24[[#This Row],[Stand Latte Macchiato einde maand]]</f>
        <v>127</v>
      </c>
      <c r="M18">
        <f>Tabel242[[#This Row],[Stand Latte Macchiato einde maand]]-Tabel242[[#This Row],[Latte Macchiato vorige maand]]</f>
        <v>80</v>
      </c>
      <c r="N18" s="25">
        <v>81</v>
      </c>
      <c r="O18">
        <f>Tabel24[[#This Row],[Stand Coffee Latte einde maand]]</f>
        <v>50</v>
      </c>
      <c r="P18">
        <f>Tabel242[[#This Row],[Stand Coffee Latte einde maand]]-Tabel242[[#This Row],[Coffee Latte vorige maand]]</f>
        <v>31</v>
      </c>
      <c r="Q18" s="25">
        <v>4280</v>
      </c>
      <c r="R18">
        <f>Tabel24[[#This Row],[Stand Hot Water einde maand]]</f>
        <v>2738</v>
      </c>
      <c r="S18">
        <f>Tabel242[[#This Row],[Stand Hot Water einde maand]]-Tabel242[[#This Row],[Hot Water vorige maand]]</f>
        <v>1542</v>
      </c>
      <c r="T18" s="25">
        <v>1412</v>
      </c>
      <c r="U18">
        <f>Tabel24[[#This Row],[Stand Cappucino einde maand]]</f>
        <v>894</v>
      </c>
      <c r="V18">
        <f>Tabel242[[#This Row],[Stand Cappucino einde maand]]-Tabel242[[#This Row],[Stand Cappucino vorige maand]]</f>
        <v>518</v>
      </c>
      <c r="W18" s="25">
        <v>338</v>
      </c>
      <c r="X18">
        <f>Tabel24[[#This Row],[Stand Cappucino Plantaardig einde maand]]</f>
        <v>228</v>
      </c>
      <c r="Y18">
        <f>Tabel242[[#This Row],[Stand Cappucino Plantaardig einde maand]]-Tabel242[[#This Row],[Stand Cappucino Plantaardig vorige maand]]</f>
        <v>110</v>
      </c>
      <c r="Z18" s="25">
        <v>99</v>
      </c>
      <c r="AA18">
        <f>Tabel24[[#This Row],[Stand Latte Macchiato Plantaardig einde maand]]</f>
        <v>69</v>
      </c>
      <c r="AB18" s="12">
        <f>Tabel242[[#This Row],[Stand Latte Macchiato Plantaardig einde maand]]-Tabel242[[#This Row],[Stand Latte Macchiato Plantaardig vorige maand]]</f>
        <v>30</v>
      </c>
      <c r="AC18" s="3">
        <f>Tabel242[[#This Row],[Verbruik Stand Latte Macchiato Plantaardig deze maand]]+Tabel242[[#This Row],[Verbruik  Cappucino Plantaardig deze maand]]+Tabel242[[#This Row],[Verbruik Cappucino deze maand]]+Tabel242[[#This Row],[Verbruik Hot Water deze maand]]+Tabel242[[#This Row],[Verbruik Coffee Latte deze maand]]+Tabel242[[#This Row],[Verbruik Latte Macchiato deze maand]]+Tabel242[[#This Row],[Verbruik Espresso deze maand]]+Tabel242[[#This Row],[Verbruik Coffee deze maand]]</f>
        <v>3442</v>
      </c>
      <c r="AD18" s="26"/>
      <c r="AE18" s="5"/>
      <c r="AF18" s="5"/>
      <c r="AG18" s="7"/>
      <c r="AH18" s="26"/>
      <c r="AI18" s="5"/>
      <c r="AJ18" s="5"/>
      <c r="AK18" s="7"/>
      <c r="AL18" s="26"/>
      <c r="AM18" s="5"/>
      <c r="AN18" s="5"/>
      <c r="AO18" s="5"/>
      <c r="AP18" s="26"/>
      <c r="AQ18" s="5"/>
      <c r="AR18" s="5"/>
      <c r="AS18" s="7"/>
      <c r="AT18" s="26"/>
      <c r="AU18" s="5"/>
      <c r="AV18" s="5"/>
      <c r="AW18" s="21"/>
      <c r="AX18" s="8"/>
      <c r="AY18" s="4">
        <f>Tabel242[[#This Row],[Subtotaal waterbar in consumpties]]+Tabel242[[#This Row],[Subtotaal koffieautomaten]]</f>
        <v>3442</v>
      </c>
    </row>
    <row r="19" spans="1:51" x14ac:dyDescent="0.25">
      <c r="A19" t="s">
        <v>62</v>
      </c>
      <c r="B19" t="s">
        <v>63</v>
      </c>
      <c r="C19" t="s">
        <v>36</v>
      </c>
      <c r="E19" s="32"/>
      <c r="F19" s="33"/>
      <c r="G19" s="34"/>
      <c r="H19" s="32"/>
      <c r="I19" s="33"/>
      <c r="J19" s="34"/>
      <c r="K19" s="32"/>
      <c r="L19" s="33"/>
      <c r="M19" s="33"/>
      <c r="N19" s="32"/>
      <c r="O19" s="33"/>
      <c r="P19" s="33"/>
      <c r="Q19" s="32"/>
      <c r="R19" s="33"/>
      <c r="S19" s="33"/>
      <c r="T19" s="32"/>
      <c r="U19" s="33"/>
      <c r="V19" s="33"/>
      <c r="W19" s="32"/>
      <c r="X19" s="33"/>
      <c r="Y19" s="33"/>
      <c r="Z19" s="32"/>
      <c r="AA19" s="33"/>
      <c r="AB19" s="34"/>
      <c r="AC19" s="35"/>
      <c r="AD19" s="25">
        <v>29.7</v>
      </c>
      <c r="AE19">
        <f>Tabel24[[#This Row],[Stand Kamertemp liter einde maand]]</f>
        <v>25.7</v>
      </c>
      <c r="AF19">
        <f>Tabel242[[#This Row],[Stand Kamertemp liter einde maand]]-Tabel242[[#This Row],[Stand Kamertemp liter vorige maand]]</f>
        <v>4</v>
      </c>
      <c r="AG19" s="2">
        <f>Tabel242[[#This Row],[Verbruik Kamertemp liter deze maand]]/0.15</f>
        <v>26.666666666666668</v>
      </c>
      <c r="AH19" s="25">
        <v>141.19999999999999</v>
      </c>
      <c r="AI19">
        <f>Tabel24[[#This Row],[Stand Gekoeld liter einde maand]]</f>
        <v>85.9</v>
      </c>
      <c r="AJ19">
        <f>Tabel242[[#This Row],[Stand Gekoeld liter einde maand]]-Tabel242[[#This Row],[Stand Gekoeld liter vorige maand]]</f>
        <v>55.299999999999983</v>
      </c>
      <c r="AK19" s="2">
        <f>Tabel242[[#This Row],[Verbruik Gekoeld liter deze maand]]/0.15</f>
        <v>368.66666666666657</v>
      </c>
      <c r="AL19" s="25">
        <v>239.5</v>
      </c>
      <c r="AM19">
        <f>Tabel24[[#This Row],[Stand Bruisend liter einde maand]]</f>
        <v>115.7</v>
      </c>
      <c r="AN19">
        <f>Tabel242[[#This Row],[Stand Bruisend liter einde maand]]-Tabel242[[#This Row],[Stand Bruisend liter vorige maand]]</f>
        <v>123.8</v>
      </c>
      <c r="AO19" s="2">
        <f>Tabel242[[#This Row],[Verbruik Bruisend liter deze maand]]/0.15</f>
        <v>825.33333333333337</v>
      </c>
      <c r="AP19" s="25">
        <v>154.5</v>
      </c>
      <c r="AQ19">
        <f>Tabel24[[#This Row],[Stand licht bruisend liter einde maand]]</f>
        <v>22.2</v>
      </c>
      <c r="AR19">
        <f>Tabel242[[#This Row],[Stand licht bruisend liter einde maand]]-Tabel242[[#This Row],[Stand licht bruisend liter vorige maand]]</f>
        <v>132.30000000000001</v>
      </c>
      <c r="AS19" s="2">
        <f>Tabel242[[#This Row],[Verbruik licht bruisend liter deze maand]]/0.15</f>
        <v>882.00000000000011</v>
      </c>
      <c r="AT19" s="25">
        <v>612.70000000000005</v>
      </c>
      <c r="AU19">
        <f>Tabel24[[#This Row],[Stand heet water liter einde maand]]</f>
        <v>32.9</v>
      </c>
      <c r="AV19">
        <f>Tabel242[[#This Row],[Stand heet water liter einde maand]]-Tabel242[[#This Row],[Stand heet water liter vorige maand]]</f>
        <v>579.80000000000007</v>
      </c>
      <c r="AW19" s="20">
        <f>Tabel242[[#This Row],[Verbruik heet Water liter deze maand ]]/0.15</f>
        <v>3865.3333333333339</v>
      </c>
      <c r="AX19" s="4">
        <f>Tabel242[[#This Row],[Aantal consumpties heet water deze maand]]+Tabel242[[#This Row],[Aantal consumpties licht bruisend water deze maand]]+Tabel242[[#This Row],[aantal consumpties Bruisend water deze maand]]+Tabel242[[#This Row],[Aantal consumpties gekoeld water deze maand]]+Tabel242[[#This Row],[Aantal consumpties Kamertemp deze maand]]</f>
        <v>5968.0000000000009</v>
      </c>
      <c r="AY19" s="4">
        <f>Tabel242[[#This Row],[Subtotaal waterbar in consumpties]]+Tabel242[[#This Row],[Subtotaal koffieautomaten]]</f>
        <v>5968.0000000000009</v>
      </c>
    </row>
    <row r="20" spans="1:51" x14ac:dyDescent="0.25">
      <c r="A20" t="s">
        <v>64</v>
      </c>
      <c r="B20" t="s">
        <v>65</v>
      </c>
      <c r="C20" t="s">
        <v>31</v>
      </c>
      <c r="E20" s="25">
        <v>2306</v>
      </c>
      <c r="F20">
        <f>Tabel24[[#This Row],[Stand Coffee einde maand]]</f>
        <v>1397</v>
      </c>
      <c r="G20" s="12">
        <f>Tabel242[[#This Row],[Stand Coffee einde maand]]-Tabel242[[#This Row],[Coffee vorige maand]]</f>
        <v>909</v>
      </c>
      <c r="H20" s="25">
        <v>748</v>
      </c>
      <c r="I20">
        <f>Tabel24[[#This Row],[Stand Espresso Einde maand]]</f>
        <v>542</v>
      </c>
      <c r="J20" s="12">
        <f>Tabel242[[#This Row],[Stand Espresso Einde maand]]-Tabel242[[#This Row],[Espresso vorige maand]]</f>
        <v>206</v>
      </c>
      <c r="K20" s="25">
        <v>316</v>
      </c>
      <c r="L20">
        <f>Tabel24[[#This Row],[Stand Latte Macchiato einde maand]]</f>
        <v>153</v>
      </c>
      <c r="M20">
        <f>Tabel242[[#This Row],[Stand Latte Macchiato einde maand]]-Tabel242[[#This Row],[Latte Macchiato vorige maand]]</f>
        <v>163</v>
      </c>
      <c r="N20" s="25">
        <v>140</v>
      </c>
      <c r="O20">
        <f>Tabel24[[#This Row],[Stand Coffee Latte einde maand]]</f>
        <v>90</v>
      </c>
      <c r="P20">
        <f>Tabel242[[#This Row],[Stand Coffee Latte einde maand]]-Tabel242[[#This Row],[Coffee Latte vorige maand]]</f>
        <v>50</v>
      </c>
      <c r="Q20" s="25">
        <v>5169</v>
      </c>
      <c r="R20">
        <f>Tabel24[[#This Row],[Stand Hot Water einde maand]]</f>
        <v>3277</v>
      </c>
      <c r="S20">
        <f>Tabel242[[#This Row],[Stand Hot Water einde maand]]-Tabel242[[#This Row],[Hot Water vorige maand]]</f>
        <v>1892</v>
      </c>
      <c r="T20" s="25">
        <v>1462</v>
      </c>
      <c r="U20">
        <f>Tabel24[[#This Row],[Stand Cappucino einde maand]]</f>
        <v>892</v>
      </c>
      <c r="V20">
        <f>Tabel242[[#This Row],[Stand Cappucino einde maand]]-Tabel242[[#This Row],[Stand Cappucino vorige maand]]</f>
        <v>570</v>
      </c>
      <c r="W20" s="25">
        <v>393</v>
      </c>
      <c r="X20">
        <f>Tabel24[[#This Row],[Stand Cappucino Plantaardig einde maand]]</f>
        <v>223</v>
      </c>
      <c r="Y20">
        <f>Tabel242[[#This Row],[Stand Cappucino Plantaardig einde maand]]-Tabel242[[#This Row],[Stand Cappucino Plantaardig vorige maand]]</f>
        <v>170</v>
      </c>
      <c r="Z20" s="25">
        <v>91</v>
      </c>
      <c r="AA20">
        <f>Tabel24[[#This Row],[Stand Latte Macchiato Plantaardig einde maand]]</f>
        <v>72</v>
      </c>
      <c r="AB20" s="12">
        <f>Tabel242[[#This Row],[Stand Latte Macchiato Plantaardig einde maand]]-Tabel242[[#This Row],[Stand Latte Macchiato Plantaardig vorige maand]]</f>
        <v>19</v>
      </c>
      <c r="AC20" s="3">
        <f>Tabel242[[#This Row],[Verbruik Stand Latte Macchiato Plantaardig deze maand]]+Tabel242[[#This Row],[Verbruik  Cappucino Plantaardig deze maand]]+Tabel242[[#This Row],[Verbruik Cappucino deze maand]]+Tabel242[[#This Row],[Verbruik Hot Water deze maand]]+Tabel242[[#This Row],[Verbruik Coffee Latte deze maand]]+Tabel242[[#This Row],[Verbruik Latte Macchiato deze maand]]+Tabel242[[#This Row],[Verbruik Espresso deze maand]]+Tabel242[[#This Row],[Verbruik Coffee deze maand]]</f>
        <v>3979</v>
      </c>
      <c r="AD20" s="26"/>
      <c r="AE20" s="5"/>
      <c r="AF20" s="5"/>
      <c r="AG20" s="7"/>
      <c r="AH20" s="26"/>
      <c r="AI20" s="5"/>
      <c r="AJ20" s="5"/>
      <c r="AK20" s="7"/>
      <c r="AL20" s="26"/>
      <c r="AM20" s="5"/>
      <c r="AN20" s="5"/>
      <c r="AO20" s="5"/>
      <c r="AP20" s="26"/>
      <c r="AQ20" s="5"/>
      <c r="AR20" s="5"/>
      <c r="AS20" s="7"/>
      <c r="AT20" s="26"/>
      <c r="AU20" s="5"/>
      <c r="AV20" s="5"/>
      <c r="AW20" s="21"/>
      <c r="AX20" s="8"/>
      <c r="AY20" s="4">
        <f>Tabel242[[#This Row],[Subtotaal waterbar in consumpties]]+Tabel242[[#This Row],[Subtotaal koffieautomaten]]</f>
        <v>3979</v>
      </c>
    </row>
    <row r="21" spans="1:51" x14ac:dyDescent="0.25">
      <c r="A21" t="s">
        <v>66</v>
      </c>
      <c r="B21" t="s">
        <v>67</v>
      </c>
      <c r="C21" t="s">
        <v>31</v>
      </c>
      <c r="E21" s="25">
        <v>3261</v>
      </c>
      <c r="F21">
        <f>Tabel24[[#This Row],[Stand Coffee einde maand]]</f>
        <v>2093</v>
      </c>
      <c r="G21" s="12">
        <f>Tabel242[[#This Row],[Stand Coffee einde maand]]-Tabel242[[#This Row],[Coffee vorige maand]]</f>
        <v>1168</v>
      </c>
      <c r="H21" s="25">
        <v>525</v>
      </c>
      <c r="I21">
        <f>Tabel24[[#This Row],[Stand Espresso Einde maand]]</f>
        <v>311</v>
      </c>
      <c r="J21" s="12">
        <f>Tabel242[[#This Row],[Stand Espresso Einde maand]]-Tabel242[[#This Row],[Espresso vorige maand]]</f>
        <v>214</v>
      </c>
      <c r="K21" s="25">
        <v>388</v>
      </c>
      <c r="L21">
        <f>Tabel24[[#This Row],[Stand Latte Macchiato einde maand]]</f>
        <v>256</v>
      </c>
      <c r="M21">
        <f>Tabel242[[#This Row],[Stand Latte Macchiato einde maand]]-Tabel242[[#This Row],[Latte Macchiato vorige maand]]</f>
        <v>132</v>
      </c>
      <c r="N21" s="25">
        <v>74</v>
      </c>
      <c r="O21">
        <f>Tabel24[[#This Row],[Stand Coffee Latte einde maand]]</f>
        <v>42</v>
      </c>
      <c r="P21">
        <f>Tabel242[[#This Row],[Stand Coffee Latte einde maand]]-Tabel242[[#This Row],[Coffee Latte vorige maand]]</f>
        <v>32</v>
      </c>
      <c r="Q21" s="25">
        <v>5134</v>
      </c>
      <c r="R21">
        <f>Tabel24[[#This Row],[Stand Hot Water einde maand]]</f>
        <v>3220</v>
      </c>
      <c r="S21">
        <f>Tabel242[[#This Row],[Stand Hot Water einde maand]]-Tabel242[[#This Row],[Hot Water vorige maand]]</f>
        <v>1914</v>
      </c>
      <c r="T21" s="25">
        <v>1401</v>
      </c>
      <c r="U21">
        <f>Tabel24[[#This Row],[Stand Cappucino einde maand]]</f>
        <v>879</v>
      </c>
      <c r="V21">
        <f>Tabel242[[#This Row],[Stand Cappucino einde maand]]-Tabel242[[#This Row],[Stand Cappucino vorige maand]]</f>
        <v>522</v>
      </c>
      <c r="W21" s="25">
        <v>590</v>
      </c>
      <c r="X21">
        <f>Tabel24[[#This Row],[Stand Cappucino Plantaardig einde maand]]</f>
        <v>386</v>
      </c>
      <c r="Y21">
        <f>Tabel242[[#This Row],[Stand Cappucino Plantaardig einde maand]]-Tabel242[[#This Row],[Stand Cappucino Plantaardig vorige maand]]</f>
        <v>204</v>
      </c>
      <c r="Z21" s="25">
        <v>197</v>
      </c>
      <c r="AA21">
        <f>Tabel24[[#This Row],[Stand Latte Macchiato Plantaardig einde maand]]</f>
        <v>117</v>
      </c>
      <c r="AB21" s="12">
        <f>Tabel242[[#This Row],[Stand Latte Macchiato Plantaardig einde maand]]-Tabel242[[#This Row],[Stand Latte Macchiato Plantaardig vorige maand]]</f>
        <v>80</v>
      </c>
      <c r="AC21" s="3">
        <f>Tabel242[[#This Row],[Verbruik Stand Latte Macchiato Plantaardig deze maand]]+Tabel242[[#This Row],[Verbruik  Cappucino Plantaardig deze maand]]+Tabel242[[#This Row],[Verbruik Cappucino deze maand]]+Tabel242[[#This Row],[Verbruik Hot Water deze maand]]+Tabel242[[#This Row],[Verbruik Coffee Latte deze maand]]+Tabel242[[#This Row],[Verbruik Latte Macchiato deze maand]]+Tabel242[[#This Row],[Verbruik Espresso deze maand]]+Tabel242[[#This Row],[Verbruik Coffee deze maand]]</f>
        <v>4266</v>
      </c>
      <c r="AD21" s="26"/>
      <c r="AE21" s="5"/>
      <c r="AF21" s="5"/>
      <c r="AG21" s="7"/>
      <c r="AH21" s="26"/>
      <c r="AI21" s="5"/>
      <c r="AJ21" s="5"/>
      <c r="AK21" s="7"/>
      <c r="AL21" s="26"/>
      <c r="AM21" s="5"/>
      <c r="AN21" s="5"/>
      <c r="AO21" s="5"/>
      <c r="AP21" s="26"/>
      <c r="AQ21" s="5"/>
      <c r="AR21" s="5"/>
      <c r="AS21" s="7"/>
      <c r="AT21" s="26"/>
      <c r="AU21" s="5"/>
      <c r="AV21" s="5"/>
      <c r="AW21" s="21"/>
      <c r="AX21" s="8"/>
      <c r="AY21" s="4">
        <f>Tabel242[[#This Row],[Subtotaal waterbar in consumpties]]+Tabel242[[#This Row],[Subtotaal koffieautomaten]]</f>
        <v>4266</v>
      </c>
    </row>
    <row r="22" spans="1:51" x14ac:dyDescent="0.25">
      <c r="A22" t="s">
        <v>68</v>
      </c>
      <c r="B22" t="s">
        <v>69</v>
      </c>
      <c r="C22" t="s">
        <v>47</v>
      </c>
      <c r="E22" s="25">
        <v>1428</v>
      </c>
      <c r="F22">
        <f>Tabel24[[#This Row],[Stand Coffee einde maand]]</f>
        <v>892</v>
      </c>
      <c r="G22" s="12">
        <f>Tabel242[[#This Row],[Stand Coffee einde maand]]-Tabel242[[#This Row],[Coffee vorige maand]]</f>
        <v>536</v>
      </c>
      <c r="H22" s="25">
        <v>443</v>
      </c>
      <c r="I22">
        <f>Tabel24[[#This Row],[Stand Espresso Einde maand]]</f>
        <v>223</v>
      </c>
      <c r="J22" s="12">
        <f>Tabel242[[#This Row],[Stand Espresso Einde maand]]-Tabel242[[#This Row],[Espresso vorige maand]]</f>
        <v>220</v>
      </c>
      <c r="K22" s="25">
        <v>644</v>
      </c>
      <c r="L22">
        <f>Tabel24[[#This Row],[Stand Latte Macchiato einde maand]]</f>
        <v>398</v>
      </c>
      <c r="M22">
        <f>Tabel242[[#This Row],[Stand Latte Macchiato einde maand]]-Tabel242[[#This Row],[Latte Macchiato vorige maand]]</f>
        <v>246</v>
      </c>
      <c r="N22" s="25">
        <v>90</v>
      </c>
      <c r="O22">
        <f>Tabel24[[#This Row],[Stand Coffee Latte einde maand]]</f>
        <v>53</v>
      </c>
      <c r="P22">
        <f>Tabel242[[#This Row],[Stand Coffee Latte einde maand]]-Tabel242[[#This Row],[Coffee Latte vorige maand]]</f>
        <v>37</v>
      </c>
      <c r="Q22" s="25"/>
      <c r="R22">
        <f>Tabel24[[#This Row],[Stand Hot Water einde maand]]</f>
        <v>1</v>
      </c>
      <c r="S22">
        <f>Tabel242[[#This Row],[Stand Hot Water einde maand]]-Tabel242[[#This Row],[Hot Water vorige maand]]</f>
        <v>-1</v>
      </c>
      <c r="T22" s="25">
        <v>1862</v>
      </c>
      <c r="U22">
        <f>Tabel24[[#This Row],[Stand Cappucino einde maand]]</f>
        <v>1209</v>
      </c>
      <c r="V22">
        <f>Tabel242[[#This Row],[Stand Cappucino einde maand]]-Tabel242[[#This Row],[Stand Cappucino vorige maand]]</f>
        <v>653</v>
      </c>
      <c r="W22" s="25">
        <v>340</v>
      </c>
      <c r="X22">
        <f>Tabel24[[#This Row],[Stand Cappucino Plantaardig einde maand]]</f>
        <v>195</v>
      </c>
      <c r="Y22">
        <f>Tabel242[[#This Row],[Stand Cappucino Plantaardig einde maand]]-Tabel242[[#This Row],[Stand Cappucino Plantaardig vorige maand]]</f>
        <v>145</v>
      </c>
      <c r="Z22" s="25">
        <v>102</v>
      </c>
      <c r="AA22">
        <f>Tabel24[[#This Row],[Stand Latte Macchiato Plantaardig einde maand]]</f>
        <v>66</v>
      </c>
      <c r="AB22" s="12">
        <f>Tabel242[[#This Row],[Stand Latte Macchiato Plantaardig einde maand]]-Tabel242[[#This Row],[Stand Latte Macchiato Plantaardig vorige maand]]</f>
        <v>36</v>
      </c>
      <c r="AC22" s="3">
        <f>Tabel242[[#This Row],[Verbruik Stand Latte Macchiato Plantaardig deze maand]]+Tabel242[[#This Row],[Verbruik  Cappucino Plantaardig deze maand]]+Tabel242[[#This Row],[Verbruik Cappucino deze maand]]+Tabel242[[#This Row],[Verbruik Hot Water deze maand]]+Tabel242[[#This Row],[Verbruik Coffee Latte deze maand]]+Tabel242[[#This Row],[Verbruik Latte Macchiato deze maand]]+Tabel242[[#This Row],[Verbruik Espresso deze maand]]+Tabel242[[#This Row],[Verbruik Coffee deze maand]]</f>
        <v>1872</v>
      </c>
      <c r="AD22" s="25">
        <v>40</v>
      </c>
      <c r="AE22">
        <f>Tabel24[[#This Row],[Stand Kamertemp liter einde maand]]</f>
        <v>29.6</v>
      </c>
      <c r="AF22">
        <f>Tabel242[[#This Row],[Stand Kamertemp liter einde maand]]-Tabel242[[#This Row],[Stand Kamertemp liter vorige maand]]</f>
        <v>10.399999999999999</v>
      </c>
      <c r="AG22" s="2">
        <f>Tabel242[[#This Row],[Verbruik Kamertemp liter deze maand]]/0.15</f>
        <v>69.333333333333329</v>
      </c>
      <c r="AH22" s="25">
        <v>439.1</v>
      </c>
      <c r="AI22">
        <f>Tabel24[[#This Row],[Stand Gekoeld liter einde maand]]</f>
        <v>274.60000000000002</v>
      </c>
      <c r="AJ22">
        <f>Tabel242[[#This Row],[Stand Gekoeld liter einde maand]]-Tabel242[[#This Row],[Stand Gekoeld liter vorige maand]]</f>
        <v>164.5</v>
      </c>
      <c r="AK22" s="2">
        <f>Tabel242[[#This Row],[Verbruik Gekoeld liter deze maand]]/0.15</f>
        <v>1096.6666666666667</v>
      </c>
      <c r="AL22" s="25">
        <v>470.7</v>
      </c>
      <c r="AM22">
        <f>Tabel24[[#This Row],[Stand Bruisend liter einde maand]]</f>
        <v>319</v>
      </c>
      <c r="AN22">
        <f>Tabel242[[#This Row],[Stand Bruisend liter einde maand]]-Tabel242[[#This Row],[Stand Bruisend liter vorige maand]]</f>
        <v>151.69999999999999</v>
      </c>
      <c r="AO22" s="2">
        <f>Tabel242[[#This Row],[Verbruik Bruisend liter deze maand]]/0.15</f>
        <v>1011.3333333333333</v>
      </c>
      <c r="AP22" s="25">
        <v>219.1</v>
      </c>
      <c r="AQ22">
        <f>Tabel24[[#This Row],[Stand licht bruisend liter einde maand]]</f>
        <v>149.80000000000001</v>
      </c>
      <c r="AR22">
        <f>Tabel242[[#This Row],[Stand licht bruisend liter einde maand]]-Tabel242[[#This Row],[Stand licht bruisend liter vorige maand]]</f>
        <v>69.299999999999983</v>
      </c>
      <c r="AS22" s="2">
        <f>Tabel242[[#This Row],[Verbruik licht bruisend liter deze maand]]/0.15</f>
        <v>461.99999999999989</v>
      </c>
      <c r="AT22" s="25">
        <v>1634.5</v>
      </c>
      <c r="AU22">
        <f>Tabel24[[#This Row],[Stand heet water liter einde maand]]</f>
        <v>1099.7</v>
      </c>
      <c r="AV22">
        <f>Tabel242[[#This Row],[Stand heet water liter einde maand]]-Tabel242[[#This Row],[Stand heet water liter vorige maand]]</f>
        <v>534.79999999999995</v>
      </c>
      <c r="AW22" s="20">
        <f>Tabel242[[#This Row],[Verbruik heet Water liter deze maand ]]/0.15</f>
        <v>3565.333333333333</v>
      </c>
      <c r="AX22" s="4">
        <f>Tabel242[[#This Row],[Aantal consumpties heet water deze maand]]+Tabel242[[#This Row],[Aantal consumpties licht bruisend water deze maand]]+Tabel242[[#This Row],[aantal consumpties Bruisend water deze maand]]+Tabel242[[#This Row],[Aantal consumpties gekoeld water deze maand]]+Tabel242[[#This Row],[Aantal consumpties Kamertemp deze maand]]</f>
        <v>6204.6666666666661</v>
      </c>
      <c r="AY22" s="4">
        <f>Tabel242[[#This Row],[Subtotaal waterbar in consumpties]]+Tabel242[[#This Row],[Subtotaal koffieautomaten]]</f>
        <v>8076.6666666666661</v>
      </c>
    </row>
    <row r="23" spans="1:51" x14ac:dyDescent="0.25">
      <c r="A23" t="s">
        <v>70</v>
      </c>
      <c r="B23" t="s">
        <v>71</v>
      </c>
      <c r="C23" t="s">
        <v>31</v>
      </c>
      <c r="E23" s="25">
        <v>2060</v>
      </c>
      <c r="F23">
        <f>Tabel24[[#This Row],[Stand Coffee einde maand]]</f>
        <v>1366</v>
      </c>
      <c r="G23" s="12">
        <f>Tabel242[[#This Row],[Stand Coffee einde maand]]-Tabel242[[#This Row],[Coffee vorige maand]]</f>
        <v>694</v>
      </c>
      <c r="H23" s="25">
        <v>168</v>
      </c>
      <c r="I23">
        <f>Tabel24[[#This Row],[Stand Espresso Einde maand]]</f>
        <v>112</v>
      </c>
      <c r="J23" s="12">
        <f>Tabel242[[#This Row],[Stand Espresso Einde maand]]-Tabel242[[#This Row],[Espresso vorige maand]]</f>
        <v>56</v>
      </c>
      <c r="K23" s="25">
        <v>172</v>
      </c>
      <c r="L23">
        <f>Tabel24[[#This Row],[Stand Latte Macchiato einde maand]]</f>
        <v>135</v>
      </c>
      <c r="M23">
        <f>Tabel242[[#This Row],[Stand Latte Macchiato einde maand]]-Tabel242[[#This Row],[Latte Macchiato vorige maand]]</f>
        <v>37</v>
      </c>
      <c r="N23" s="25">
        <v>137</v>
      </c>
      <c r="O23">
        <f>Tabel24[[#This Row],[Stand Coffee Latte einde maand]]</f>
        <v>73</v>
      </c>
      <c r="P23">
        <f>Tabel242[[#This Row],[Stand Coffee Latte einde maand]]-Tabel242[[#This Row],[Coffee Latte vorige maand]]</f>
        <v>64</v>
      </c>
      <c r="Q23" s="25">
        <v>3420</v>
      </c>
      <c r="R23">
        <f>Tabel24[[#This Row],[Stand Hot Water einde maand]]</f>
        <v>2162</v>
      </c>
      <c r="S23">
        <f>Tabel242[[#This Row],[Stand Hot Water einde maand]]-Tabel242[[#This Row],[Hot Water vorige maand]]</f>
        <v>1258</v>
      </c>
      <c r="T23" s="25">
        <v>946</v>
      </c>
      <c r="U23">
        <f>Tabel24[[#This Row],[Stand Cappucino einde maand]]</f>
        <v>612</v>
      </c>
      <c r="V23">
        <f>Tabel242[[#This Row],[Stand Cappucino einde maand]]-Tabel242[[#This Row],[Stand Cappucino vorige maand]]</f>
        <v>334</v>
      </c>
      <c r="W23" s="25">
        <v>217</v>
      </c>
      <c r="X23">
        <f>Tabel24[[#This Row],[Stand Cappucino Plantaardig einde maand]]</f>
        <v>168</v>
      </c>
      <c r="Y23">
        <f>Tabel242[[#This Row],[Stand Cappucino Plantaardig einde maand]]-Tabel242[[#This Row],[Stand Cappucino Plantaardig vorige maand]]</f>
        <v>49</v>
      </c>
      <c r="Z23" s="25">
        <v>179</v>
      </c>
      <c r="AA23">
        <f>Tabel24[[#This Row],[Stand Latte Macchiato Plantaardig einde maand]]</f>
        <v>90</v>
      </c>
      <c r="AB23" s="12">
        <f>Tabel242[[#This Row],[Stand Latte Macchiato Plantaardig einde maand]]-Tabel242[[#This Row],[Stand Latte Macchiato Plantaardig vorige maand]]</f>
        <v>89</v>
      </c>
      <c r="AC23" s="3">
        <f>Tabel242[[#This Row],[Verbruik Stand Latte Macchiato Plantaardig deze maand]]+Tabel242[[#This Row],[Verbruik  Cappucino Plantaardig deze maand]]+Tabel242[[#This Row],[Verbruik Cappucino deze maand]]+Tabel242[[#This Row],[Verbruik Hot Water deze maand]]+Tabel242[[#This Row],[Verbruik Coffee Latte deze maand]]+Tabel242[[#This Row],[Verbruik Latte Macchiato deze maand]]+Tabel242[[#This Row],[Verbruik Espresso deze maand]]+Tabel242[[#This Row],[Verbruik Coffee deze maand]]</f>
        <v>2581</v>
      </c>
      <c r="AD23" s="26"/>
      <c r="AE23" s="5"/>
      <c r="AF23" s="5"/>
      <c r="AG23" s="7"/>
      <c r="AH23" s="26"/>
      <c r="AI23" s="5"/>
      <c r="AJ23" s="5"/>
      <c r="AK23" s="7"/>
      <c r="AL23" s="26"/>
      <c r="AM23" s="5"/>
      <c r="AN23" s="5"/>
      <c r="AO23" s="5"/>
      <c r="AP23" s="26"/>
      <c r="AQ23" s="5"/>
      <c r="AR23" s="5"/>
      <c r="AS23" s="7"/>
      <c r="AT23" s="26"/>
      <c r="AU23" s="5"/>
      <c r="AV23" s="5"/>
      <c r="AW23" s="21"/>
      <c r="AX23" s="8"/>
      <c r="AY23" s="4">
        <f>Tabel242[[#This Row],[Subtotaal waterbar in consumpties]]+Tabel242[[#This Row],[Subtotaal koffieautomaten]]</f>
        <v>2581</v>
      </c>
    </row>
    <row r="24" spans="1:51" x14ac:dyDescent="0.25">
      <c r="A24" t="s">
        <v>72</v>
      </c>
      <c r="B24" t="s">
        <v>73</v>
      </c>
      <c r="C24" t="s">
        <v>47</v>
      </c>
      <c r="E24" s="25">
        <v>1753</v>
      </c>
      <c r="F24">
        <f>Tabel24[[#This Row],[Stand Coffee einde maand]]</f>
        <v>1139</v>
      </c>
      <c r="G24" s="12">
        <f>Tabel242[[#This Row],[Stand Coffee einde maand]]-Tabel242[[#This Row],[Coffee vorige maand]]</f>
        <v>614</v>
      </c>
      <c r="H24" s="25">
        <v>569</v>
      </c>
      <c r="I24">
        <f>Tabel24[[#This Row],[Stand Espresso Einde maand]]</f>
        <v>383</v>
      </c>
      <c r="J24" s="12">
        <f>Tabel242[[#This Row],[Stand Espresso Einde maand]]-Tabel242[[#This Row],[Espresso vorige maand]]</f>
        <v>186</v>
      </c>
      <c r="K24" s="25">
        <v>334</v>
      </c>
      <c r="L24">
        <f>Tabel24[[#This Row],[Stand Latte Macchiato einde maand]]</f>
        <v>228</v>
      </c>
      <c r="M24">
        <f>Tabel242[[#This Row],[Stand Latte Macchiato einde maand]]-Tabel242[[#This Row],[Latte Macchiato vorige maand]]</f>
        <v>106</v>
      </c>
      <c r="N24" s="25">
        <v>127</v>
      </c>
      <c r="O24">
        <f>Tabel24[[#This Row],[Stand Coffee Latte einde maand]]</f>
        <v>81</v>
      </c>
      <c r="P24">
        <f>Tabel242[[#This Row],[Stand Coffee Latte einde maand]]-Tabel242[[#This Row],[Coffee Latte vorige maand]]</f>
        <v>46</v>
      </c>
      <c r="Q24" s="25"/>
      <c r="R24">
        <f>Tabel24[[#This Row],[Stand Hot Water einde maand]]</f>
        <v>1</v>
      </c>
      <c r="S24">
        <f>Tabel242[[#This Row],[Stand Hot Water einde maand]]-Tabel242[[#This Row],[Hot Water vorige maand]]</f>
        <v>-1</v>
      </c>
      <c r="T24" s="25">
        <v>1256</v>
      </c>
      <c r="U24">
        <f>Tabel24[[#This Row],[Stand Cappucino einde maand]]</f>
        <v>822</v>
      </c>
      <c r="V24">
        <f>Tabel242[[#This Row],[Stand Cappucino einde maand]]-Tabel242[[#This Row],[Stand Cappucino vorige maand]]</f>
        <v>434</v>
      </c>
      <c r="W24" s="25">
        <v>252</v>
      </c>
      <c r="X24">
        <f>Tabel24[[#This Row],[Stand Cappucino Plantaardig einde maand]]</f>
        <v>157</v>
      </c>
      <c r="Y24">
        <f>Tabel242[[#This Row],[Stand Cappucino Plantaardig einde maand]]-Tabel242[[#This Row],[Stand Cappucino Plantaardig vorige maand]]</f>
        <v>95</v>
      </c>
      <c r="Z24" s="25">
        <v>72</v>
      </c>
      <c r="AA24">
        <f>Tabel24[[#This Row],[Stand Latte Macchiato Plantaardig einde maand]]</f>
        <v>45</v>
      </c>
      <c r="AB24" s="12">
        <f>Tabel242[[#This Row],[Stand Latte Macchiato Plantaardig einde maand]]-Tabel242[[#This Row],[Stand Latte Macchiato Plantaardig vorige maand]]</f>
        <v>27</v>
      </c>
      <c r="AC24" s="3">
        <f>Tabel242[[#This Row],[Verbruik Stand Latte Macchiato Plantaardig deze maand]]+Tabel242[[#This Row],[Verbruik  Cappucino Plantaardig deze maand]]+Tabel242[[#This Row],[Verbruik Cappucino deze maand]]+Tabel242[[#This Row],[Verbruik Hot Water deze maand]]+Tabel242[[#This Row],[Verbruik Coffee Latte deze maand]]+Tabel242[[#This Row],[Verbruik Latte Macchiato deze maand]]+Tabel242[[#This Row],[Verbruik Espresso deze maand]]+Tabel242[[#This Row],[Verbruik Coffee deze maand]]</f>
        <v>1507</v>
      </c>
      <c r="AD24" s="25">
        <v>52.3</v>
      </c>
      <c r="AE24">
        <f>Tabel24[[#This Row],[Stand Kamertemp liter einde maand]]</f>
        <v>37.799999999999997</v>
      </c>
      <c r="AF24">
        <f>Tabel242[[#This Row],[Stand Kamertemp liter einde maand]]-Tabel242[[#This Row],[Stand Kamertemp liter vorige maand]]</f>
        <v>14.5</v>
      </c>
      <c r="AG24" s="2">
        <f>Tabel242[[#This Row],[Verbruik Kamertemp liter deze maand]]/0.15</f>
        <v>96.666666666666671</v>
      </c>
      <c r="AH24" s="25">
        <v>253.5</v>
      </c>
      <c r="AI24">
        <f>Tabel24[[#This Row],[Stand Gekoeld liter einde maand]]</f>
        <v>179.3</v>
      </c>
      <c r="AJ24">
        <f>Tabel242[[#This Row],[Stand Gekoeld liter einde maand]]-Tabel242[[#This Row],[Stand Gekoeld liter vorige maand]]</f>
        <v>74.199999999999989</v>
      </c>
      <c r="AK24" s="2">
        <f>Tabel242[[#This Row],[Verbruik Gekoeld liter deze maand]]/0.15</f>
        <v>494.66666666666663</v>
      </c>
      <c r="AL24" s="25">
        <v>248.1</v>
      </c>
      <c r="AM24">
        <f>Tabel24[[#This Row],[Stand Bruisend liter einde maand]]</f>
        <v>171.2</v>
      </c>
      <c r="AN24">
        <f>Tabel242[[#This Row],[Stand Bruisend liter einde maand]]-Tabel242[[#This Row],[Stand Bruisend liter vorige maand]]</f>
        <v>76.900000000000006</v>
      </c>
      <c r="AO24" s="2">
        <f>Tabel242[[#This Row],[Verbruik Bruisend liter deze maand]]/0.15</f>
        <v>512.66666666666674</v>
      </c>
      <c r="AP24" s="25">
        <v>98.7</v>
      </c>
      <c r="AQ24">
        <f>Tabel24[[#This Row],[Stand licht bruisend liter einde maand]]</f>
        <v>72.3</v>
      </c>
      <c r="AR24">
        <f>Tabel242[[#This Row],[Stand licht bruisend liter einde maand]]-Tabel242[[#This Row],[Stand licht bruisend liter vorige maand]]</f>
        <v>26.400000000000006</v>
      </c>
      <c r="AS24" s="2">
        <f>Tabel242[[#This Row],[Verbruik licht bruisend liter deze maand]]/0.15</f>
        <v>176.00000000000006</v>
      </c>
      <c r="AT24" s="25">
        <v>474.2</v>
      </c>
      <c r="AU24">
        <f>Tabel24[[#This Row],[Stand heet water liter einde maand]]</f>
        <v>326.10000000000002</v>
      </c>
      <c r="AV24">
        <f>Tabel242[[#This Row],[Stand heet water liter einde maand]]-Tabel242[[#This Row],[Stand heet water liter vorige maand]]</f>
        <v>148.09999999999997</v>
      </c>
      <c r="AW24" s="20">
        <f>Tabel242[[#This Row],[Verbruik heet Water liter deze maand ]]/0.15</f>
        <v>987.33333333333314</v>
      </c>
      <c r="AX24" s="4">
        <f>Tabel242[[#This Row],[Aantal consumpties heet water deze maand]]+Tabel242[[#This Row],[Aantal consumpties licht bruisend water deze maand]]+Tabel242[[#This Row],[aantal consumpties Bruisend water deze maand]]+Tabel242[[#This Row],[Aantal consumpties gekoeld water deze maand]]+Tabel242[[#This Row],[Aantal consumpties Kamertemp deze maand]]</f>
        <v>2267.333333333333</v>
      </c>
      <c r="AY24" s="4">
        <f>Tabel242[[#This Row],[Subtotaal waterbar in consumpties]]+Tabel242[[#This Row],[Subtotaal koffieautomaten]]</f>
        <v>3774.333333333333</v>
      </c>
    </row>
    <row r="25" spans="1:51" x14ac:dyDescent="0.25">
      <c r="A25" s="3" t="s">
        <v>74</v>
      </c>
      <c r="E25" s="25"/>
      <c r="F25">
        <f>Tabel24[[#This Row],[Stand Coffee einde maand]]</f>
        <v>0</v>
      </c>
      <c r="G25" s="12">
        <f>Tabel242[[#This Row],[Stand Coffee einde maand]]-Tabel242[[#This Row],[Coffee vorige maand]]</f>
        <v>0</v>
      </c>
      <c r="H25" s="25"/>
      <c r="I25">
        <f>Tabel24[[#This Row],[Stand Espresso Einde maand]]</f>
        <v>0</v>
      </c>
      <c r="J25" s="12">
        <f>Tabel242[[#This Row],[Stand Espresso Einde maand]]-Tabel242[[#This Row],[Espresso vorige maand]]</f>
        <v>0</v>
      </c>
      <c r="K25" s="25"/>
      <c r="L25">
        <f>Tabel24[[#This Row],[Stand Latte Macchiato einde maand]]</f>
        <v>0</v>
      </c>
      <c r="M25">
        <f>Tabel242[[#This Row],[Stand Latte Macchiato einde maand]]-Tabel242[[#This Row],[Latte Macchiato vorige maand]]</f>
        <v>0</v>
      </c>
      <c r="N25" s="25"/>
      <c r="O25">
        <f>Tabel24[[#This Row],[Stand Coffee Latte einde maand]]</f>
        <v>0</v>
      </c>
      <c r="P25">
        <f>Tabel242[[#This Row],[Stand Coffee Latte einde maand]]-Tabel242[[#This Row],[Coffee Latte vorige maand]]</f>
        <v>0</v>
      </c>
      <c r="Q25" s="25"/>
      <c r="R25">
        <f>Tabel24[[#This Row],[Stand Hot Water einde maand]]</f>
        <v>0</v>
      </c>
      <c r="S25">
        <f>Tabel242[[#This Row],[Stand Hot Water einde maand]]-Tabel242[[#This Row],[Hot Water vorige maand]]</f>
        <v>0</v>
      </c>
      <c r="T25" s="25"/>
      <c r="U25">
        <f>Tabel24[[#This Row],[Stand Cappucino einde maand]]</f>
        <v>0</v>
      </c>
      <c r="V25">
        <f>Tabel242[[#This Row],[Stand Cappucino einde maand]]-Tabel242[[#This Row],[Stand Cappucino vorige maand]]</f>
        <v>0</v>
      </c>
      <c r="W25" s="25"/>
      <c r="X25">
        <f>Tabel24[[#This Row],[Stand Cappucino Plantaardig einde maand]]</f>
        <v>0</v>
      </c>
      <c r="Y25">
        <f>Tabel242[[#This Row],[Stand Cappucino Plantaardig einde maand]]-Tabel242[[#This Row],[Stand Cappucino Plantaardig vorige maand]]</f>
        <v>0</v>
      </c>
      <c r="Z25" s="25"/>
      <c r="AA25">
        <f>Tabel24[[#This Row],[Stand Latte Macchiato Plantaardig einde maand]]</f>
        <v>0</v>
      </c>
      <c r="AB25" s="12">
        <f>Tabel242[[#This Row],[Stand Latte Macchiato Plantaardig einde maand]]-Tabel242[[#This Row],[Stand Latte Macchiato Plantaardig vorige maand]]</f>
        <v>0</v>
      </c>
      <c r="AC25" s="3">
        <f>Tabel242[[#This Row],[Verbruik Stand Latte Macchiato Plantaardig deze maand]]+Tabel242[[#This Row],[Verbruik  Cappucino Plantaardig deze maand]]+Tabel242[[#This Row],[Verbruik Cappucino deze maand]]+Tabel242[[#This Row],[Verbruik Hot Water deze maand]]+Tabel242[[#This Row],[Verbruik Coffee Latte deze maand]]+Tabel242[[#This Row],[Verbruik Latte Macchiato deze maand]]+Tabel242[[#This Row],[Verbruik Espresso deze maand]]+Tabel242[[#This Row],[Verbruik Coffee deze maand]]</f>
        <v>0</v>
      </c>
      <c r="AD25" s="25"/>
      <c r="AF25">
        <f>Tabel242[[#This Row],[Stand Kamertemp liter einde maand]]-Tabel242[[#This Row],[Stand Kamertemp liter vorige maand]]</f>
        <v>0</v>
      </c>
      <c r="AG25" s="2">
        <f>Tabel242[[#This Row],[Verbruik Kamertemp liter deze maand]]/0.15</f>
        <v>0</v>
      </c>
      <c r="AH25" s="25"/>
      <c r="AI25">
        <f>Tabel24[[#This Row],[Stand Gekoeld liter einde maand]]</f>
        <v>0</v>
      </c>
      <c r="AJ25">
        <f>Tabel242[[#This Row],[Stand Gekoeld liter einde maand]]-Tabel242[[#This Row],[Stand Gekoeld liter vorige maand]]</f>
        <v>0</v>
      </c>
      <c r="AK25" s="2">
        <f>Tabel242[[#This Row],[Verbruik Gekoeld liter deze maand]]/0.15</f>
        <v>0</v>
      </c>
      <c r="AL25" s="25"/>
      <c r="AM25">
        <f>Tabel24[[#This Row],[Stand Bruisend liter einde maand]]</f>
        <v>0</v>
      </c>
      <c r="AN25">
        <f>Tabel242[[#This Row],[Stand Bruisend liter einde maand]]-Tabel242[[#This Row],[Stand Bruisend liter vorige maand]]</f>
        <v>0</v>
      </c>
      <c r="AO25" s="2">
        <f>Tabel242[[#This Row],[Verbruik Bruisend liter deze maand]]/0.15</f>
        <v>0</v>
      </c>
      <c r="AP25" s="25"/>
      <c r="AQ25">
        <f>Tabel24[[#This Row],[Stand licht bruisend liter einde maand]]</f>
        <v>0</v>
      </c>
      <c r="AR25">
        <f>Tabel242[[#This Row],[Stand licht bruisend liter einde maand]]-Tabel242[[#This Row],[Stand licht bruisend liter vorige maand]]</f>
        <v>0</v>
      </c>
      <c r="AS25" s="2">
        <f>Tabel242[[#This Row],[Verbruik licht bruisend liter deze maand]]/0.15</f>
        <v>0</v>
      </c>
      <c r="AT25" s="25"/>
      <c r="AU25">
        <f>Tabel24[[#This Row],[Stand heet water liter einde maand]]</f>
        <v>0</v>
      </c>
      <c r="AV25">
        <f>Tabel242[[#This Row],[Stand heet water liter einde maand]]-Tabel242[[#This Row],[Stand heet water liter vorige maand]]</f>
        <v>0</v>
      </c>
      <c r="AW25" s="20">
        <f>Tabel242[[#This Row],[Verbruik heet Water liter deze maand ]]/0.15</f>
        <v>0</v>
      </c>
      <c r="AX25" s="3"/>
      <c r="AY25" s="4">
        <f>Tabel242[[#This Row],[Subtotaal waterbar in consumpties]]+Tabel242[[#This Row],[Subtotaal koffieautomaten]]</f>
        <v>0</v>
      </c>
    </row>
    <row r="26" spans="1:51" x14ac:dyDescent="0.25">
      <c r="A26" t="s">
        <v>32</v>
      </c>
      <c r="B26" t="s">
        <v>75</v>
      </c>
      <c r="C26" t="s">
        <v>47</v>
      </c>
      <c r="E26" s="25">
        <v>934</v>
      </c>
      <c r="F26">
        <f>Tabel24[[#This Row],[Stand Coffee einde maand]]</f>
        <v>557</v>
      </c>
      <c r="G26" s="12">
        <f>Tabel242[[#This Row],[Stand Coffee einde maand]]-Tabel242[[#This Row],[Coffee vorige maand]]</f>
        <v>377</v>
      </c>
      <c r="H26" s="25">
        <v>115</v>
      </c>
      <c r="I26">
        <f>Tabel24[[#This Row],[Stand Espresso Einde maand]]</f>
        <v>86</v>
      </c>
      <c r="J26" s="12">
        <f>Tabel242[[#This Row],[Stand Espresso Einde maand]]-Tabel242[[#This Row],[Espresso vorige maand]]</f>
        <v>29</v>
      </c>
      <c r="K26" s="25">
        <v>280</v>
      </c>
      <c r="L26">
        <f>Tabel24[[#This Row],[Stand Latte Macchiato einde maand]]</f>
        <v>170</v>
      </c>
      <c r="M26">
        <f>Tabel242[[#This Row],[Stand Latte Macchiato einde maand]]-Tabel242[[#This Row],[Latte Macchiato vorige maand]]</f>
        <v>110</v>
      </c>
      <c r="N26" s="25">
        <v>142</v>
      </c>
      <c r="O26">
        <f>Tabel24[[#This Row],[Stand Coffee Latte einde maand]]</f>
        <v>85</v>
      </c>
      <c r="P26">
        <f>Tabel242[[#This Row],[Stand Coffee Latte einde maand]]-Tabel242[[#This Row],[Coffee Latte vorige maand]]</f>
        <v>57</v>
      </c>
      <c r="Q26" s="25"/>
      <c r="R26">
        <f>Tabel24[[#This Row],[Stand Hot Water einde maand]]</f>
        <v>1</v>
      </c>
      <c r="S26">
        <f>Tabel242[[#This Row],[Stand Hot Water einde maand]]-Tabel242[[#This Row],[Hot Water vorige maand]]</f>
        <v>-1</v>
      </c>
      <c r="T26" s="25">
        <v>639</v>
      </c>
      <c r="U26">
        <f>Tabel24[[#This Row],[Stand Cappucino einde maand]]</f>
        <v>415</v>
      </c>
      <c r="V26">
        <f>Tabel242[[#This Row],[Stand Cappucino einde maand]]-Tabel242[[#This Row],[Stand Cappucino vorige maand]]</f>
        <v>224</v>
      </c>
      <c r="W26" s="25">
        <v>78</v>
      </c>
      <c r="X26">
        <f>Tabel24[[#This Row],[Stand Cappucino Plantaardig einde maand]]</f>
        <v>51</v>
      </c>
      <c r="Y26">
        <f>Tabel242[[#This Row],[Stand Cappucino Plantaardig einde maand]]-Tabel242[[#This Row],[Stand Cappucino Plantaardig vorige maand]]</f>
        <v>27</v>
      </c>
      <c r="Z26" s="25">
        <v>127</v>
      </c>
      <c r="AA26">
        <f>Tabel24[[#This Row],[Stand Latte Macchiato Plantaardig einde maand]]</f>
        <v>85</v>
      </c>
      <c r="AB26" s="12">
        <f>Tabel242[[#This Row],[Stand Latte Macchiato Plantaardig einde maand]]-Tabel242[[#This Row],[Stand Latte Macchiato Plantaardig vorige maand]]</f>
        <v>42</v>
      </c>
      <c r="AC26" s="3">
        <f>Tabel242[[#This Row],[Verbruik Stand Latte Macchiato Plantaardig deze maand]]+Tabel242[[#This Row],[Verbruik  Cappucino Plantaardig deze maand]]+Tabel242[[#This Row],[Verbruik Cappucino deze maand]]+Tabel242[[#This Row],[Verbruik Hot Water deze maand]]+Tabel242[[#This Row],[Verbruik Coffee Latte deze maand]]+Tabel242[[#This Row],[Verbruik Latte Macchiato deze maand]]+Tabel242[[#This Row],[Verbruik Espresso deze maand]]+Tabel242[[#This Row],[Verbruik Coffee deze maand]]</f>
        <v>865</v>
      </c>
      <c r="AD26" s="25">
        <v>32.799999999999997</v>
      </c>
      <c r="AE26">
        <f>Tabel24[[#This Row],[Stand Kamertemp liter einde maand]]</f>
        <v>21.6</v>
      </c>
      <c r="AF26">
        <f>Tabel242[[#This Row],[Stand Kamertemp liter einde maand]]-Tabel242[[#This Row],[Stand Kamertemp liter vorige maand]]</f>
        <v>11.199999999999996</v>
      </c>
      <c r="AG26" s="2">
        <f>Tabel242[[#This Row],[Verbruik Kamertemp liter deze maand]]/0.15</f>
        <v>74.666666666666643</v>
      </c>
      <c r="AH26" s="25">
        <v>120.9</v>
      </c>
      <c r="AI26">
        <f>Tabel24[[#This Row],[Stand Gekoeld liter einde maand]]</f>
        <v>76.3</v>
      </c>
      <c r="AJ26">
        <f>Tabel242[[#This Row],[Stand Gekoeld liter einde maand]]-Tabel242[[#This Row],[Stand Gekoeld liter vorige maand]]</f>
        <v>44.600000000000009</v>
      </c>
      <c r="AK26" s="2">
        <f>Tabel242[[#This Row],[Verbruik Gekoeld liter deze maand]]/0.15</f>
        <v>297.33333333333343</v>
      </c>
      <c r="AL26" s="25">
        <v>111.2</v>
      </c>
      <c r="AM26">
        <f>Tabel24[[#This Row],[Stand Bruisend liter einde maand]]</f>
        <v>79.400000000000006</v>
      </c>
      <c r="AN26">
        <f>Tabel242[[#This Row],[Stand Bruisend liter einde maand]]-Tabel242[[#This Row],[Stand Bruisend liter vorige maand]]</f>
        <v>31.799999999999997</v>
      </c>
      <c r="AO26" s="2">
        <f>Tabel242[[#This Row],[Verbruik Bruisend liter deze maand]]/0.15</f>
        <v>212</v>
      </c>
      <c r="AP26" s="25">
        <v>69.599999999999994</v>
      </c>
      <c r="AQ26">
        <f>Tabel24[[#This Row],[Stand licht bruisend liter einde maand]]</f>
        <v>50.8</v>
      </c>
      <c r="AR26">
        <f>Tabel242[[#This Row],[Stand licht bruisend liter einde maand]]-Tabel242[[#This Row],[Stand licht bruisend liter vorige maand]]</f>
        <v>18.799999999999997</v>
      </c>
      <c r="AS26" s="2">
        <f>Tabel242[[#This Row],[Verbruik licht bruisend liter deze maand]]/0.15</f>
        <v>125.33333333333331</v>
      </c>
      <c r="AT26" s="25">
        <v>579.79999999999995</v>
      </c>
      <c r="AU26">
        <f>Tabel24[[#This Row],[Stand heet water liter einde maand]]</f>
        <v>363.1</v>
      </c>
      <c r="AV26">
        <f>Tabel242[[#This Row],[Stand heet water liter einde maand]]-Tabel242[[#This Row],[Stand heet water liter vorige maand]]</f>
        <v>216.69999999999993</v>
      </c>
      <c r="AW26" s="20">
        <f>Tabel242[[#This Row],[Verbruik heet Water liter deze maand ]]/0.15</f>
        <v>1444.6666666666663</v>
      </c>
      <c r="AX26" s="4">
        <f>Tabel242[[#This Row],[Aantal consumpties heet water deze maand]]+Tabel242[[#This Row],[Aantal consumpties licht bruisend water deze maand]]+Tabel242[[#This Row],[aantal consumpties Bruisend water deze maand]]+Tabel242[[#This Row],[Aantal consumpties gekoeld water deze maand]]+Tabel242[[#This Row],[Aantal consumpties Kamertemp deze maand]]</f>
        <v>2153.9999999999995</v>
      </c>
      <c r="AY26" s="4">
        <f>Tabel242[[#This Row],[Subtotaal waterbar in consumpties]]+Tabel242[[#This Row],[Subtotaal koffieautomaten]]</f>
        <v>3018.9999999999995</v>
      </c>
    </row>
    <row r="27" spans="1:51" x14ac:dyDescent="0.25">
      <c r="A27" t="s">
        <v>39</v>
      </c>
      <c r="B27" t="s">
        <v>76</v>
      </c>
      <c r="C27" t="s">
        <v>31</v>
      </c>
      <c r="E27" s="25">
        <v>4597</v>
      </c>
      <c r="F27">
        <f>Tabel24[[#This Row],[Stand Coffee einde maand]]</f>
        <v>3078</v>
      </c>
      <c r="G27" s="12">
        <f>Tabel242[[#This Row],[Stand Coffee einde maand]]-Tabel242[[#This Row],[Coffee vorige maand]]</f>
        <v>1519</v>
      </c>
      <c r="H27" s="25">
        <v>1113</v>
      </c>
      <c r="I27">
        <f>Tabel24[[#This Row],[Stand Espresso Einde maand]]</f>
        <v>756</v>
      </c>
      <c r="J27" s="12">
        <f>Tabel242[[#This Row],[Stand Espresso Einde maand]]-Tabel242[[#This Row],[Espresso vorige maand]]</f>
        <v>357</v>
      </c>
      <c r="K27" s="25">
        <v>555</v>
      </c>
      <c r="L27">
        <f>Tabel24[[#This Row],[Stand Latte Macchiato einde maand]]</f>
        <v>369</v>
      </c>
      <c r="M27">
        <f>Tabel242[[#This Row],[Stand Latte Macchiato einde maand]]-Tabel242[[#This Row],[Latte Macchiato vorige maand]]</f>
        <v>186</v>
      </c>
      <c r="N27" s="25">
        <v>251</v>
      </c>
      <c r="O27">
        <f>Tabel24[[#This Row],[Stand Coffee Latte einde maand]]</f>
        <v>167</v>
      </c>
      <c r="P27">
        <f>Tabel242[[#This Row],[Stand Coffee Latte einde maand]]-Tabel242[[#This Row],[Coffee Latte vorige maand]]</f>
        <v>84</v>
      </c>
      <c r="Q27" s="25">
        <v>3910</v>
      </c>
      <c r="R27">
        <f>Tabel24[[#This Row],[Stand Hot Water einde maand]]</f>
        <v>2583</v>
      </c>
      <c r="S27">
        <f>Tabel242[[#This Row],[Stand Hot Water einde maand]]-Tabel242[[#This Row],[Hot Water vorige maand]]</f>
        <v>1327</v>
      </c>
      <c r="T27" s="25">
        <v>3106</v>
      </c>
      <c r="U27">
        <f>Tabel24[[#This Row],[Stand Cappucino einde maand]]</f>
        <v>2015</v>
      </c>
      <c r="V27">
        <f>Tabel242[[#This Row],[Stand Cappucino einde maand]]-Tabel242[[#This Row],[Stand Cappucino vorige maand]]</f>
        <v>1091</v>
      </c>
      <c r="W27" s="25">
        <v>520</v>
      </c>
      <c r="X27">
        <f>Tabel24[[#This Row],[Stand Cappucino Plantaardig einde maand]]</f>
        <v>364</v>
      </c>
      <c r="Y27">
        <f>Tabel242[[#This Row],[Stand Cappucino Plantaardig einde maand]]-Tabel242[[#This Row],[Stand Cappucino Plantaardig vorige maand]]</f>
        <v>156</v>
      </c>
      <c r="Z27" s="25">
        <v>162</v>
      </c>
      <c r="AA27">
        <f>Tabel24[[#This Row],[Stand Latte Macchiato Plantaardig einde maand]]</f>
        <v>104</v>
      </c>
      <c r="AB27" s="12">
        <f>Tabel242[[#This Row],[Stand Latte Macchiato Plantaardig einde maand]]-Tabel242[[#This Row],[Stand Latte Macchiato Plantaardig vorige maand]]</f>
        <v>58</v>
      </c>
      <c r="AC27" s="3">
        <f>Tabel242[[#This Row],[Verbruik Stand Latte Macchiato Plantaardig deze maand]]+Tabel242[[#This Row],[Verbruik  Cappucino Plantaardig deze maand]]+Tabel242[[#This Row],[Verbruik Cappucino deze maand]]+Tabel242[[#This Row],[Verbruik Hot Water deze maand]]+Tabel242[[#This Row],[Verbruik Coffee Latte deze maand]]+Tabel242[[#This Row],[Verbruik Latte Macchiato deze maand]]+Tabel242[[#This Row],[Verbruik Espresso deze maand]]+Tabel242[[#This Row],[Verbruik Coffee deze maand]]</f>
        <v>4778</v>
      </c>
      <c r="AD27" s="26"/>
      <c r="AE27" s="5"/>
      <c r="AF27" s="5"/>
      <c r="AG27" s="7"/>
      <c r="AH27" s="26"/>
      <c r="AI27" s="5"/>
      <c r="AJ27" s="5"/>
      <c r="AK27" s="7"/>
      <c r="AL27" s="26"/>
      <c r="AM27" s="5"/>
      <c r="AN27" s="5"/>
      <c r="AO27" s="7"/>
      <c r="AP27" s="26"/>
      <c r="AQ27" s="5"/>
      <c r="AR27" s="5"/>
      <c r="AS27" s="7"/>
      <c r="AT27" s="26"/>
      <c r="AU27" s="5"/>
      <c r="AV27" s="5"/>
      <c r="AW27" s="21"/>
      <c r="AX27" s="8"/>
      <c r="AY27" s="4">
        <f>Tabel242[[#This Row],[Subtotaal waterbar in consumpties]]+Tabel242[[#This Row],[Subtotaal koffieautomaten]]</f>
        <v>4778</v>
      </c>
    </row>
    <row r="28" spans="1:51" x14ac:dyDescent="0.25">
      <c r="A28" t="s">
        <v>39</v>
      </c>
      <c r="B28" t="s">
        <v>77</v>
      </c>
      <c r="C28" t="s">
        <v>36</v>
      </c>
      <c r="E28" s="32"/>
      <c r="F28" s="33"/>
      <c r="G28" s="34"/>
      <c r="H28" s="32"/>
      <c r="I28" s="33"/>
      <c r="J28" s="34"/>
      <c r="K28" s="32"/>
      <c r="L28" s="33"/>
      <c r="M28" s="33"/>
      <c r="N28" s="32"/>
      <c r="O28" s="33"/>
      <c r="P28" s="33"/>
      <c r="Q28" s="32"/>
      <c r="R28" s="33"/>
      <c r="S28" s="33"/>
      <c r="T28" s="32"/>
      <c r="U28" s="33"/>
      <c r="V28" s="33"/>
      <c r="W28" s="32"/>
      <c r="X28" s="33"/>
      <c r="Y28" s="33"/>
      <c r="Z28" s="32"/>
      <c r="AA28" s="33"/>
      <c r="AB28" s="34"/>
      <c r="AC28" s="35"/>
      <c r="AD28" s="25">
        <v>18.5</v>
      </c>
      <c r="AE28">
        <f>Tabel24[[#This Row],[Stand Kamertemp liter einde maand]]</f>
        <v>10.7</v>
      </c>
      <c r="AF28">
        <f>Tabel242[[#This Row],[Stand Kamertemp liter einde maand]]-Tabel242[[#This Row],[Stand Kamertemp liter vorige maand]]</f>
        <v>7.8000000000000007</v>
      </c>
      <c r="AG28" s="2">
        <f>Tabel242[[#This Row],[Verbruik Kamertemp liter deze maand]]/0.15</f>
        <v>52.000000000000007</v>
      </c>
      <c r="AH28" s="25">
        <v>168.5</v>
      </c>
      <c r="AI28">
        <f>Tabel24[[#This Row],[Stand Gekoeld liter einde maand]]</f>
        <v>59.8</v>
      </c>
      <c r="AJ28">
        <f>Tabel242[[#This Row],[Stand Gekoeld liter einde maand]]-Tabel242[[#This Row],[Stand Gekoeld liter vorige maand]]</f>
        <v>108.7</v>
      </c>
      <c r="AK28" s="2">
        <f>Tabel242[[#This Row],[Verbruik Gekoeld liter deze maand]]/0.15</f>
        <v>724.66666666666674</v>
      </c>
      <c r="AL28" s="25">
        <v>69.599999999999994</v>
      </c>
      <c r="AM28">
        <f>Tabel24[[#This Row],[Stand Bruisend liter einde maand]]</f>
        <v>30.5</v>
      </c>
      <c r="AN28">
        <f>Tabel242[[#This Row],[Stand Bruisend liter einde maand]]-Tabel242[[#This Row],[Stand Bruisend liter vorige maand]]</f>
        <v>39.099999999999994</v>
      </c>
      <c r="AO28" s="2">
        <f>Tabel242[[#This Row],[Verbruik Bruisend liter deze maand]]/0.15</f>
        <v>260.66666666666663</v>
      </c>
      <c r="AP28" s="25">
        <v>85</v>
      </c>
      <c r="AQ28">
        <f>Tabel24[[#This Row],[Stand licht bruisend liter einde maand]]</f>
        <v>19.899999999999999</v>
      </c>
      <c r="AR28">
        <f>Tabel242[[#This Row],[Stand licht bruisend liter einde maand]]-Tabel242[[#This Row],[Stand licht bruisend liter vorige maand]]</f>
        <v>65.099999999999994</v>
      </c>
      <c r="AS28" s="2">
        <f>Tabel242[[#This Row],[Verbruik licht bruisend liter deze maand]]/0.15</f>
        <v>434</v>
      </c>
      <c r="AT28" s="25">
        <v>805.7</v>
      </c>
      <c r="AU28">
        <f>Tabel24[[#This Row],[Stand heet water liter einde maand]]</f>
        <v>58.3</v>
      </c>
      <c r="AV28">
        <f>Tabel242[[#This Row],[Stand heet water liter einde maand]]-Tabel242[[#This Row],[Stand heet water liter vorige maand]]</f>
        <v>747.40000000000009</v>
      </c>
      <c r="AW28" s="20">
        <f>Tabel242[[#This Row],[Verbruik heet Water liter deze maand ]]/0.15</f>
        <v>4982.6666666666679</v>
      </c>
      <c r="AX28" s="4">
        <f>Tabel242[[#This Row],[Aantal consumpties heet water deze maand]]+Tabel242[[#This Row],[Aantal consumpties licht bruisend water deze maand]]+Tabel242[[#This Row],[aantal consumpties Bruisend water deze maand]]+Tabel242[[#This Row],[Aantal consumpties gekoeld water deze maand]]+Tabel242[[#This Row],[Aantal consumpties Kamertemp deze maand]]</f>
        <v>6454.0000000000018</v>
      </c>
      <c r="AY28" s="4">
        <f>Tabel242[[#This Row],[Subtotaal waterbar in consumpties]]+Tabel242[[#This Row],[Subtotaal koffieautomaten]]</f>
        <v>6454.0000000000018</v>
      </c>
    </row>
    <row r="29" spans="1:51" x14ac:dyDescent="0.25">
      <c r="A29" t="s">
        <v>41</v>
      </c>
      <c r="B29" t="s">
        <v>78</v>
      </c>
      <c r="C29" t="s">
        <v>47</v>
      </c>
      <c r="E29" s="25">
        <v>868</v>
      </c>
      <c r="F29">
        <f>Tabel24[[#This Row],[Stand Coffee einde maand]]</f>
        <v>538</v>
      </c>
      <c r="G29" s="12">
        <f>Tabel242[[#This Row],[Stand Coffee einde maand]]-Tabel242[[#This Row],[Coffee vorige maand]]</f>
        <v>330</v>
      </c>
      <c r="H29" s="25">
        <v>397</v>
      </c>
      <c r="I29">
        <f>Tabel24[[#This Row],[Stand Espresso Einde maand]]</f>
        <v>260</v>
      </c>
      <c r="J29" s="12">
        <f>Tabel242[[#This Row],[Stand Espresso Einde maand]]-Tabel242[[#This Row],[Espresso vorige maand]]</f>
        <v>137</v>
      </c>
      <c r="K29" s="25">
        <v>21</v>
      </c>
      <c r="L29">
        <f>Tabel24[[#This Row],[Stand Latte Macchiato einde maand]]</f>
        <v>17</v>
      </c>
      <c r="M29">
        <f>Tabel242[[#This Row],[Stand Latte Macchiato einde maand]]-Tabel242[[#This Row],[Latte Macchiato vorige maand]]</f>
        <v>4</v>
      </c>
      <c r="N29" s="25">
        <v>87</v>
      </c>
      <c r="O29">
        <f>Tabel24[[#This Row],[Stand Coffee Latte einde maand]]</f>
        <v>70</v>
      </c>
      <c r="P29">
        <f>Tabel242[[#This Row],[Stand Coffee Latte einde maand]]-Tabel242[[#This Row],[Coffee Latte vorige maand]]</f>
        <v>17</v>
      </c>
      <c r="Q29" s="25"/>
      <c r="R29">
        <f>Tabel24[[#This Row],[Stand Hot Water einde maand]]</f>
        <v>1</v>
      </c>
      <c r="S29">
        <f>Tabel242[[#This Row],[Stand Hot Water einde maand]]-Tabel242[[#This Row],[Hot Water vorige maand]]</f>
        <v>-1</v>
      </c>
      <c r="T29" s="25">
        <v>479</v>
      </c>
      <c r="U29">
        <f>Tabel24[[#This Row],[Stand Cappucino einde maand]]</f>
        <v>375</v>
      </c>
      <c r="V29">
        <f>Tabel242[[#This Row],[Stand Cappucino einde maand]]-Tabel242[[#This Row],[Stand Cappucino vorige maand]]</f>
        <v>104</v>
      </c>
      <c r="W29" s="25">
        <v>326</v>
      </c>
      <c r="X29">
        <f>Tabel24[[#This Row],[Stand Cappucino Plantaardig einde maand]]</f>
        <v>198</v>
      </c>
      <c r="Y29">
        <f>Tabel242[[#This Row],[Stand Cappucino Plantaardig einde maand]]-Tabel242[[#This Row],[Stand Cappucino Plantaardig vorige maand]]</f>
        <v>128</v>
      </c>
      <c r="Z29" s="25">
        <v>133</v>
      </c>
      <c r="AA29">
        <f>Tabel24[[#This Row],[Stand Latte Macchiato Plantaardig einde maand]]</f>
        <v>101</v>
      </c>
      <c r="AB29" s="12">
        <f>Tabel242[[#This Row],[Stand Latte Macchiato Plantaardig einde maand]]-Tabel242[[#This Row],[Stand Latte Macchiato Plantaardig vorige maand]]</f>
        <v>32</v>
      </c>
      <c r="AC29" s="3">
        <f>Tabel242[[#This Row],[Verbruik Stand Latte Macchiato Plantaardig deze maand]]+Tabel242[[#This Row],[Verbruik  Cappucino Plantaardig deze maand]]+Tabel242[[#This Row],[Verbruik Cappucino deze maand]]+Tabel242[[#This Row],[Verbruik Hot Water deze maand]]+Tabel242[[#This Row],[Verbruik Coffee Latte deze maand]]+Tabel242[[#This Row],[Verbruik Latte Macchiato deze maand]]+Tabel242[[#This Row],[Verbruik Espresso deze maand]]+Tabel242[[#This Row],[Verbruik Coffee deze maand]]</f>
        <v>751</v>
      </c>
      <c r="AD29" s="11">
        <v>27.8</v>
      </c>
      <c r="AE29">
        <f>Tabel24[[#This Row],[Stand Kamertemp liter einde maand]]</f>
        <v>17.899999999999999</v>
      </c>
      <c r="AF29">
        <f>Tabel242[[#This Row],[Stand Kamertemp liter einde maand]]-Tabel242[[#This Row],[Stand Kamertemp liter vorige maand]]</f>
        <v>9.9000000000000021</v>
      </c>
      <c r="AG29" s="2">
        <f>Tabel242[[#This Row],[Verbruik Kamertemp liter deze maand]]/0.15</f>
        <v>66.000000000000014</v>
      </c>
      <c r="AH29" s="11">
        <v>175.7</v>
      </c>
      <c r="AI29">
        <f>Tabel24[[#This Row],[Stand Gekoeld liter einde maand]]</f>
        <v>113.2</v>
      </c>
      <c r="AJ29">
        <f>Tabel242[[#This Row],[Stand Gekoeld liter einde maand]]-Tabel242[[#This Row],[Stand Gekoeld liter vorige maand]]</f>
        <v>62.499999999999986</v>
      </c>
      <c r="AK29" s="2">
        <f>Tabel242[[#This Row],[Verbruik Gekoeld liter deze maand]]/0.15</f>
        <v>416.66666666666657</v>
      </c>
      <c r="AL29" s="11">
        <v>287.39999999999998</v>
      </c>
      <c r="AM29">
        <f>Tabel24[[#This Row],[Stand Bruisend liter einde maand]]</f>
        <v>196.2</v>
      </c>
      <c r="AN29">
        <f>Tabel242[[#This Row],[Stand Bruisend liter einde maand]]-Tabel242[[#This Row],[Stand Bruisend liter vorige maand]]</f>
        <v>91.199999999999989</v>
      </c>
      <c r="AO29" s="2">
        <f>Tabel242[[#This Row],[Verbruik Bruisend liter deze maand]]/0.15</f>
        <v>608</v>
      </c>
      <c r="AP29" s="11">
        <v>39.200000000000003</v>
      </c>
      <c r="AQ29">
        <f>Tabel24[[#This Row],[Stand licht bruisend liter einde maand]]</f>
        <v>160.30000000000001</v>
      </c>
      <c r="AR29">
        <f>Tabel242[[#This Row],[Stand licht bruisend liter einde maand]]-Tabel242[[#This Row],[Stand licht bruisend liter vorige maand]]</f>
        <v>-121.10000000000001</v>
      </c>
      <c r="AS29" s="2">
        <f>Tabel242[[#This Row],[Verbruik licht bruisend liter deze maand]]/0.15</f>
        <v>-807.33333333333337</v>
      </c>
      <c r="AT29" s="11">
        <v>151.9</v>
      </c>
      <c r="AU29">
        <f>Tabel24[[#This Row],[Stand heet water liter einde maand]]</f>
        <v>641.20000000000005</v>
      </c>
      <c r="AV29">
        <f>Tabel242[[#This Row],[Stand heet water liter einde maand]]-Tabel242[[#This Row],[Stand heet water liter vorige maand]]</f>
        <v>-489.30000000000007</v>
      </c>
      <c r="AW29" s="20">
        <f>Tabel242[[#This Row],[Verbruik heet Water liter deze maand ]]/0.15</f>
        <v>-3262.0000000000005</v>
      </c>
      <c r="AX29" s="4">
        <f>Tabel242[[#This Row],[Aantal consumpties heet water deze maand]]+Tabel242[[#This Row],[Aantal consumpties licht bruisend water deze maand]]+Tabel242[[#This Row],[aantal consumpties Bruisend water deze maand]]+Tabel242[[#This Row],[Aantal consumpties gekoeld water deze maand]]+Tabel242[[#This Row],[Aantal consumpties Kamertemp deze maand]]</f>
        <v>-2978.6666666666674</v>
      </c>
      <c r="AY29" s="4">
        <f>Tabel242[[#This Row],[Subtotaal waterbar in consumpties]]+Tabel242[[#This Row],[Subtotaal koffieautomaten]]</f>
        <v>-2227.6666666666674</v>
      </c>
    </row>
    <row r="30" spans="1:51" x14ac:dyDescent="0.25">
      <c r="A30" t="s">
        <v>43</v>
      </c>
      <c r="B30" t="s">
        <v>79</v>
      </c>
      <c r="C30" t="s">
        <v>31</v>
      </c>
      <c r="E30" s="25">
        <v>1387</v>
      </c>
      <c r="F30">
        <f>Tabel24[[#This Row],[Stand Coffee einde maand]]</f>
        <v>959</v>
      </c>
      <c r="G30" s="12">
        <f>Tabel242[[#This Row],[Stand Coffee einde maand]]-Tabel242[[#This Row],[Coffee vorige maand]]</f>
        <v>428</v>
      </c>
      <c r="H30" s="25">
        <v>558</v>
      </c>
      <c r="I30">
        <f>Tabel24[[#This Row],[Stand Espresso Einde maand]]</f>
        <v>370</v>
      </c>
      <c r="J30" s="12">
        <f>Tabel242[[#This Row],[Stand Espresso Einde maand]]-Tabel242[[#This Row],[Espresso vorige maand]]</f>
        <v>188</v>
      </c>
      <c r="K30" s="25">
        <v>40</v>
      </c>
      <c r="L30">
        <f>Tabel24[[#This Row],[Stand Latte Macchiato einde maand]]</f>
        <v>36</v>
      </c>
      <c r="M30">
        <f>Tabel242[[#This Row],[Stand Latte Macchiato einde maand]]-Tabel242[[#This Row],[Latte Macchiato vorige maand]]</f>
        <v>4</v>
      </c>
      <c r="N30" s="25">
        <v>21</v>
      </c>
      <c r="O30">
        <f>Tabel24[[#This Row],[Stand Coffee Latte einde maand]]</f>
        <v>15</v>
      </c>
      <c r="P30">
        <f>Tabel242[[#This Row],[Stand Coffee Latte einde maand]]-Tabel242[[#This Row],[Coffee Latte vorige maand]]</f>
        <v>6</v>
      </c>
      <c r="Q30" s="25">
        <v>1230</v>
      </c>
      <c r="R30">
        <f>Tabel24[[#This Row],[Stand Hot Water einde maand]]</f>
        <v>884</v>
      </c>
      <c r="S30">
        <f>Tabel242[[#This Row],[Stand Hot Water einde maand]]-Tabel242[[#This Row],[Hot Water vorige maand]]</f>
        <v>346</v>
      </c>
      <c r="T30" s="25">
        <v>675</v>
      </c>
      <c r="U30">
        <f>Tabel24[[#This Row],[Stand Cappucino einde maand]]</f>
        <v>460</v>
      </c>
      <c r="V30">
        <f>Tabel242[[#This Row],[Stand Cappucino einde maand]]-Tabel242[[#This Row],[Stand Cappucino vorige maand]]</f>
        <v>215</v>
      </c>
      <c r="W30" s="25">
        <v>52</v>
      </c>
      <c r="X30">
        <f>Tabel24[[#This Row],[Stand Cappucino Plantaardig einde maand]]</f>
        <v>24</v>
      </c>
      <c r="Y30">
        <f>Tabel242[[#This Row],[Stand Cappucino Plantaardig einde maand]]-Tabel242[[#This Row],[Stand Cappucino Plantaardig vorige maand]]</f>
        <v>28</v>
      </c>
      <c r="Z30" s="25">
        <v>10</v>
      </c>
      <c r="AA30">
        <f>Tabel24[[#This Row],[Stand Latte Macchiato Plantaardig einde maand]]</f>
        <v>6</v>
      </c>
      <c r="AB30" s="12">
        <f>Tabel242[[#This Row],[Stand Latte Macchiato Plantaardig einde maand]]-Tabel242[[#This Row],[Stand Latte Macchiato Plantaardig vorige maand]]</f>
        <v>4</v>
      </c>
      <c r="AC30" s="3">
        <f>Tabel242[[#This Row],[Verbruik Stand Latte Macchiato Plantaardig deze maand]]+Tabel242[[#This Row],[Verbruik  Cappucino Plantaardig deze maand]]+Tabel242[[#This Row],[Verbruik Cappucino deze maand]]+Tabel242[[#This Row],[Verbruik Hot Water deze maand]]+Tabel242[[#This Row],[Verbruik Coffee Latte deze maand]]+Tabel242[[#This Row],[Verbruik Latte Macchiato deze maand]]+Tabel242[[#This Row],[Verbruik Espresso deze maand]]+Tabel242[[#This Row],[Verbruik Coffee deze maand]]</f>
        <v>1219</v>
      </c>
      <c r="AD30" s="26"/>
      <c r="AE30" s="5"/>
      <c r="AF30" s="5"/>
      <c r="AG30" s="5"/>
      <c r="AH30" s="26"/>
      <c r="AI30" s="5"/>
      <c r="AJ30" s="5"/>
      <c r="AK30" s="7"/>
      <c r="AL30" s="26"/>
      <c r="AM30" s="5"/>
      <c r="AN30" s="5"/>
      <c r="AO30" s="7"/>
      <c r="AP30" s="26"/>
      <c r="AQ30" s="5"/>
      <c r="AR30" s="5"/>
      <c r="AS30" s="7"/>
      <c r="AT30" s="26"/>
      <c r="AU30" s="5"/>
      <c r="AV30" s="5"/>
      <c r="AW30" s="21"/>
      <c r="AX30" s="8"/>
      <c r="AY30" s="4">
        <f>Tabel242[[#This Row],[Subtotaal waterbar in consumpties]]+Tabel242[[#This Row],[Subtotaal koffieautomaten]]</f>
        <v>1219</v>
      </c>
    </row>
    <row r="31" spans="1:51" x14ac:dyDescent="0.25">
      <c r="A31" t="s">
        <v>45</v>
      </c>
      <c r="B31" t="s">
        <v>80</v>
      </c>
      <c r="C31" t="s">
        <v>36</v>
      </c>
      <c r="E31" s="32"/>
      <c r="F31" s="33"/>
      <c r="G31" s="34"/>
      <c r="H31" s="32"/>
      <c r="I31" s="33"/>
      <c r="J31" s="34"/>
      <c r="K31" s="32"/>
      <c r="L31" s="33"/>
      <c r="M31" s="33"/>
      <c r="N31" s="32"/>
      <c r="O31" s="33"/>
      <c r="P31" s="33"/>
      <c r="Q31" s="32"/>
      <c r="R31" s="33"/>
      <c r="S31" s="33"/>
      <c r="T31" s="32"/>
      <c r="U31" s="33"/>
      <c r="V31" s="33"/>
      <c r="W31" s="32"/>
      <c r="X31" s="33"/>
      <c r="Y31" s="33"/>
      <c r="Z31" s="32"/>
      <c r="AA31" s="33"/>
      <c r="AB31" s="34"/>
      <c r="AC31" s="35"/>
      <c r="AD31" s="25">
        <v>17.7</v>
      </c>
      <c r="AE31">
        <f>Tabel24[[#This Row],[Stand Kamertemp liter einde maand]]</f>
        <v>14.5</v>
      </c>
      <c r="AF31">
        <f>Tabel242[[#This Row],[Stand Kamertemp liter einde maand]]-Tabel242[[#This Row],[Stand Kamertemp liter vorige maand]]</f>
        <v>3.1999999999999993</v>
      </c>
      <c r="AG31" s="2">
        <f>Tabel242[[#This Row],[Verbruik Kamertemp liter deze maand]]/0.15</f>
        <v>21.333333333333329</v>
      </c>
      <c r="AH31" s="25">
        <v>80</v>
      </c>
      <c r="AI31">
        <f>Tabel24[[#This Row],[Stand Gekoeld liter einde maand]]</f>
        <v>58.4</v>
      </c>
      <c r="AJ31">
        <f>Tabel242[[#This Row],[Stand Gekoeld liter einde maand]]-Tabel242[[#This Row],[Stand Gekoeld liter vorige maand]]</f>
        <v>21.6</v>
      </c>
      <c r="AK31" s="2">
        <f>Tabel242[[#This Row],[Verbruik Gekoeld liter deze maand]]/0.15</f>
        <v>144.00000000000003</v>
      </c>
      <c r="AL31" s="25">
        <v>124.5</v>
      </c>
      <c r="AM31">
        <f>Tabel24[[#This Row],[Stand Bruisend liter einde maand]]</f>
        <v>88.2</v>
      </c>
      <c r="AN31">
        <f>Tabel242[[#This Row],[Stand Bruisend liter einde maand]]-Tabel242[[#This Row],[Stand Bruisend liter vorige maand]]</f>
        <v>36.299999999999997</v>
      </c>
      <c r="AO31" s="2">
        <f>Tabel242[[#This Row],[Verbruik Bruisend liter deze maand]]/0.15</f>
        <v>242</v>
      </c>
      <c r="AP31" s="25">
        <v>89</v>
      </c>
      <c r="AQ31">
        <f>Tabel24[[#This Row],[Stand licht bruisend liter einde maand]]</f>
        <v>62.4</v>
      </c>
      <c r="AR31">
        <f>Tabel242[[#This Row],[Stand licht bruisend liter einde maand]]-Tabel242[[#This Row],[Stand licht bruisend liter vorige maand]]</f>
        <v>26.6</v>
      </c>
      <c r="AS31" s="2">
        <f>Tabel242[[#This Row],[Verbruik licht bruisend liter deze maand]]/0.15</f>
        <v>177.33333333333334</v>
      </c>
      <c r="AT31" s="25">
        <v>482</v>
      </c>
      <c r="AU31">
        <f>Tabel24[[#This Row],[Stand heet water liter einde maand]]</f>
        <v>333.3</v>
      </c>
      <c r="AV31">
        <f>Tabel242[[#This Row],[Stand heet water liter einde maand]]-Tabel242[[#This Row],[Stand heet water liter vorige maand]]</f>
        <v>148.69999999999999</v>
      </c>
      <c r="AW31" s="20">
        <f>Tabel242[[#This Row],[Verbruik heet Water liter deze maand ]]/0.15</f>
        <v>991.33333333333326</v>
      </c>
      <c r="AX31" s="4">
        <f>Tabel242[[#This Row],[Aantal consumpties heet water deze maand]]+Tabel242[[#This Row],[Aantal consumpties licht bruisend water deze maand]]+Tabel242[[#This Row],[aantal consumpties Bruisend water deze maand]]+Tabel242[[#This Row],[Aantal consumpties gekoeld water deze maand]]+Tabel242[[#This Row],[Aantal consumpties Kamertemp deze maand]]</f>
        <v>1575.9999999999998</v>
      </c>
      <c r="AY31" s="4">
        <f>Tabel242[[#This Row],[Subtotaal waterbar in consumpties]]+Tabel242[[#This Row],[Subtotaal koffieautomaten]]</f>
        <v>1575.9999999999998</v>
      </c>
    </row>
    <row r="32" spans="1:51" x14ac:dyDescent="0.25">
      <c r="A32" t="s">
        <v>48</v>
      </c>
      <c r="B32" t="s">
        <v>81</v>
      </c>
      <c r="C32" t="s">
        <v>31</v>
      </c>
      <c r="E32" s="25">
        <v>1159</v>
      </c>
      <c r="F32">
        <f>Tabel24[[#This Row],[Stand Coffee einde maand]]</f>
        <v>781</v>
      </c>
      <c r="G32" s="12">
        <f>Tabel242[[#This Row],[Stand Coffee einde maand]]-Tabel242[[#This Row],[Coffee vorige maand]]</f>
        <v>378</v>
      </c>
      <c r="H32" s="25">
        <v>135</v>
      </c>
      <c r="I32">
        <f>Tabel24[[#This Row],[Stand Espresso Einde maand]]</f>
        <v>110</v>
      </c>
      <c r="J32" s="12">
        <f>Tabel242[[#This Row],[Stand Espresso Einde maand]]-Tabel242[[#This Row],[Espresso vorige maand]]</f>
        <v>25</v>
      </c>
      <c r="K32" s="25">
        <v>33</v>
      </c>
      <c r="L32">
        <f>Tabel24[[#This Row],[Stand Latte Macchiato einde maand]]</f>
        <v>25</v>
      </c>
      <c r="M32">
        <f>Tabel242[[#This Row],[Stand Latte Macchiato einde maand]]-Tabel242[[#This Row],[Latte Macchiato vorige maand]]</f>
        <v>8</v>
      </c>
      <c r="N32" s="25">
        <v>47</v>
      </c>
      <c r="O32">
        <f>Tabel24[[#This Row],[Stand Coffee Latte einde maand]]</f>
        <v>27</v>
      </c>
      <c r="P32">
        <f>Tabel242[[#This Row],[Stand Coffee Latte einde maand]]-Tabel242[[#This Row],[Coffee Latte vorige maand]]</f>
        <v>20</v>
      </c>
      <c r="Q32" s="25">
        <v>2349</v>
      </c>
      <c r="R32">
        <f>Tabel24[[#This Row],[Stand Hot Water einde maand]]</f>
        <v>1384</v>
      </c>
      <c r="S32">
        <f>Tabel242[[#This Row],[Stand Hot Water einde maand]]-Tabel242[[#This Row],[Hot Water vorige maand]]</f>
        <v>965</v>
      </c>
      <c r="T32" s="25">
        <v>434</v>
      </c>
      <c r="U32">
        <f>Tabel24[[#This Row],[Stand Cappucino einde maand]]</f>
        <v>285</v>
      </c>
      <c r="V32">
        <f>Tabel242[[#This Row],[Stand Cappucino einde maand]]-Tabel242[[#This Row],[Stand Cappucino vorige maand]]</f>
        <v>149</v>
      </c>
      <c r="W32" s="25">
        <v>52</v>
      </c>
      <c r="X32">
        <f>Tabel24[[#This Row],[Stand Cappucino Plantaardig einde maand]]</f>
        <v>33</v>
      </c>
      <c r="Y32">
        <f>Tabel242[[#This Row],[Stand Cappucino Plantaardig einde maand]]-Tabel242[[#This Row],[Stand Cappucino Plantaardig vorige maand]]</f>
        <v>19</v>
      </c>
      <c r="Z32" s="25">
        <v>8</v>
      </c>
      <c r="AA32">
        <f>Tabel24[[#This Row],[Stand Latte Macchiato Plantaardig einde maand]]</f>
        <v>7</v>
      </c>
      <c r="AB32" s="12">
        <f>Tabel242[[#This Row],[Stand Latte Macchiato Plantaardig einde maand]]-Tabel242[[#This Row],[Stand Latte Macchiato Plantaardig vorige maand]]</f>
        <v>1</v>
      </c>
      <c r="AC32" s="3">
        <f>Tabel242[[#This Row],[Verbruik Stand Latte Macchiato Plantaardig deze maand]]+Tabel242[[#This Row],[Verbruik  Cappucino Plantaardig deze maand]]+Tabel242[[#This Row],[Verbruik Cappucino deze maand]]+Tabel242[[#This Row],[Verbruik Hot Water deze maand]]+Tabel242[[#This Row],[Verbruik Coffee Latte deze maand]]+Tabel242[[#This Row],[Verbruik Latte Macchiato deze maand]]+Tabel242[[#This Row],[Verbruik Espresso deze maand]]+Tabel242[[#This Row],[Verbruik Coffee deze maand]]</f>
        <v>1565</v>
      </c>
      <c r="AD32" s="26"/>
      <c r="AE32" s="5"/>
      <c r="AF32" s="5"/>
      <c r="AG32" s="5"/>
      <c r="AH32" s="26"/>
      <c r="AI32" s="5"/>
      <c r="AJ32" s="5"/>
      <c r="AK32" s="7"/>
      <c r="AL32" s="26"/>
      <c r="AM32" s="5"/>
      <c r="AN32" s="5"/>
      <c r="AO32" s="7"/>
      <c r="AP32" s="26"/>
      <c r="AQ32" s="5"/>
      <c r="AR32" s="5"/>
      <c r="AS32" s="7"/>
      <c r="AT32" s="26"/>
      <c r="AU32" s="5"/>
      <c r="AV32" s="5"/>
      <c r="AW32" s="21"/>
      <c r="AX32" s="8"/>
      <c r="AY32" s="4">
        <f>Tabel242[[#This Row],[Subtotaal waterbar in consumpties]]+Tabel242[[#This Row],[Subtotaal koffieautomaten]]</f>
        <v>1565</v>
      </c>
    </row>
    <row r="33" spans="1:51" x14ac:dyDescent="0.25">
      <c r="A33" t="s">
        <v>50</v>
      </c>
      <c r="B33" t="s">
        <v>82</v>
      </c>
      <c r="C33" t="s">
        <v>47</v>
      </c>
      <c r="E33" s="11">
        <v>765</v>
      </c>
      <c r="F33">
        <f>Tabel24[[#This Row],[Stand Coffee einde maand]]</f>
        <v>507</v>
      </c>
      <c r="G33" s="12">
        <f>Tabel242[[#This Row],[Stand Coffee einde maand]]-Tabel242[[#This Row],[Coffee vorige maand]]</f>
        <v>258</v>
      </c>
      <c r="H33" s="11">
        <v>72</v>
      </c>
      <c r="I33">
        <f>Tabel24[[#This Row],[Stand Espresso Einde maand]]</f>
        <v>31</v>
      </c>
      <c r="J33" s="12">
        <f>Tabel242[[#This Row],[Stand Espresso Einde maand]]-Tabel242[[#This Row],[Espresso vorige maand]]</f>
        <v>41</v>
      </c>
      <c r="K33" s="11">
        <v>186</v>
      </c>
      <c r="L33">
        <f>Tabel24[[#This Row],[Stand Latte Macchiato einde maand]]</f>
        <v>105</v>
      </c>
      <c r="M33">
        <f>Tabel242[[#This Row],[Stand Latte Macchiato einde maand]]-Tabel242[[#This Row],[Latte Macchiato vorige maand]]</f>
        <v>81</v>
      </c>
      <c r="N33" s="11">
        <v>84</v>
      </c>
      <c r="O33">
        <f>Tabel24[[#This Row],[Stand Coffee Latte einde maand]]</f>
        <v>57</v>
      </c>
      <c r="P33">
        <f>Tabel242[[#This Row],[Stand Coffee Latte einde maand]]-Tabel242[[#This Row],[Coffee Latte vorige maand]]</f>
        <v>27</v>
      </c>
      <c r="R33">
        <f>Tabel24[[#This Row],[Stand Hot Water einde maand]]</f>
        <v>1</v>
      </c>
      <c r="S33">
        <f>Tabel242[[#This Row],[Stand Hot Water einde maand]]-Tabel242[[#This Row],[Hot Water vorige maand]]</f>
        <v>-1</v>
      </c>
      <c r="T33" s="11">
        <v>488</v>
      </c>
      <c r="U33">
        <f>Tabel24[[#This Row],[Stand Cappucino einde maand]]</f>
        <v>346</v>
      </c>
      <c r="V33">
        <f>Tabel242[[#This Row],[Stand Cappucino einde maand]]-Tabel242[[#This Row],[Stand Cappucino vorige maand]]</f>
        <v>142</v>
      </c>
      <c r="W33" s="11">
        <v>91</v>
      </c>
      <c r="X33">
        <f>Tabel24[[#This Row],[Stand Cappucino Plantaardig einde maand]]</f>
        <v>55</v>
      </c>
      <c r="Y33">
        <f>Tabel242[[#This Row],[Stand Cappucino Plantaardig einde maand]]-Tabel242[[#This Row],[Stand Cappucino Plantaardig vorige maand]]</f>
        <v>36</v>
      </c>
      <c r="Z33" s="11">
        <v>10</v>
      </c>
      <c r="AA33">
        <f>Tabel24[[#This Row],[Stand Latte Macchiato Plantaardig einde maand]]</f>
        <v>9</v>
      </c>
      <c r="AB33" s="12">
        <f>Tabel242[[#This Row],[Stand Latte Macchiato Plantaardig einde maand]]-Tabel242[[#This Row],[Stand Latte Macchiato Plantaardig vorige maand]]</f>
        <v>1</v>
      </c>
      <c r="AC33" s="3">
        <f>Tabel242[[#This Row],[Verbruik Stand Latte Macchiato Plantaardig deze maand]]+Tabel242[[#This Row],[Verbruik  Cappucino Plantaardig deze maand]]+Tabel242[[#This Row],[Verbruik Cappucino deze maand]]+Tabel242[[#This Row],[Verbruik Hot Water deze maand]]+Tabel242[[#This Row],[Verbruik Coffee Latte deze maand]]+Tabel242[[#This Row],[Verbruik Latte Macchiato deze maand]]+Tabel242[[#This Row],[Verbruik Espresso deze maand]]+Tabel242[[#This Row],[Verbruik Coffee deze maand]]</f>
        <v>585</v>
      </c>
      <c r="AD33" s="25">
        <v>21.5</v>
      </c>
      <c r="AE33">
        <f>Tabel24[[#This Row],[Stand Kamertemp liter einde maand]]</f>
        <v>15.8</v>
      </c>
      <c r="AF33">
        <f>Tabel242[[#This Row],[Stand Kamertemp liter einde maand]]-Tabel242[[#This Row],[Stand Kamertemp liter vorige maand]]</f>
        <v>5.6999999999999993</v>
      </c>
      <c r="AG33" s="2">
        <f>Tabel242[[#This Row],[Verbruik Kamertemp liter deze maand]]/0.15</f>
        <v>38</v>
      </c>
      <c r="AH33" s="25">
        <v>93.9</v>
      </c>
      <c r="AI33">
        <f>Tabel24[[#This Row],[Stand Gekoeld liter einde maand]]</f>
        <v>63.2</v>
      </c>
      <c r="AJ33">
        <f>Tabel242[[#This Row],[Stand Gekoeld liter einde maand]]-Tabel242[[#This Row],[Stand Gekoeld liter vorige maand]]</f>
        <v>30.700000000000003</v>
      </c>
      <c r="AK33" s="2">
        <f>Tabel242[[#This Row],[Verbruik Gekoeld liter deze maand]]/0.15</f>
        <v>204.66666666666669</v>
      </c>
      <c r="AL33" s="25">
        <v>121.3</v>
      </c>
      <c r="AM33">
        <f>Tabel24[[#This Row],[Stand Bruisend liter einde maand]]</f>
        <v>77.400000000000006</v>
      </c>
      <c r="AN33">
        <f>Tabel242[[#This Row],[Stand Bruisend liter einde maand]]-Tabel242[[#This Row],[Stand Bruisend liter vorige maand]]</f>
        <v>43.899999999999991</v>
      </c>
      <c r="AO33" s="2">
        <f>Tabel242[[#This Row],[Verbruik Bruisend liter deze maand]]/0.15</f>
        <v>292.66666666666663</v>
      </c>
      <c r="AP33" s="25">
        <v>26.1</v>
      </c>
      <c r="AQ33">
        <f>Tabel24[[#This Row],[Stand licht bruisend liter einde maand]]</f>
        <v>20</v>
      </c>
      <c r="AR33">
        <f>Tabel242[[#This Row],[Stand licht bruisend liter einde maand]]-Tabel242[[#This Row],[Stand licht bruisend liter vorige maand]]</f>
        <v>6.1000000000000014</v>
      </c>
      <c r="AS33" s="2">
        <f>Tabel242[[#This Row],[Verbruik licht bruisend liter deze maand]]/0.15</f>
        <v>40.666666666666679</v>
      </c>
      <c r="AT33" s="25">
        <v>418.1</v>
      </c>
      <c r="AU33">
        <f>Tabel24[[#This Row],[Stand heet water liter einde maand]]</f>
        <v>282.60000000000002</v>
      </c>
      <c r="AV33">
        <f>Tabel242[[#This Row],[Stand heet water liter einde maand]]-Tabel242[[#This Row],[Stand heet water liter vorige maand]]</f>
        <v>135.5</v>
      </c>
      <c r="AW33" s="20">
        <f>Tabel242[[#This Row],[Verbruik heet Water liter deze maand ]]/0.15</f>
        <v>903.33333333333337</v>
      </c>
      <c r="AX33" s="4">
        <f>Tabel242[[#This Row],[Aantal consumpties heet water deze maand]]+Tabel242[[#This Row],[Aantal consumpties licht bruisend water deze maand]]+Tabel242[[#This Row],[aantal consumpties Bruisend water deze maand]]+Tabel242[[#This Row],[Aantal consumpties gekoeld water deze maand]]+Tabel242[[#This Row],[Aantal consumpties Kamertemp deze maand]]</f>
        <v>1479.3333333333333</v>
      </c>
      <c r="AY33" s="4">
        <f>Tabel242[[#This Row],[Subtotaal waterbar in consumpties]]+Tabel242[[#This Row],[Subtotaal koffieautomaten]]</f>
        <v>2064.333333333333</v>
      </c>
    </row>
    <row r="34" spans="1:51" x14ac:dyDescent="0.25">
      <c r="A34" t="s">
        <v>52</v>
      </c>
      <c r="B34" t="s">
        <v>83</v>
      </c>
      <c r="C34" t="s">
        <v>47</v>
      </c>
      <c r="E34" s="25">
        <v>939</v>
      </c>
      <c r="F34">
        <f>Tabel24[[#This Row],[Stand Coffee einde maand]]</f>
        <v>597</v>
      </c>
      <c r="G34" s="12">
        <f>Tabel242[[#This Row],[Stand Coffee einde maand]]-Tabel242[[#This Row],[Coffee vorige maand]]</f>
        <v>342</v>
      </c>
      <c r="H34" s="25">
        <v>281</v>
      </c>
      <c r="I34">
        <f>Tabel24[[#This Row],[Stand Espresso Einde maand]]</f>
        <v>194</v>
      </c>
      <c r="J34" s="12">
        <f>Tabel242[[#This Row],[Stand Espresso Einde maand]]-Tabel242[[#This Row],[Espresso vorige maand]]</f>
        <v>87</v>
      </c>
      <c r="K34" s="25">
        <v>150</v>
      </c>
      <c r="L34">
        <f>Tabel24[[#This Row],[Stand Latte Macchiato einde maand]]</f>
        <v>114</v>
      </c>
      <c r="M34">
        <f>Tabel242[[#This Row],[Stand Latte Macchiato einde maand]]-Tabel242[[#This Row],[Latte Macchiato vorige maand]]</f>
        <v>36</v>
      </c>
      <c r="N34" s="25">
        <v>49</v>
      </c>
      <c r="O34">
        <f>Tabel24[[#This Row],[Stand Coffee Latte einde maand]]</f>
        <v>44</v>
      </c>
      <c r="P34">
        <f>Tabel242[[#This Row],[Stand Coffee Latte einde maand]]-Tabel242[[#This Row],[Coffee Latte vorige maand]]</f>
        <v>5</v>
      </c>
      <c r="Q34" s="25"/>
      <c r="R34">
        <f>Tabel24[[#This Row],[Stand Hot Water einde maand]]</f>
        <v>1</v>
      </c>
      <c r="S34">
        <f>Tabel242[[#This Row],[Stand Hot Water einde maand]]-Tabel242[[#This Row],[Hot Water vorige maand]]</f>
        <v>-1</v>
      </c>
      <c r="T34" s="25">
        <v>403</v>
      </c>
      <c r="U34">
        <f>Tabel24[[#This Row],[Stand Cappucino einde maand]]</f>
        <v>288</v>
      </c>
      <c r="V34">
        <f>Tabel242[[#This Row],[Stand Cappucino einde maand]]-Tabel242[[#This Row],[Stand Cappucino vorige maand]]</f>
        <v>115</v>
      </c>
      <c r="W34" s="25">
        <v>148</v>
      </c>
      <c r="X34">
        <f>Tabel24[[#This Row],[Stand Cappucino Plantaardig einde maand]]</f>
        <v>99</v>
      </c>
      <c r="Y34">
        <f>Tabel242[[#This Row],[Stand Cappucino Plantaardig einde maand]]-Tabel242[[#This Row],[Stand Cappucino Plantaardig vorige maand]]</f>
        <v>49</v>
      </c>
      <c r="Z34" s="25">
        <v>169</v>
      </c>
      <c r="AA34">
        <f>Tabel24[[#This Row],[Stand Latte Macchiato Plantaardig einde maand]]</f>
        <v>102</v>
      </c>
      <c r="AB34" s="12">
        <f>Tabel242[[#This Row],[Stand Latte Macchiato Plantaardig einde maand]]-Tabel242[[#This Row],[Stand Latte Macchiato Plantaardig vorige maand]]</f>
        <v>67</v>
      </c>
      <c r="AC34" s="3">
        <f>Tabel242[[#This Row],[Verbruik Stand Latte Macchiato Plantaardig deze maand]]+Tabel242[[#This Row],[Verbruik  Cappucino Plantaardig deze maand]]+Tabel242[[#This Row],[Verbruik Cappucino deze maand]]+Tabel242[[#This Row],[Verbruik Hot Water deze maand]]+Tabel242[[#This Row],[Verbruik Coffee Latte deze maand]]+Tabel242[[#This Row],[Verbruik Latte Macchiato deze maand]]+Tabel242[[#This Row],[Verbruik Espresso deze maand]]+Tabel242[[#This Row],[Verbruik Coffee deze maand]]</f>
        <v>700</v>
      </c>
      <c r="AD34" s="25">
        <v>23.3</v>
      </c>
      <c r="AE34">
        <f>Tabel24[[#This Row],[Stand Kamertemp liter einde maand]]</f>
        <v>18.5</v>
      </c>
      <c r="AF34">
        <f>Tabel242[[#This Row],[Stand Kamertemp liter einde maand]]-Tabel242[[#This Row],[Stand Kamertemp liter vorige maand]]</f>
        <v>4.8000000000000007</v>
      </c>
      <c r="AG34" s="2">
        <f>Tabel242[[#This Row],[Verbruik Kamertemp liter deze maand]]/0.15</f>
        <v>32.000000000000007</v>
      </c>
      <c r="AH34" s="25">
        <v>99.5</v>
      </c>
      <c r="AI34">
        <f>Tabel24[[#This Row],[Stand Gekoeld liter einde maand]]</f>
        <v>61</v>
      </c>
      <c r="AJ34">
        <f>Tabel242[[#This Row],[Stand Gekoeld liter einde maand]]-Tabel242[[#This Row],[Stand Gekoeld liter vorige maand]]</f>
        <v>38.5</v>
      </c>
      <c r="AK34" s="2">
        <f>Tabel242[[#This Row],[Verbruik Gekoeld liter deze maand]]/0.15</f>
        <v>256.66666666666669</v>
      </c>
      <c r="AL34" s="25">
        <v>83.8</v>
      </c>
      <c r="AM34">
        <f>Tabel24[[#This Row],[Stand Bruisend liter einde maand]]</f>
        <v>58.7</v>
      </c>
      <c r="AN34">
        <f>Tabel242[[#This Row],[Stand Bruisend liter einde maand]]-Tabel242[[#This Row],[Stand Bruisend liter vorige maand]]</f>
        <v>25.099999999999994</v>
      </c>
      <c r="AO34" s="2">
        <f>Tabel242[[#This Row],[Verbruik Bruisend liter deze maand]]/0.15</f>
        <v>167.33333333333331</v>
      </c>
      <c r="AP34" s="25">
        <v>44.5</v>
      </c>
      <c r="AQ34">
        <f>Tabel24[[#This Row],[Stand licht bruisend liter einde maand]]</f>
        <v>25.7</v>
      </c>
      <c r="AR34">
        <f>Tabel242[[#This Row],[Stand licht bruisend liter einde maand]]-Tabel242[[#This Row],[Stand licht bruisend liter vorige maand]]</f>
        <v>18.8</v>
      </c>
      <c r="AS34" s="2">
        <f>Tabel242[[#This Row],[Verbruik licht bruisend liter deze maand]]/0.15</f>
        <v>125.33333333333334</v>
      </c>
      <c r="AT34" s="25">
        <v>747.1</v>
      </c>
      <c r="AU34">
        <f>Tabel24[[#This Row],[Stand heet water liter einde maand]]</f>
        <v>511.3</v>
      </c>
      <c r="AV34">
        <f>Tabel242[[#This Row],[Stand heet water liter einde maand]]-Tabel242[[#This Row],[Stand heet water liter vorige maand]]</f>
        <v>235.8</v>
      </c>
      <c r="AW34" s="20">
        <f>Tabel242[[#This Row],[Verbruik heet Water liter deze maand ]]/0.15</f>
        <v>1572.0000000000002</v>
      </c>
      <c r="AX34" s="4">
        <f>Tabel242[[#This Row],[Aantal consumpties heet water deze maand]]+Tabel242[[#This Row],[Aantal consumpties licht bruisend water deze maand]]+Tabel242[[#This Row],[aantal consumpties Bruisend water deze maand]]+Tabel242[[#This Row],[Aantal consumpties gekoeld water deze maand]]+Tabel242[[#This Row],[Aantal consumpties Kamertemp deze maand]]</f>
        <v>2153.3333333333335</v>
      </c>
      <c r="AY34" s="4">
        <f>Tabel242[[#This Row],[Subtotaal waterbar in consumpties]]+Tabel242[[#This Row],[Subtotaal koffieautomaten]]</f>
        <v>2853.3333333333335</v>
      </c>
    </row>
    <row r="35" spans="1:51" x14ac:dyDescent="0.25">
      <c r="A35" t="s">
        <v>54</v>
      </c>
      <c r="B35" t="s">
        <v>84</v>
      </c>
      <c r="C35" t="s">
        <v>31</v>
      </c>
      <c r="E35" s="25">
        <v>1088</v>
      </c>
      <c r="F35">
        <f>Tabel24[[#This Row],[Stand Coffee einde maand]]</f>
        <v>776</v>
      </c>
      <c r="G35" s="12">
        <f>Tabel242[[#This Row],[Stand Coffee einde maand]]-Tabel242[[#This Row],[Coffee vorige maand]]</f>
        <v>312</v>
      </c>
      <c r="H35" s="25">
        <v>152</v>
      </c>
      <c r="I35">
        <f>Tabel24[[#This Row],[Stand Espresso Einde maand]]</f>
        <v>97</v>
      </c>
      <c r="J35" s="12">
        <f>Tabel242[[#This Row],[Stand Espresso Einde maand]]-Tabel242[[#This Row],[Espresso vorige maand]]</f>
        <v>55</v>
      </c>
      <c r="K35" s="25">
        <v>140</v>
      </c>
      <c r="L35">
        <f>Tabel24[[#This Row],[Stand Latte Macchiato einde maand]]</f>
        <v>75</v>
      </c>
      <c r="M35">
        <f>Tabel242[[#This Row],[Stand Latte Macchiato einde maand]]-Tabel242[[#This Row],[Latte Macchiato vorige maand]]</f>
        <v>65</v>
      </c>
      <c r="N35" s="25">
        <v>42</v>
      </c>
      <c r="O35">
        <f>Tabel24[[#This Row],[Stand Coffee Latte einde maand]]</f>
        <v>20</v>
      </c>
      <c r="P35">
        <f>Tabel242[[#This Row],[Stand Coffee Latte einde maand]]-Tabel242[[#This Row],[Coffee Latte vorige maand]]</f>
        <v>22</v>
      </c>
      <c r="Q35" s="25">
        <v>1542</v>
      </c>
      <c r="R35">
        <f>Tabel24[[#This Row],[Stand Hot Water einde maand]]</f>
        <v>1015</v>
      </c>
      <c r="S35">
        <f>Tabel242[[#This Row],[Stand Hot Water einde maand]]-Tabel242[[#This Row],[Hot Water vorige maand]]</f>
        <v>527</v>
      </c>
      <c r="T35" s="25">
        <v>414</v>
      </c>
      <c r="U35">
        <f>Tabel24[[#This Row],[Stand Cappucino einde maand]]</f>
        <v>307</v>
      </c>
      <c r="V35">
        <f>Tabel242[[#This Row],[Stand Cappucino einde maand]]-Tabel242[[#This Row],[Stand Cappucino vorige maand]]</f>
        <v>107</v>
      </c>
      <c r="W35" s="25">
        <v>48</v>
      </c>
      <c r="X35">
        <f>Tabel24[[#This Row],[Stand Cappucino Plantaardig einde maand]]</f>
        <v>33</v>
      </c>
      <c r="Y35">
        <f>Tabel242[[#This Row],[Stand Cappucino Plantaardig einde maand]]-Tabel242[[#This Row],[Stand Cappucino Plantaardig vorige maand]]</f>
        <v>15</v>
      </c>
      <c r="Z35" s="25">
        <v>93</v>
      </c>
      <c r="AA35">
        <f>Tabel24[[#This Row],[Stand Latte Macchiato Plantaardig einde maand]]</f>
        <v>72</v>
      </c>
      <c r="AB35" s="12">
        <f>Tabel242[[#This Row],[Stand Latte Macchiato Plantaardig einde maand]]-Tabel242[[#This Row],[Stand Latte Macchiato Plantaardig vorige maand]]</f>
        <v>21</v>
      </c>
      <c r="AC35" s="3">
        <f>Tabel242[[#This Row],[Verbruik Stand Latte Macchiato Plantaardig deze maand]]+Tabel242[[#This Row],[Verbruik  Cappucino Plantaardig deze maand]]+Tabel242[[#This Row],[Verbruik Cappucino deze maand]]+Tabel242[[#This Row],[Verbruik Hot Water deze maand]]+Tabel242[[#This Row],[Verbruik Coffee Latte deze maand]]+Tabel242[[#This Row],[Verbruik Latte Macchiato deze maand]]+Tabel242[[#This Row],[Verbruik Espresso deze maand]]+Tabel242[[#This Row],[Verbruik Coffee deze maand]]</f>
        <v>1124</v>
      </c>
      <c r="AD35" s="26"/>
      <c r="AE35" s="5"/>
      <c r="AF35" s="5"/>
      <c r="AG35" s="5"/>
      <c r="AH35" s="26"/>
      <c r="AI35" s="5"/>
      <c r="AJ35" s="5"/>
      <c r="AK35" s="5"/>
      <c r="AL35" s="26"/>
      <c r="AM35" s="5"/>
      <c r="AN35" s="5"/>
      <c r="AO35" s="7"/>
      <c r="AP35" s="26"/>
      <c r="AQ35" s="5"/>
      <c r="AR35" s="5"/>
      <c r="AS35" s="7"/>
      <c r="AT35" s="26"/>
      <c r="AU35" s="5"/>
      <c r="AV35" s="5"/>
      <c r="AW35" s="21"/>
      <c r="AX35" s="8"/>
      <c r="AY35" s="4">
        <f>Tabel242[[#This Row],[Subtotaal waterbar in consumpties]]+Tabel242[[#This Row],[Subtotaal koffieautomaten]]</f>
        <v>1124</v>
      </c>
    </row>
    <row r="36" spans="1:51" x14ac:dyDescent="0.25">
      <c r="A36" t="s">
        <v>56</v>
      </c>
      <c r="B36" t="s">
        <v>85</v>
      </c>
      <c r="C36" t="s">
        <v>36</v>
      </c>
      <c r="E36" s="32"/>
      <c r="F36" s="33"/>
      <c r="G36" s="34"/>
      <c r="H36" s="32"/>
      <c r="I36" s="33"/>
      <c r="J36" s="34"/>
      <c r="K36" s="32"/>
      <c r="L36" s="33"/>
      <c r="M36" s="33"/>
      <c r="N36" s="32"/>
      <c r="O36" s="33"/>
      <c r="P36" s="33"/>
      <c r="Q36" s="32"/>
      <c r="R36" s="33"/>
      <c r="S36" s="33"/>
      <c r="T36" s="32"/>
      <c r="U36" s="33"/>
      <c r="V36" s="33"/>
      <c r="W36" s="32"/>
      <c r="X36" s="33"/>
      <c r="Y36" s="33"/>
      <c r="Z36" s="32"/>
      <c r="AA36" s="33"/>
      <c r="AB36" s="34"/>
      <c r="AC36" s="35"/>
      <c r="AD36" s="25">
        <v>11.6</v>
      </c>
      <c r="AE36">
        <f>Tabel24[[#This Row],[Stand Kamertemp liter einde maand]]</f>
        <v>9.3000000000000007</v>
      </c>
      <c r="AF36">
        <f>Tabel242[[#This Row],[Stand Kamertemp liter einde maand]]-Tabel242[[#This Row],[Stand Kamertemp liter vorige maand]]</f>
        <v>2.2999999999999989</v>
      </c>
      <c r="AG36" s="2">
        <f>Tabel242[[#This Row],[Verbruik Kamertemp liter deze maand]]/0.15</f>
        <v>15.333333333333327</v>
      </c>
      <c r="AH36" s="25">
        <v>158.1</v>
      </c>
      <c r="AI36">
        <f>Tabel24[[#This Row],[Stand Gekoeld liter einde maand]]</f>
        <v>113.38</v>
      </c>
      <c r="AJ36">
        <f>Tabel242[[#This Row],[Stand Gekoeld liter einde maand]]-Tabel242[[#This Row],[Stand Gekoeld liter vorige maand]]</f>
        <v>44.72</v>
      </c>
      <c r="AK36" s="2">
        <f>Tabel242[[#This Row],[Verbruik Gekoeld liter deze maand]]/0.15</f>
        <v>298.13333333333333</v>
      </c>
      <c r="AL36" s="25">
        <v>57</v>
      </c>
      <c r="AM36">
        <f>Tabel24[[#This Row],[Stand Bruisend liter einde maand]]</f>
        <v>35.299999999999997</v>
      </c>
      <c r="AN36">
        <f>Tabel242[[#This Row],[Stand Bruisend liter einde maand]]-Tabel242[[#This Row],[Stand Bruisend liter vorige maand]]</f>
        <v>21.700000000000003</v>
      </c>
      <c r="AO36" s="2">
        <f>Tabel242[[#This Row],[Verbruik Bruisend liter deze maand]]/0.15</f>
        <v>144.66666666666669</v>
      </c>
      <c r="AP36" s="25">
        <v>59.9</v>
      </c>
      <c r="AQ36">
        <f>Tabel24[[#This Row],[Stand licht bruisend liter einde maand]]</f>
        <v>33.700000000000003</v>
      </c>
      <c r="AR36">
        <f>Tabel242[[#This Row],[Stand licht bruisend liter einde maand]]-Tabel242[[#This Row],[Stand licht bruisend liter vorige maand]]</f>
        <v>26.199999999999996</v>
      </c>
      <c r="AS36" s="2">
        <f>Tabel242[[#This Row],[Verbruik licht bruisend liter deze maand]]/0.15</f>
        <v>174.66666666666666</v>
      </c>
      <c r="AT36" s="25">
        <v>624.4</v>
      </c>
      <c r="AU36">
        <f>Tabel24[[#This Row],[Stand heet water liter einde maand]]</f>
        <v>422.1</v>
      </c>
      <c r="AV36">
        <f>Tabel242[[#This Row],[Stand heet water liter einde maand]]-Tabel242[[#This Row],[Stand heet water liter vorige maand]]</f>
        <v>202.29999999999995</v>
      </c>
      <c r="AW36" s="20">
        <f>Tabel242[[#This Row],[Verbruik heet Water liter deze maand ]]/0.15</f>
        <v>1348.6666666666665</v>
      </c>
      <c r="AX36" s="4">
        <f>Tabel242[[#This Row],[Aantal consumpties heet water deze maand]]+Tabel242[[#This Row],[Aantal consumpties licht bruisend water deze maand]]+Tabel242[[#This Row],[aantal consumpties Bruisend water deze maand]]+Tabel242[[#This Row],[Aantal consumpties gekoeld water deze maand]]+Tabel242[[#This Row],[Aantal consumpties Kamertemp deze maand]]</f>
        <v>1981.4666666666665</v>
      </c>
      <c r="AY36" s="4">
        <f>Tabel242[[#This Row],[Subtotaal waterbar in consumpties]]+Tabel242[[#This Row],[Subtotaal koffieautomaten]]</f>
        <v>1981.4666666666665</v>
      </c>
    </row>
    <row r="37" spans="1:51" x14ac:dyDescent="0.25">
      <c r="A37" t="s">
        <v>58</v>
      </c>
      <c r="B37" t="s">
        <v>86</v>
      </c>
      <c r="C37" t="s">
        <v>47</v>
      </c>
      <c r="E37" s="25">
        <v>1515</v>
      </c>
      <c r="F37">
        <f>Tabel24[[#This Row],[Stand Coffee einde maand]]</f>
        <v>1117</v>
      </c>
      <c r="G37" s="12">
        <f>Tabel242[[#This Row],[Stand Coffee einde maand]]-Tabel242[[#This Row],[Coffee vorige maand]]</f>
        <v>398</v>
      </c>
      <c r="H37" s="25">
        <v>397</v>
      </c>
      <c r="I37">
        <f>Tabel24[[#This Row],[Stand Espresso Einde maand]]</f>
        <v>256</v>
      </c>
      <c r="J37" s="12">
        <f>Tabel242[[#This Row],[Stand Espresso Einde maand]]-Tabel242[[#This Row],[Espresso vorige maand]]</f>
        <v>141</v>
      </c>
      <c r="K37" s="25">
        <v>193</v>
      </c>
      <c r="L37">
        <f>Tabel24[[#This Row],[Stand Latte Macchiato einde maand]]</f>
        <v>135</v>
      </c>
      <c r="M37">
        <f>Tabel242[[#This Row],[Stand Latte Macchiato einde maand]]-Tabel242[[#This Row],[Latte Macchiato vorige maand]]</f>
        <v>58</v>
      </c>
      <c r="N37" s="25">
        <v>84</v>
      </c>
      <c r="O37">
        <f>Tabel24[[#This Row],[Stand Coffee Latte einde maand]]</f>
        <v>55</v>
      </c>
      <c r="P37">
        <f>Tabel242[[#This Row],[Stand Coffee Latte einde maand]]-Tabel242[[#This Row],[Coffee Latte vorige maand]]</f>
        <v>29</v>
      </c>
      <c r="Q37" s="25"/>
      <c r="R37">
        <f>Tabel24[[#This Row],[Stand Hot Water einde maand]]</f>
        <v>1</v>
      </c>
      <c r="S37">
        <f>Tabel242[[#This Row],[Stand Hot Water einde maand]]-Tabel242[[#This Row],[Hot Water vorige maand]]</f>
        <v>-1</v>
      </c>
      <c r="T37" s="25">
        <v>705</v>
      </c>
      <c r="U37">
        <f>Tabel24[[#This Row],[Stand Cappucino einde maand]]</f>
        <v>468</v>
      </c>
      <c r="V37">
        <f>Tabel242[[#This Row],[Stand Cappucino einde maand]]-Tabel242[[#This Row],[Stand Cappucino vorige maand]]</f>
        <v>237</v>
      </c>
      <c r="W37" s="25">
        <v>134</v>
      </c>
      <c r="X37">
        <f>Tabel24[[#This Row],[Stand Cappucino Plantaardig einde maand]]</f>
        <v>111</v>
      </c>
      <c r="Y37">
        <f>Tabel242[[#This Row],[Stand Cappucino Plantaardig einde maand]]-Tabel242[[#This Row],[Stand Cappucino Plantaardig vorige maand]]</f>
        <v>23</v>
      </c>
      <c r="Z37" s="25">
        <v>88</v>
      </c>
      <c r="AA37">
        <f>Tabel24[[#This Row],[Stand Latte Macchiato Plantaardig einde maand]]</f>
        <v>55</v>
      </c>
      <c r="AB37" s="12">
        <f>Tabel242[[#This Row],[Stand Latte Macchiato Plantaardig einde maand]]-Tabel242[[#This Row],[Stand Latte Macchiato Plantaardig vorige maand]]</f>
        <v>33</v>
      </c>
      <c r="AC37" s="3">
        <f>Tabel242[[#This Row],[Verbruik Stand Latte Macchiato Plantaardig deze maand]]+Tabel242[[#This Row],[Verbruik  Cappucino Plantaardig deze maand]]+Tabel242[[#This Row],[Verbruik Cappucino deze maand]]+Tabel242[[#This Row],[Verbruik Hot Water deze maand]]+Tabel242[[#This Row],[Verbruik Coffee Latte deze maand]]+Tabel242[[#This Row],[Verbruik Latte Macchiato deze maand]]+Tabel242[[#This Row],[Verbruik Espresso deze maand]]+Tabel242[[#This Row],[Verbruik Coffee deze maand]]</f>
        <v>918</v>
      </c>
      <c r="AD37" s="25">
        <v>34.5</v>
      </c>
      <c r="AE37">
        <f>Tabel24[[#This Row],[Stand Kamertemp liter einde maand]]</f>
        <v>22.4</v>
      </c>
      <c r="AF37">
        <f>Tabel242[[#This Row],[Stand Kamertemp liter einde maand]]-Tabel242[[#This Row],[Stand Kamertemp liter vorige maand]]</f>
        <v>12.100000000000001</v>
      </c>
      <c r="AG37" s="2">
        <f>Tabel242[[#This Row],[Verbruik Kamertemp liter deze maand]]/0.15</f>
        <v>80.666666666666686</v>
      </c>
      <c r="AH37" s="25">
        <v>158.69999999999999</v>
      </c>
      <c r="AI37">
        <f>Tabel24[[#This Row],[Stand Gekoeld liter einde maand]]</f>
        <v>115.3</v>
      </c>
      <c r="AJ37">
        <f>Tabel242[[#This Row],[Stand Gekoeld liter einde maand]]-Tabel242[[#This Row],[Stand Gekoeld liter vorige maand]]</f>
        <v>43.399999999999991</v>
      </c>
      <c r="AK37" s="2">
        <f>Tabel242[[#This Row],[Verbruik Gekoeld liter deze maand]]/0.15</f>
        <v>289.33333333333331</v>
      </c>
      <c r="AL37" s="25">
        <v>79.2</v>
      </c>
      <c r="AM37">
        <f>Tabel24[[#This Row],[Stand Bruisend liter einde maand]]</f>
        <v>61.5</v>
      </c>
      <c r="AN37">
        <f>Tabel242[[#This Row],[Stand Bruisend liter einde maand]]-Tabel242[[#This Row],[Stand Bruisend liter vorige maand]]</f>
        <v>17.700000000000003</v>
      </c>
      <c r="AO37" s="2">
        <f>Tabel242[[#This Row],[Verbruik Bruisend liter deze maand]]/0.15</f>
        <v>118.00000000000003</v>
      </c>
      <c r="AP37" s="25">
        <v>42.4</v>
      </c>
      <c r="AQ37">
        <f>Tabel24[[#This Row],[Stand licht bruisend liter einde maand]]</f>
        <v>31.7</v>
      </c>
      <c r="AR37">
        <f>Tabel242[[#This Row],[Stand licht bruisend liter einde maand]]-Tabel242[[#This Row],[Stand licht bruisend liter vorige maand]]</f>
        <v>10.7</v>
      </c>
      <c r="AS37" s="2">
        <f>Tabel242[[#This Row],[Verbruik licht bruisend liter deze maand]]/0.15</f>
        <v>71.333333333333329</v>
      </c>
      <c r="AT37" s="25">
        <v>666.5</v>
      </c>
      <c r="AU37">
        <f>Tabel24[[#This Row],[Stand heet water liter einde maand]]</f>
        <v>470.5</v>
      </c>
      <c r="AV37">
        <f>Tabel242[[#This Row],[Stand heet water liter einde maand]]-Tabel242[[#This Row],[Stand heet water liter vorige maand]]</f>
        <v>196</v>
      </c>
      <c r="AW37" s="20">
        <f>Tabel242[[#This Row],[Verbruik heet Water liter deze maand ]]/0.15</f>
        <v>1306.6666666666667</v>
      </c>
      <c r="AX37" s="4">
        <v>0</v>
      </c>
      <c r="AY37" s="4">
        <f>Tabel242[[#This Row],[Subtotaal waterbar in consumpties]]+Tabel242[[#This Row],[Subtotaal koffieautomaten]]</f>
        <v>918</v>
      </c>
    </row>
    <row r="38" spans="1:51" x14ac:dyDescent="0.25">
      <c r="A38" t="s">
        <v>60</v>
      </c>
      <c r="B38" t="s">
        <v>87</v>
      </c>
      <c r="C38" t="s">
        <v>31</v>
      </c>
      <c r="E38" s="25">
        <v>586</v>
      </c>
      <c r="F38">
        <f>Tabel24[[#This Row],[Stand Coffee einde maand]]</f>
        <v>373</v>
      </c>
      <c r="G38" s="12">
        <f>Tabel242[[#This Row],[Stand Coffee einde maand]]-Tabel242[[#This Row],[Coffee vorige maand]]</f>
        <v>213</v>
      </c>
      <c r="H38" s="25">
        <v>97</v>
      </c>
      <c r="I38">
        <f>Tabel24[[#This Row],[Stand Espresso Einde maand]]</f>
        <v>62</v>
      </c>
      <c r="J38" s="12">
        <f>Tabel242[[#This Row],[Stand Espresso Einde maand]]-Tabel242[[#This Row],[Espresso vorige maand]]</f>
        <v>35</v>
      </c>
      <c r="K38" s="25">
        <v>192</v>
      </c>
      <c r="L38">
        <f>Tabel24[[#This Row],[Stand Latte Macchiato einde maand]]</f>
        <v>152</v>
      </c>
      <c r="M38">
        <f>Tabel242[[#This Row],[Stand Latte Macchiato einde maand]]-Tabel242[[#This Row],[Latte Macchiato vorige maand]]</f>
        <v>40</v>
      </c>
      <c r="N38" s="25">
        <v>146</v>
      </c>
      <c r="O38">
        <f>Tabel24[[#This Row],[Stand Coffee Latte einde maand]]</f>
        <v>91</v>
      </c>
      <c r="P38">
        <f>Tabel242[[#This Row],[Stand Coffee Latte einde maand]]-Tabel242[[#This Row],[Coffee Latte vorige maand]]</f>
        <v>55</v>
      </c>
      <c r="Q38" s="25">
        <v>2794</v>
      </c>
      <c r="R38">
        <f>Tabel24[[#This Row],[Stand Hot Water einde maand]]</f>
        <v>1803</v>
      </c>
      <c r="S38">
        <f>Tabel242[[#This Row],[Stand Hot Water einde maand]]-Tabel242[[#This Row],[Hot Water vorige maand]]</f>
        <v>991</v>
      </c>
      <c r="T38" s="25">
        <v>524</v>
      </c>
      <c r="U38">
        <f>Tabel24[[#This Row],[Stand Cappucino einde maand]]</f>
        <v>372</v>
      </c>
      <c r="V38">
        <f>Tabel242[[#This Row],[Stand Cappucino einde maand]]-Tabel242[[#This Row],[Stand Cappucino vorige maand]]</f>
        <v>152</v>
      </c>
      <c r="W38" s="25">
        <v>120</v>
      </c>
      <c r="X38">
        <f>Tabel24[[#This Row],[Stand Cappucino Plantaardig einde maand]]</f>
        <v>96</v>
      </c>
      <c r="Y38">
        <f>Tabel242[[#This Row],[Stand Cappucino Plantaardig einde maand]]-Tabel242[[#This Row],[Stand Cappucino Plantaardig vorige maand]]</f>
        <v>24</v>
      </c>
      <c r="Z38" s="25">
        <v>84</v>
      </c>
      <c r="AA38">
        <f>Tabel24[[#This Row],[Stand Latte Macchiato Plantaardig einde maand]]</f>
        <v>53</v>
      </c>
      <c r="AB38" s="12">
        <f>Tabel242[[#This Row],[Stand Latte Macchiato Plantaardig einde maand]]-Tabel242[[#This Row],[Stand Latte Macchiato Plantaardig vorige maand]]</f>
        <v>31</v>
      </c>
      <c r="AC38" s="3">
        <f>Tabel242[[#This Row],[Verbruik Stand Latte Macchiato Plantaardig deze maand]]+Tabel242[[#This Row],[Verbruik  Cappucino Plantaardig deze maand]]+Tabel242[[#This Row],[Verbruik Cappucino deze maand]]+Tabel242[[#This Row],[Verbruik Hot Water deze maand]]+Tabel242[[#This Row],[Verbruik Coffee Latte deze maand]]+Tabel242[[#This Row],[Verbruik Latte Macchiato deze maand]]+Tabel242[[#This Row],[Verbruik Espresso deze maand]]+Tabel242[[#This Row],[Verbruik Coffee deze maand]]</f>
        <v>1541</v>
      </c>
      <c r="AD38" s="26"/>
      <c r="AE38" s="5"/>
      <c r="AF38" s="5"/>
      <c r="AG38" s="5"/>
      <c r="AH38" s="26"/>
      <c r="AI38" s="5"/>
      <c r="AJ38" s="5"/>
      <c r="AK38" s="5"/>
      <c r="AL38" s="26"/>
      <c r="AM38" s="5"/>
      <c r="AN38" s="5"/>
      <c r="AO38" s="5"/>
      <c r="AP38" s="26"/>
      <c r="AQ38" s="5"/>
      <c r="AR38" s="5"/>
      <c r="AS38" s="5"/>
      <c r="AT38" s="26"/>
      <c r="AU38" s="5"/>
      <c r="AV38" s="5"/>
      <c r="AW38" s="16"/>
      <c r="AX38" s="6"/>
      <c r="AY38" s="4">
        <f>Tabel242[[#This Row],[Subtotaal waterbar in consumpties]]+Tabel242[[#This Row],[Subtotaal koffieautomaten]]</f>
        <v>1541</v>
      </c>
    </row>
    <row r="39" spans="1:51" x14ac:dyDescent="0.25">
      <c r="A39" s="3" t="s">
        <v>88</v>
      </c>
      <c r="E39" s="25"/>
      <c r="F39">
        <f>Tabel24[[#This Row],[Stand Coffee einde maand]]</f>
        <v>0</v>
      </c>
      <c r="G39" s="12">
        <f>Tabel242[[#This Row],[Stand Coffee einde maand]]-Tabel242[[#This Row],[Coffee vorige maand]]</f>
        <v>0</v>
      </c>
      <c r="H39" s="25"/>
      <c r="I39">
        <f>Tabel24[[#This Row],[Stand Espresso Einde maand]]</f>
        <v>0</v>
      </c>
      <c r="J39" s="12">
        <f>Tabel242[[#This Row],[Stand Espresso Einde maand]]-Tabel242[[#This Row],[Espresso vorige maand]]</f>
        <v>0</v>
      </c>
      <c r="K39" s="25"/>
      <c r="L39">
        <f>Tabel24[[#This Row],[Stand Latte Macchiato einde maand]]</f>
        <v>0</v>
      </c>
      <c r="M39">
        <f>Tabel242[[#This Row],[Stand Latte Macchiato einde maand]]-Tabel242[[#This Row],[Latte Macchiato vorige maand]]</f>
        <v>0</v>
      </c>
      <c r="N39" s="25"/>
      <c r="O39">
        <f>Tabel24[[#This Row],[Stand Coffee Latte einde maand]]</f>
        <v>0</v>
      </c>
      <c r="P39">
        <f>Tabel242[[#This Row],[Stand Coffee Latte einde maand]]-Tabel242[[#This Row],[Coffee Latte vorige maand]]</f>
        <v>0</v>
      </c>
      <c r="Q39" s="25"/>
      <c r="R39">
        <f>Tabel24[[#This Row],[Stand Hot Water einde maand]]</f>
        <v>0</v>
      </c>
      <c r="S39">
        <f>Tabel242[[#This Row],[Stand Hot Water einde maand]]-Tabel242[[#This Row],[Hot Water vorige maand]]</f>
        <v>0</v>
      </c>
      <c r="T39" s="25"/>
      <c r="U39">
        <f>Tabel24[[#This Row],[Stand Cappucino einde maand]]</f>
        <v>0</v>
      </c>
      <c r="V39">
        <f>Tabel242[[#This Row],[Stand Cappucino einde maand]]-Tabel242[[#This Row],[Stand Cappucino vorige maand]]</f>
        <v>0</v>
      </c>
      <c r="W39" s="25"/>
      <c r="X39">
        <f>Tabel24[[#This Row],[Stand Cappucino Plantaardig einde maand]]</f>
        <v>0</v>
      </c>
      <c r="Y39">
        <f>Tabel242[[#This Row],[Stand Cappucino Plantaardig einde maand]]-Tabel242[[#This Row],[Stand Cappucino Plantaardig vorige maand]]</f>
        <v>0</v>
      </c>
      <c r="Z39" s="25"/>
      <c r="AA39">
        <f>Tabel24[[#This Row],[Stand Latte Macchiato Plantaardig einde maand]]</f>
        <v>0</v>
      </c>
      <c r="AB39" s="12">
        <f>Tabel242[[#This Row],[Stand Latte Macchiato Plantaardig einde maand]]-Tabel242[[#This Row],[Stand Latte Macchiato Plantaardig vorige maand]]</f>
        <v>0</v>
      </c>
      <c r="AC39" s="3">
        <f>Tabel242[[#This Row],[Verbruik Stand Latte Macchiato Plantaardig deze maand]]+Tabel242[[#This Row],[Verbruik  Cappucino Plantaardig deze maand]]+Tabel242[[#This Row],[Verbruik Cappucino deze maand]]+Tabel242[[#This Row],[Verbruik Hot Water deze maand]]+Tabel242[[#This Row],[Verbruik Coffee Latte deze maand]]+Tabel242[[#This Row],[Verbruik Latte Macchiato deze maand]]+Tabel242[[#This Row],[Verbruik Espresso deze maand]]+Tabel242[[#This Row],[Verbruik Coffee deze maand]]</f>
        <v>0</v>
      </c>
      <c r="AD39" s="25"/>
      <c r="AF39">
        <f>Tabel242[[#This Row],[Stand Kamertemp liter einde maand]]-Tabel242[[#This Row],[Stand Kamertemp liter vorige maand]]</f>
        <v>0</v>
      </c>
      <c r="AG39" s="2">
        <f>Tabel242[[#This Row],[Verbruik Kamertemp liter deze maand]]/0.15</f>
        <v>0</v>
      </c>
      <c r="AH39" s="25"/>
      <c r="AI39">
        <f>Tabel24[[#This Row],[Stand Gekoeld liter einde maand]]</f>
        <v>0</v>
      </c>
      <c r="AJ39">
        <f>Tabel242[[#This Row],[Stand Gekoeld liter einde maand]]-Tabel242[[#This Row],[Stand Gekoeld liter vorige maand]]</f>
        <v>0</v>
      </c>
      <c r="AK39" s="2">
        <f>Tabel242[[#This Row],[Verbruik Gekoeld liter deze maand]]/0.15</f>
        <v>0</v>
      </c>
      <c r="AL39" s="25"/>
      <c r="AM39">
        <f>Tabel24[[#This Row],[Stand Bruisend liter einde maand]]</f>
        <v>0</v>
      </c>
      <c r="AN39">
        <f>Tabel242[[#This Row],[Stand Bruisend liter einde maand]]-Tabel242[[#This Row],[Stand Bruisend liter vorige maand]]</f>
        <v>0</v>
      </c>
      <c r="AO39" s="2">
        <f>Tabel242[[#This Row],[Verbruik Bruisend liter deze maand]]/0.15</f>
        <v>0</v>
      </c>
      <c r="AP39" s="25"/>
      <c r="AQ39">
        <f>Tabel24[[#This Row],[Stand licht bruisend liter einde maand]]</f>
        <v>0</v>
      </c>
      <c r="AR39">
        <f>Tabel242[[#This Row],[Stand licht bruisend liter einde maand]]-Tabel242[[#This Row],[Stand licht bruisend liter vorige maand]]</f>
        <v>0</v>
      </c>
      <c r="AS39" s="2">
        <f>Tabel242[[#This Row],[Verbruik licht bruisend liter deze maand]]/0.15</f>
        <v>0</v>
      </c>
      <c r="AT39" s="25"/>
      <c r="AU39">
        <f>Tabel24[[#This Row],[Stand heet water liter einde maand]]</f>
        <v>0</v>
      </c>
      <c r="AV39">
        <f>Tabel242[[#This Row],[Stand heet water liter einde maand]]-Tabel242[[#This Row],[Stand heet water liter vorige maand]]</f>
        <v>0</v>
      </c>
      <c r="AW39" s="20">
        <f>Tabel242[[#This Row],[Verbruik heet Water liter deze maand ]]/0.15</f>
        <v>0</v>
      </c>
      <c r="AX39" s="4"/>
      <c r="AY39" s="4">
        <f>Tabel242[[#This Row],[Subtotaal waterbar in consumpties]]+Tabel242[[#This Row],[Subtotaal koffieautomaten]]</f>
        <v>0</v>
      </c>
    </row>
    <row r="40" spans="1:51" x14ac:dyDescent="0.25">
      <c r="A40" t="s">
        <v>39</v>
      </c>
      <c r="B40" t="s">
        <v>89</v>
      </c>
      <c r="C40" t="s">
        <v>36</v>
      </c>
      <c r="E40" s="32"/>
      <c r="F40" s="33"/>
      <c r="G40" s="34"/>
      <c r="H40" s="32"/>
      <c r="I40" s="33"/>
      <c r="J40" s="34"/>
      <c r="K40" s="32"/>
      <c r="L40" s="33"/>
      <c r="M40" s="33"/>
      <c r="N40" s="32"/>
      <c r="O40" s="33"/>
      <c r="P40" s="33"/>
      <c r="Q40" s="32"/>
      <c r="R40" s="33"/>
      <c r="S40" s="33"/>
      <c r="T40" s="32"/>
      <c r="U40" s="33"/>
      <c r="V40" s="33"/>
      <c r="W40" s="32"/>
      <c r="X40" s="33"/>
      <c r="Y40" s="33"/>
      <c r="Z40" s="32"/>
      <c r="AA40" s="33"/>
      <c r="AB40" s="34"/>
      <c r="AC40" s="35"/>
      <c r="AD40" s="25">
        <v>50.8</v>
      </c>
      <c r="AE40">
        <f>Tabel24[[#This Row],[Stand Kamertemp liter einde maand]]</f>
        <v>36.700000000000003</v>
      </c>
      <c r="AF40">
        <f>Tabel242[[#This Row],[Stand Kamertemp liter einde maand]]-Tabel242[[#This Row],[Stand Kamertemp liter vorige maand]]</f>
        <v>14.099999999999994</v>
      </c>
      <c r="AG40" s="2">
        <f>Tabel242[[#This Row],[Verbruik Kamertemp liter deze maand]]/0.15</f>
        <v>93.999999999999972</v>
      </c>
      <c r="AH40" s="25">
        <v>496</v>
      </c>
      <c r="AI40">
        <f>Tabel24[[#This Row],[Stand Gekoeld liter einde maand]]</f>
        <v>327.39999999999998</v>
      </c>
      <c r="AJ40">
        <f>Tabel242[[#This Row],[Stand Gekoeld liter einde maand]]-Tabel242[[#This Row],[Stand Gekoeld liter vorige maand]]</f>
        <v>168.60000000000002</v>
      </c>
      <c r="AK40" s="2">
        <f>Tabel242[[#This Row],[Verbruik Gekoeld liter deze maand]]/0.15</f>
        <v>1124.0000000000002</v>
      </c>
      <c r="AL40" s="25">
        <v>232.1</v>
      </c>
      <c r="AM40">
        <f>Tabel24[[#This Row],[Stand Bruisend liter einde maand]]</f>
        <v>168.6</v>
      </c>
      <c r="AN40">
        <f>Tabel242[[#This Row],[Stand Bruisend liter einde maand]]-Tabel242[[#This Row],[Stand Bruisend liter vorige maand]]</f>
        <v>63.5</v>
      </c>
      <c r="AO40" s="2">
        <f>Tabel242[[#This Row],[Verbruik Bruisend liter deze maand]]/0.15</f>
        <v>423.33333333333337</v>
      </c>
      <c r="AP40" s="25">
        <v>80.900000000000006</v>
      </c>
      <c r="AQ40">
        <f>Tabel24[[#This Row],[Stand licht bruisend liter einde maand]]</f>
        <v>68.099999999999994</v>
      </c>
      <c r="AR40">
        <f>Tabel242[[#This Row],[Stand licht bruisend liter einde maand]]-Tabel242[[#This Row],[Stand licht bruisend liter vorige maand]]</f>
        <v>12.800000000000011</v>
      </c>
      <c r="AS40" s="2">
        <f>Tabel242[[#This Row],[Verbruik licht bruisend liter deze maand]]/0.15</f>
        <v>85.333333333333414</v>
      </c>
      <c r="AT40" s="25">
        <v>421.9</v>
      </c>
      <c r="AU40">
        <f>Tabel24[[#This Row],[Stand heet water liter einde maand]]</f>
        <v>265.60000000000002</v>
      </c>
      <c r="AV40">
        <f>Tabel242[[#This Row],[Stand heet water liter einde maand]]-Tabel242[[#This Row],[Stand heet water liter vorige maand]]</f>
        <v>156.29999999999995</v>
      </c>
      <c r="AW40" s="20">
        <f>Tabel242[[#This Row],[Verbruik heet Water liter deze maand ]]/0.15</f>
        <v>1041.9999999999998</v>
      </c>
      <c r="AX40" s="4">
        <f>Tabel242[[#This Row],[Aantal consumpties heet water deze maand]]+Tabel242[[#This Row],[Aantal consumpties licht bruisend water deze maand]]+Tabel242[[#This Row],[aantal consumpties Bruisend water deze maand]]+Tabel242[[#This Row],[Aantal consumpties gekoeld water deze maand]]+Tabel242[[#This Row],[Aantal consumpties Kamertemp deze maand]]</f>
        <v>2768.666666666667</v>
      </c>
      <c r="AY40" s="4">
        <f>Tabel242[[#This Row],[Subtotaal waterbar in consumpties]]+Tabel242[[#This Row],[Subtotaal koffieautomaten]]</f>
        <v>2768.666666666667</v>
      </c>
    </row>
    <row r="41" spans="1:51" x14ac:dyDescent="0.25">
      <c r="A41" t="s">
        <v>41</v>
      </c>
      <c r="B41" t="s">
        <v>90</v>
      </c>
      <c r="C41" t="s">
        <v>31</v>
      </c>
      <c r="E41" s="29"/>
      <c r="F41">
        <f>Tabel24[[#This Row],[Stand Coffee einde maand]]</f>
        <v>560</v>
      </c>
      <c r="G41" s="12">
        <f>Tabel242[[#This Row],[Stand Coffee einde maand]]-Tabel242[[#This Row],[Coffee vorige maand]]</f>
        <v>-560</v>
      </c>
      <c r="H41" s="29"/>
      <c r="I41">
        <f>Tabel24[[#This Row],[Stand Espresso Einde maand]]</f>
        <v>271</v>
      </c>
      <c r="J41" s="12">
        <f>Tabel242[[#This Row],[Stand Espresso Einde maand]]-Tabel242[[#This Row],[Espresso vorige maand]]</f>
        <v>-271</v>
      </c>
      <c r="K41" s="29"/>
      <c r="L41">
        <f>Tabel24[[#This Row],[Stand Latte Macchiato einde maand]]</f>
        <v>82</v>
      </c>
      <c r="M41">
        <f>Tabel242[[#This Row],[Stand Latte Macchiato einde maand]]-Tabel242[[#This Row],[Latte Macchiato vorige maand]]</f>
        <v>-82</v>
      </c>
      <c r="N41" s="29"/>
      <c r="O41">
        <f>Tabel24[[#This Row],[Stand Coffee Latte einde maand]]</f>
        <v>33</v>
      </c>
      <c r="P41">
        <f>Tabel242[[#This Row],[Stand Coffee Latte einde maand]]-Tabel242[[#This Row],[Coffee Latte vorige maand]]</f>
        <v>-33</v>
      </c>
      <c r="Q41" s="29"/>
      <c r="R41">
        <f>Tabel24[[#This Row],[Stand Hot Water einde maand]]</f>
        <v>1966</v>
      </c>
      <c r="S41">
        <f>Tabel242[[#This Row],[Stand Hot Water einde maand]]-Tabel242[[#This Row],[Hot Water vorige maand]]</f>
        <v>-1966</v>
      </c>
      <c r="T41" s="29"/>
      <c r="U41">
        <f>Tabel24[[#This Row],[Stand Cappucino einde maand]]</f>
        <v>351</v>
      </c>
      <c r="V41">
        <f>Tabel242[[#This Row],[Stand Cappucino einde maand]]-Tabel242[[#This Row],[Stand Cappucino vorige maand]]</f>
        <v>-351</v>
      </c>
      <c r="W41" s="29"/>
      <c r="X41">
        <f>Tabel24[[#This Row],[Stand Cappucino Plantaardig einde maand]]</f>
        <v>56</v>
      </c>
      <c r="Y41">
        <f>Tabel242[[#This Row],[Stand Cappucino Plantaardig einde maand]]-Tabel242[[#This Row],[Stand Cappucino Plantaardig vorige maand]]</f>
        <v>-56</v>
      </c>
      <c r="Z41" s="29"/>
      <c r="AA41">
        <f>Tabel24[[#This Row],[Stand Latte Macchiato Plantaardig einde maand]]</f>
        <v>17</v>
      </c>
      <c r="AB41" s="12">
        <f>Tabel242[[#This Row],[Stand Latte Macchiato Plantaardig einde maand]]-Tabel242[[#This Row],[Stand Latte Macchiato Plantaardig vorige maand]]</f>
        <v>-17</v>
      </c>
      <c r="AC41" s="3">
        <f>Tabel242[[#This Row],[Verbruik Stand Latte Macchiato Plantaardig deze maand]]+Tabel242[[#This Row],[Verbruik  Cappucino Plantaardig deze maand]]+Tabel242[[#This Row],[Verbruik Cappucino deze maand]]+Tabel242[[#This Row],[Verbruik Hot Water deze maand]]+Tabel242[[#This Row],[Verbruik Coffee Latte deze maand]]+Tabel242[[#This Row],[Verbruik Latte Macchiato deze maand]]+Tabel242[[#This Row],[Verbruik Espresso deze maand]]+Tabel242[[#This Row],[Verbruik Coffee deze maand]]</f>
        <v>-3336</v>
      </c>
      <c r="AD41" s="26"/>
      <c r="AE41" s="5"/>
      <c r="AF41" s="5"/>
      <c r="AG41" s="5"/>
      <c r="AH41" s="26"/>
      <c r="AI41" s="5"/>
      <c r="AJ41" s="5"/>
      <c r="AK41" s="5"/>
      <c r="AL41" s="26"/>
      <c r="AM41" s="5"/>
      <c r="AN41" s="5"/>
      <c r="AO41" s="5"/>
      <c r="AP41" s="26"/>
      <c r="AQ41" s="5"/>
      <c r="AR41" s="5"/>
      <c r="AS41" s="5"/>
      <c r="AT41" s="26"/>
      <c r="AU41" s="5"/>
      <c r="AV41" s="5"/>
      <c r="AW41" s="16"/>
      <c r="AX41" s="6"/>
      <c r="AY41" s="4">
        <f>Tabel242[[#This Row],[Subtotaal waterbar in consumpties]]+Tabel242[[#This Row],[Subtotaal koffieautomaten]]</f>
        <v>-3336</v>
      </c>
    </row>
    <row r="42" spans="1:51" x14ac:dyDescent="0.25">
      <c r="A42" t="s">
        <v>43</v>
      </c>
      <c r="B42" t="s">
        <v>91</v>
      </c>
      <c r="C42" t="s">
        <v>47</v>
      </c>
      <c r="E42" s="25">
        <v>1777</v>
      </c>
      <c r="F42">
        <f>Tabel24[[#This Row],[Stand Coffee einde maand]]</f>
        <v>1162</v>
      </c>
      <c r="G42" s="12">
        <f>Tabel242[[#This Row],[Stand Coffee einde maand]]-Tabel242[[#This Row],[Coffee vorige maand]]</f>
        <v>615</v>
      </c>
      <c r="H42" s="25">
        <v>653</v>
      </c>
      <c r="I42">
        <f>Tabel24[[#This Row],[Stand Espresso Einde maand]]</f>
        <v>446</v>
      </c>
      <c r="J42" s="12">
        <f>Tabel242[[#This Row],[Stand Espresso Einde maand]]-Tabel242[[#This Row],[Espresso vorige maand]]</f>
        <v>207</v>
      </c>
      <c r="K42" s="25">
        <v>165</v>
      </c>
      <c r="L42">
        <f>Tabel24[[#This Row],[Stand Latte Macchiato einde maand]]</f>
        <v>109</v>
      </c>
      <c r="M42">
        <f>Tabel242[[#This Row],[Stand Latte Macchiato einde maand]]-Tabel242[[#This Row],[Latte Macchiato vorige maand]]</f>
        <v>56</v>
      </c>
      <c r="N42" s="25">
        <v>98</v>
      </c>
      <c r="O42">
        <f>Tabel24[[#This Row],[Stand Coffee Latte einde maand]]</f>
        <v>55</v>
      </c>
      <c r="P42">
        <f>Tabel242[[#This Row],[Stand Coffee Latte einde maand]]-Tabel242[[#This Row],[Coffee Latte vorige maand]]</f>
        <v>43</v>
      </c>
      <c r="Q42" s="25">
        <v>113</v>
      </c>
      <c r="R42">
        <f>Tabel24[[#This Row],[Stand Hot Water einde maand]]</f>
        <v>31</v>
      </c>
      <c r="S42">
        <f>Tabel242[[#This Row],[Stand Hot Water einde maand]]-Tabel242[[#This Row],[Hot Water vorige maand]]</f>
        <v>82</v>
      </c>
      <c r="T42" s="25">
        <v>617</v>
      </c>
      <c r="U42">
        <f>Tabel24[[#This Row],[Stand Cappucino einde maand]]</f>
        <v>390</v>
      </c>
      <c r="V42">
        <f>Tabel242[[#This Row],[Stand Cappucino einde maand]]-Tabel242[[#This Row],[Stand Cappucino vorige maand]]</f>
        <v>227</v>
      </c>
      <c r="W42" s="25">
        <v>647</v>
      </c>
      <c r="X42">
        <f>Tabel24[[#This Row],[Stand Cappucino Plantaardig einde maand]]</f>
        <v>419</v>
      </c>
      <c r="Y42">
        <f>Tabel242[[#This Row],[Stand Cappucino Plantaardig einde maand]]-Tabel242[[#This Row],[Stand Cappucino Plantaardig vorige maand]]</f>
        <v>228</v>
      </c>
      <c r="Z42" s="25">
        <v>64</v>
      </c>
      <c r="AA42">
        <f>Tabel24[[#This Row],[Stand Latte Macchiato Plantaardig einde maand]]</f>
        <v>46</v>
      </c>
      <c r="AB42" s="12">
        <f>Tabel242[[#This Row],[Stand Latte Macchiato Plantaardig einde maand]]-Tabel242[[#This Row],[Stand Latte Macchiato Plantaardig vorige maand]]</f>
        <v>18</v>
      </c>
      <c r="AC42" s="3">
        <f>Tabel242[[#This Row],[Verbruik Stand Latte Macchiato Plantaardig deze maand]]+Tabel242[[#This Row],[Verbruik  Cappucino Plantaardig deze maand]]+Tabel242[[#This Row],[Verbruik Cappucino deze maand]]+Tabel242[[#This Row],[Verbruik Hot Water deze maand]]+Tabel242[[#This Row],[Verbruik Coffee Latte deze maand]]+Tabel242[[#This Row],[Verbruik Latte Macchiato deze maand]]+Tabel242[[#This Row],[Verbruik Espresso deze maand]]+Tabel242[[#This Row],[Verbruik Coffee deze maand]]</f>
        <v>1476</v>
      </c>
      <c r="AD42" s="25">
        <v>29.7</v>
      </c>
      <c r="AE42">
        <f>Tabel24[[#This Row],[Stand Kamertemp liter einde maand]]</f>
        <v>21</v>
      </c>
      <c r="AF42">
        <f>Tabel242[[#This Row],[Stand Kamertemp liter einde maand]]-Tabel242[[#This Row],[Stand Kamertemp liter vorige maand]]</f>
        <v>8.6999999999999993</v>
      </c>
      <c r="AG42" s="2">
        <f>Tabel242[[#This Row],[Verbruik Kamertemp liter deze maand]]/0.15</f>
        <v>58</v>
      </c>
      <c r="AH42" s="25">
        <v>284</v>
      </c>
      <c r="AI42">
        <f>Tabel24[[#This Row],[Stand Gekoeld liter einde maand]]</f>
        <v>195.8</v>
      </c>
      <c r="AJ42">
        <f>Tabel242[[#This Row],[Stand Gekoeld liter einde maand]]-Tabel242[[#This Row],[Stand Gekoeld liter vorige maand]]</f>
        <v>88.199999999999989</v>
      </c>
      <c r="AK42" s="2">
        <f>Tabel242[[#This Row],[Verbruik Gekoeld liter deze maand]]/0.15</f>
        <v>588</v>
      </c>
      <c r="AL42" s="25">
        <v>375.4</v>
      </c>
      <c r="AM42">
        <f>Tabel24[[#This Row],[Stand Bruisend liter einde maand]]</f>
        <v>228.3</v>
      </c>
      <c r="AN42">
        <f>Tabel242[[#This Row],[Stand Bruisend liter einde maand]]-Tabel242[[#This Row],[Stand Bruisend liter vorige maand]]</f>
        <v>147.09999999999997</v>
      </c>
      <c r="AO42" s="2">
        <f>Tabel242[[#This Row],[Verbruik Bruisend liter deze maand]]/0.15</f>
        <v>980.66666666666652</v>
      </c>
      <c r="AP42" s="25">
        <v>298.89999999999998</v>
      </c>
      <c r="AQ42">
        <f>Tabel24[[#This Row],[Stand licht bruisend liter einde maand]]</f>
        <v>209.5</v>
      </c>
      <c r="AR42">
        <f>Tabel242[[#This Row],[Stand licht bruisend liter einde maand]]-Tabel242[[#This Row],[Stand licht bruisend liter vorige maand]]</f>
        <v>89.399999999999977</v>
      </c>
      <c r="AS42" s="2">
        <f>Tabel242[[#This Row],[Verbruik licht bruisend liter deze maand]]/0.15</f>
        <v>595.99999999999989</v>
      </c>
      <c r="AT42" s="25">
        <v>1504</v>
      </c>
      <c r="AU42">
        <f>Tabel24[[#This Row],[Stand heet water liter einde maand]]</f>
        <v>962.4</v>
      </c>
      <c r="AV42">
        <f>Tabel242[[#This Row],[Stand heet water liter einde maand]]-Tabel242[[#This Row],[Stand heet water liter vorige maand]]</f>
        <v>541.6</v>
      </c>
      <c r="AW42" s="20">
        <f>Tabel242[[#This Row],[Verbruik heet Water liter deze maand ]]/0.15</f>
        <v>3610.666666666667</v>
      </c>
      <c r="AX42" s="4">
        <f>Tabel242[[#This Row],[Aantal consumpties heet water deze maand]]+Tabel242[[#This Row],[Aantal consumpties licht bruisend water deze maand]]+Tabel242[[#This Row],[aantal consumpties Bruisend water deze maand]]+Tabel242[[#This Row],[Aantal consumpties gekoeld water deze maand]]+Tabel242[[#This Row],[Aantal consumpties Kamertemp deze maand]]</f>
        <v>5833.3333333333339</v>
      </c>
      <c r="AY42" s="4">
        <f>Tabel242[[#This Row],[Subtotaal waterbar in consumpties]]+Tabel242[[#This Row],[Subtotaal koffieautomaten]]</f>
        <v>7309.3333333333339</v>
      </c>
    </row>
    <row r="43" spans="1:51" x14ac:dyDescent="0.25">
      <c r="A43" t="s">
        <v>45</v>
      </c>
      <c r="B43" t="s">
        <v>92</v>
      </c>
      <c r="C43" t="s">
        <v>36</v>
      </c>
      <c r="E43" s="32"/>
      <c r="F43" s="33"/>
      <c r="G43" s="34"/>
      <c r="H43" s="32"/>
      <c r="I43" s="33"/>
      <c r="J43" s="34"/>
      <c r="K43" s="32"/>
      <c r="L43" s="33"/>
      <c r="M43" s="33"/>
      <c r="N43" s="32"/>
      <c r="O43" s="33"/>
      <c r="P43" s="33"/>
      <c r="Q43" s="32"/>
      <c r="R43" s="33"/>
      <c r="S43" s="33"/>
      <c r="T43" s="32"/>
      <c r="U43" s="33"/>
      <c r="V43" s="33"/>
      <c r="W43" s="32"/>
      <c r="X43" s="33"/>
      <c r="Y43" s="33"/>
      <c r="Z43" s="32"/>
      <c r="AA43" s="33"/>
      <c r="AB43" s="34"/>
      <c r="AC43" s="35"/>
      <c r="AD43" s="25">
        <v>21.4</v>
      </c>
      <c r="AE43">
        <f>Tabel24[[#This Row],[Stand Kamertemp liter einde maand]]</f>
        <v>16.7</v>
      </c>
      <c r="AF43">
        <f>Tabel242[[#This Row],[Stand Kamertemp liter einde maand]]-Tabel242[[#This Row],[Stand Kamertemp liter vorige maand]]</f>
        <v>4.6999999999999993</v>
      </c>
      <c r="AG43" s="2">
        <f>Tabel242[[#This Row],[Verbruik Kamertemp liter deze maand]]/0.15</f>
        <v>31.333333333333329</v>
      </c>
      <c r="AH43" s="25">
        <v>134.30000000000001</v>
      </c>
      <c r="AI43">
        <f>Tabel24[[#This Row],[Stand Gekoeld liter einde maand]]</f>
        <v>90.4</v>
      </c>
      <c r="AJ43">
        <f>Tabel242[[#This Row],[Stand Gekoeld liter einde maand]]-Tabel242[[#This Row],[Stand Gekoeld liter vorige maand]]</f>
        <v>43.900000000000006</v>
      </c>
      <c r="AK43" s="2">
        <f>Tabel242[[#This Row],[Verbruik Gekoeld liter deze maand]]/0.15</f>
        <v>292.66666666666674</v>
      </c>
      <c r="AL43" s="25">
        <v>117.3</v>
      </c>
      <c r="AM43">
        <f>Tabel24[[#This Row],[Stand Bruisend liter einde maand]]</f>
        <v>76.5</v>
      </c>
      <c r="AN43">
        <f>Tabel242[[#This Row],[Stand Bruisend liter einde maand]]-Tabel242[[#This Row],[Stand Bruisend liter vorige maand]]</f>
        <v>40.799999999999997</v>
      </c>
      <c r="AO43" s="2">
        <f>Tabel242[[#This Row],[Verbruik Bruisend liter deze maand]]/0.15</f>
        <v>272</v>
      </c>
      <c r="AP43" s="25">
        <v>37.1</v>
      </c>
      <c r="AQ43">
        <f>Tabel24[[#This Row],[Stand licht bruisend liter einde maand]]</f>
        <v>29.5</v>
      </c>
      <c r="AR43">
        <f>Tabel242[[#This Row],[Stand licht bruisend liter einde maand]]-Tabel242[[#This Row],[Stand licht bruisend liter vorige maand]]</f>
        <v>7.6000000000000014</v>
      </c>
      <c r="AS43" s="2">
        <f>Tabel242[[#This Row],[Verbruik licht bruisend liter deze maand]]/0.15</f>
        <v>50.666666666666679</v>
      </c>
      <c r="AT43" s="25">
        <v>627.29999999999995</v>
      </c>
      <c r="AU43">
        <f>Tabel24[[#This Row],[Stand heet water liter einde maand]]</f>
        <v>448.9</v>
      </c>
      <c r="AV43">
        <f>Tabel242[[#This Row],[Stand heet water liter einde maand]]-Tabel242[[#This Row],[Stand heet water liter vorige maand]]</f>
        <v>178.39999999999998</v>
      </c>
      <c r="AW43" s="20">
        <f>Tabel242[[#This Row],[Verbruik heet Water liter deze maand ]]/0.15</f>
        <v>1189.3333333333333</v>
      </c>
      <c r="AX43" s="4">
        <f>Tabel242[[#This Row],[Aantal consumpties heet water deze maand]]+Tabel242[[#This Row],[Aantal consumpties licht bruisend water deze maand]]+Tabel242[[#This Row],[aantal consumpties Bruisend water deze maand]]+Tabel242[[#This Row],[Aantal consumpties gekoeld water deze maand]]+Tabel242[[#This Row],[Aantal consumpties Kamertemp deze maand]]</f>
        <v>1836</v>
      </c>
      <c r="AY43" s="4">
        <f>Tabel242[[#This Row],[Subtotaal waterbar in consumpties]]+Tabel242[[#This Row],[Subtotaal koffieautomaten]]</f>
        <v>1836</v>
      </c>
    </row>
    <row r="44" spans="1:51" x14ac:dyDescent="0.25">
      <c r="A44" t="s">
        <v>48</v>
      </c>
      <c r="B44" t="s">
        <v>158</v>
      </c>
      <c r="C44" t="s">
        <v>31</v>
      </c>
      <c r="E44" s="25">
        <v>2016</v>
      </c>
      <c r="F44">
        <f>Tabel24[[#This Row],[Stand Coffee einde maand]]</f>
        <v>1092</v>
      </c>
      <c r="G44" s="12">
        <f>Tabel242[[#This Row],[Stand Coffee einde maand]]-Tabel242[[#This Row],[Coffee vorige maand]]</f>
        <v>924</v>
      </c>
      <c r="H44" s="25">
        <v>473</v>
      </c>
      <c r="I44">
        <f>Tabel24[[#This Row],[Stand Espresso Einde maand]]</f>
        <v>282</v>
      </c>
      <c r="J44" s="12">
        <f>Tabel242[[#This Row],[Stand Espresso Einde maand]]-Tabel242[[#This Row],[Espresso vorige maand]]</f>
        <v>191</v>
      </c>
      <c r="K44" s="25">
        <v>269</v>
      </c>
      <c r="L44">
        <f>Tabel24[[#This Row],[Stand Latte Macchiato einde maand]]</f>
        <v>127</v>
      </c>
      <c r="M44">
        <f>Tabel242[[#This Row],[Stand Latte Macchiato einde maand]]-Tabel242[[#This Row],[Latte Macchiato vorige maand]]</f>
        <v>142</v>
      </c>
      <c r="N44" s="25">
        <v>44</v>
      </c>
      <c r="O44">
        <f>Tabel24[[#This Row],[Stand Coffee Latte einde maand]]</f>
        <v>34</v>
      </c>
      <c r="P44">
        <f>Tabel242[[#This Row],[Stand Coffee Latte einde maand]]-Tabel242[[#This Row],[Coffee Latte vorige maand]]</f>
        <v>10</v>
      </c>
      <c r="Q44" s="25">
        <v>2496</v>
      </c>
      <c r="R44">
        <f>Tabel24[[#This Row],[Stand Hot Water einde maand]]</f>
        <v>1430</v>
      </c>
      <c r="S44">
        <f>Tabel242[[#This Row],[Stand Hot Water einde maand]]-Tabel242[[#This Row],[Hot Water vorige maand]]</f>
        <v>1066</v>
      </c>
      <c r="T44" s="25">
        <v>860</v>
      </c>
      <c r="U44">
        <f>Tabel24[[#This Row],[Stand Cappucino einde maand]]</f>
        <v>556</v>
      </c>
      <c r="V44">
        <f>Tabel242[[#This Row],[Stand Cappucino einde maand]]-Tabel242[[#This Row],[Stand Cappucino vorige maand]]</f>
        <v>304</v>
      </c>
      <c r="W44" s="25">
        <v>164</v>
      </c>
      <c r="X44">
        <f>Tabel24[[#This Row],[Stand Cappucino Plantaardig einde maand]]</f>
        <v>104</v>
      </c>
      <c r="Y44">
        <f>Tabel242[[#This Row],[Stand Cappucino Plantaardig einde maand]]-Tabel242[[#This Row],[Stand Cappucino Plantaardig vorige maand]]</f>
        <v>60</v>
      </c>
      <c r="Z44" s="25">
        <v>138</v>
      </c>
      <c r="AA44">
        <f>Tabel24[[#This Row],[Stand Latte Macchiato Plantaardig einde maand]]</f>
        <v>69</v>
      </c>
      <c r="AB44" s="12">
        <f>Tabel242[[#This Row],[Stand Latte Macchiato Plantaardig einde maand]]-Tabel242[[#This Row],[Stand Latte Macchiato Plantaardig vorige maand]]</f>
        <v>69</v>
      </c>
      <c r="AC44" s="3">
        <f>Tabel242[[#This Row],[Verbruik Stand Latte Macchiato Plantaardig deze maand]]+Tabel242[[#This Row],[Verbruik  Cappucino Plantaardig deze maand]]+Tabel242[[#This Row],[Verbruik Cappucino deze maand]]+Tabel242[[#This Row],[Verbruik Hot Water deze maand]]+Tabel242[[#This Row],[Verbruik Coffee Latte deze maand]]+Tabel242[[#This Row],[Verbruik Latte Macchiato deze maand]]+Tabel242[[#This Row],[Verbruik Espresso deze maand]]+Tabel242[[#This Row],[Verbruik Coffee deze maand]]</f>
        <v>2766</v>
      </c>
      <c r="AD44" s="26"/>
      <c r="AE44" s="5"/>
      <c r="AF44" s="5"/>
      <c r="AG44" s="7"/>
      <c r="AH44" s="26"/>
      <c r="AI44" s="5"/>
      <c r="AJ44" s="5"/>
      <c r="AK44" s="7"/>
      <c r="AL44" s="26"/>
      <c r="AM44" s="5"/>
      <c r="AN44" s="5"/>
      <c r="AO44" s="7"/>
      <c r="AP44" s="26"/>
      <c r="AQ44" s="5"/>
      <c r="AR44" s="5"/>
      <c r="AS44" s="7"/>
      <c r="AT44" s="26"/>
      <c r="AU44" s="5"/>
      <c r="AV44" s="5"/>
      <c r="AW44" s="21"/>
      <c r="AX44" s="8"/>
      <c r="AY44" s="4">
        <f>Tabel242[[#This Row],[Subtotaal waterbar in consumpties]]+Tabel242[[#This Row],[Subtotaal koffieautomaten]]</f>
        <v>2766</v>
      </c>
    </row>
    <row r="45" spans="1:51" x14ac:dyDescent="0.25">
      <c r="A45" t="s">
        <v>50</v>
      </c>
      <c r="B45" t="s">
        <v>93</v>
      </c>
      <c r="C45" t="s">
        <v>36</v>
      </c>
      <c r="E45" s="32"/>
      <c r="F45" s="33"/>
      <c r="G45" s="34"/>
      <c r="H45" s="32"/>
      <c r="I45" s="33"/>
      <c r="J45" s="34"/>
      <c r="K45" s="32"/>
      <c r="L45" s="33"/>
      <c r="M45" s="33"/>
      <c r="N45" s="32"/>
      <c r="O45" s="33"/>
      <c r="P45" s="33"/>
      <c r="Q45" s="32"/>
      <c r="R45" s="33"/>
      <c r="S45" s="33"/>
      <c r="T45" s="32"/>
      <c r="U45" s="33"/>
      <c r="V45" s="33"/>
      <c r="W45" s="32"/>
      <c r="X45" s="33"/>
      <c r="Y45" s="33"/>
      <c r="Z45" s="32"/>
      <c r="AA45" s="33"/>
      <c r="AB45" s="34"/>
      <c r="AC45" s="35"/>
      <c r="AD45" s="25">
        <v>21.5</v>
      </c>
      <c r="AE45">
        <f>Tabel24[[#This Row],[Stand Kamertemp liter einde maand]]</f>
        <v>14.5</v>
      </c>
      <c r="AF45">
        <f>Tabel242[[#This Row],[Stand Kamertemp liter einde maand]]-Tabel242[[#This Row],[Stand Kamertemp liter vorige maand]]</f>
        <v>7</v>
      </c>
      <c r="AG45" s="2">
        <f>Tabel242[[#This Row],[Verbruik Kamertemp liter deze maand]]/0.15</f>
        <v>46.666666666666671</v>
      </c>
      <c r="AH45" s="25">
        <v>130</v>
      </c>
      <c r="AI45">
        <f>Tabel24[[#This Row],[Stand Gekoeld liter einde maand]]</f>
        <v>65.2</v>
      </c>
      <c r="AJ45">
        <f>Tabel242[[#This Row],[Stand Gekoeld liter einde maand]]-Tabel242[[#This Row],[Stand Gekoeld liter vorige maand]]</f>
        <v>64.8</v>
      </c>
      <c r="AK45" s="2">
        <f>Tabel242[[#This Row],[Verbruik Gekoeld liter deze maand]]/0.15</f>
        <v>432</v>
      </c>
      <c r="AL45" s="25">
        <v>135.4</v>
      </c>
      <c r="AM45">
        <f>Tabel24[[#This Row],[Stand Bruisend liter einde maand]]</f>
        <v>95.9</v>
      </c>
      <c r="AN45">
        <f>Tabel242[[#This Row],[Stand Bruisend liter einde maand]]-Tabel242[[#This Row],[Stand Bruisend liter vorige maand]]</f>
        <v>39.5</v>
      </c>
      <c r="AO45" s="2">
        <f>Tabel242[[#This Row],[Verbruik Bruisend liter deze maand]]/0.15</f>
        <v>263.33333333333337</v>
      </c>
      <c r="AP45" s="25">
        <v>80.900000000000006</v>
      </c>
      <c r="AQ45">
        <f>Tabel24[[#This Row],[Stand licht bruisend liter einde maand]]</f>
        <v>58.5</v>
      </c>
      <c r="AR45">
        <f>Tabel242[[#This Row],[Stand licht bruisend liter einde maand]]-Tabel242[[#This Row],[Stand licht bruisend liter vorige maand]]</f>
        <v>22.400000000000006</v>
      </c>
      <c r="AS45" s="2">
        <f>Tabel242[[#This Row],[Verbruik licht bruisend liter deze maand]]/0.15</f>
        <v>149.33333333333337</v>
      </c>
      <c r="AT45" s="25">
        <v>696</v>
      </c>
      <c r="AU45">
        <f>Tabel24[[#This Row],[Stand heet water liter einde maand]]</f>
        <v>466</v>
      </c>
      <c r="AV45">
        <f>Tabel242[[#This Row],[Stand heet water liter einde maand]]-Tabel242[[#This Row],[Stand heet water liter vorige maand]]</f>
        <v>230</v>
      </c>
      <c r="AW45" s="20">
        <f>Tabel242[[#This Row],[Verbruik heet Water liter deze maand ]]/0.15</f>
        <v>1533.3333333333335</v>
      </c>
      <c r="AX45" s="4">
        <f>Tabel242[[#This Row],[Aantal consumpties heet water deze maand]]+Tabel242[[#This Row],[Aantal consumpties licht bruisend water deze maand]]+Tabel242[[#This Row],[aantal consumpties Bruisend water deze maand]]+Tabel242[[#This Row],[Aantal consumpties gekoeld water deze maand]]+Tabel242[[#This Row],[Aantal consumpties Kamertemp deze maand]]</f>
        <v>2424.666666666667</v>
      </c>
      <c r="AY45" s="4">
        <f>Tabel242[[#This Row],[Subtotaal waterbar in consumpties]]+Tabel242[[#This Row],[Subtotaal koffieautomaten]]</f>
        <v>2424.666666666667</v>
      </c>
    </row>
    <row r="46" spans="1:51" x14ac:dyDescent="0.25">
      <c r="A46" t="s">
        <v>52</v>
      </c>
      <c r="B46" t="s">
        <v>94</v>
      </c>
      <c r="C46" t="s">
        <v>31</v>
      </c>
      <c r="E46" s="25">
        <v>953</v>
      </c>
      <c r="F46">
        <f>Tabel24[[#This Row],[Stand Coffee einde maand]]</f>
        <v>591</v>
      </c>
      <c r="G46" s="12">
        <f>Tabel242[[#This Row],[Stand Coffee einde maand]]-Tabel242[[#This Row],[Coffee vorige maand]]</f>
        <v>362</v>
      </c>
      <c r="H46" s="25">
        <v>595</v>
      </c>
      <c r="I46">
        <f>Tabel24[[#This Row],[Stand Espresso Einde maand]]</f>
        <v>331</v>
      </c>
      <c r="J46" s="12">
        <f>Tabel242[[#This Row],[Stand Espresso Einde maand]]-Tabel242[[#This Row],[Espresso vorige maand]]</f>
        <v>264</v>
      </c>
      <c r="K46" s="25">
        <v>133</v>
      </c>
      <c r="L46">
        <f>Tabel24[[#This Row],[Stand Latte Macchiato einde maand]]</f>
        <v>69</v>
      </c>
      <c r="M46">
        <f>Tabel242[[#This Row],[Stand Latte Macchiato einde maand]]-Tabel242[[#This Row],[Latte Macchiato vorige maand]]</f>
        <v>64</v>
      </c>
      <c r="N46" s="25">
        <v>78</v>
      </c>
      <c r="O46">
        <f>Tabel24[[#This Row],[Stand Coffee Latte einde maand]]</f>
        <v>37</v>
      </c>
      <c r="P46">
        <f>Tabel242[[#This Row],[Stand Coffee Latte einde maand]]-Tabel242[[#This Row],[Coffee Latte vorige maand]]</f>
        <v>41</v>
      </c>
      <c r="Q46" s="25">
        <v>2073</v>
      </c>
      <c r="R46">
        <f>Tabel24[[#This Row],[Stand Hot Water einde maand]]</f>
        <v>1335</v>
      </c>
      <c r="S46">
        <f>Tabel242[[#This Row],[Stand Hot Water einde maand]]-Tabel242[[#This Row],[Hot Water vorige maand]]</f>
        <v>738</v>
      </c>
      <c r="T46" s="25">
        <v>885</v>
      </c>
      <c r="U46">
        <f>Tabel24[[#This Row],[Stand Cappucino einde maand]]</f>
        <v>501</v>
      </c>
      <c r="V46">
        <f>Tabel242[[#This Row],[Stand Cappucino einde maand]]-Tabel242[[#This Row],[Stand Cappucino vorige maand]]</f>
        <v>384</v>
      </c>
      <c r="W46" s="25">
        <v>102</v>
      </c>
      <c r="X46">
        <f>Tabel24[[#This Row],[Stand Cappucino Plantaardig einde maand]]</f>
        <v>75</v>
      </c>
      <c r="Y46">
        <f>Tabel242[[#This Row],[Stand Cappucino Plantaardig einde maand]]-Tabel242[[#This Row],[Stand Cappucino Plantaardig vorige maand]]</f>
        <v>27</v>
      </c>
      <c r="Z46" s="25">
        <v>29</v>
      </c>
      <c r="AA46">
        <f>Tabel24[[#This Row],[Stand Latte Macchiato Plantaardig einde maand]]</f>
        <v>10</v>
      </c>
      <c r="AB46" s="12">
        <f>Tabel242[[#This Row],[Stand Latte Macchiato Plantaardig einde maand]]-Tabel242[[#This Row],[Stand Latte Macchiato Plantaardig vorige maand]]</f>
        <v>19</v>
      </c>
      <c r="AC46" s="3">
        <f>Tabel242[[#This Row],[Verbruik Stand Latte Macchiato Plantaardig deze maand]]+Tabel242[[#This Row],[Verbruik  Cappucino Plantaardig deze maand]]+Tabel242[[#This Row],[Verbruik Cappucino deze maand]]+Tabel242[[#This Row],[Verbruik Hot Water deze maand]]+Tabel242[[#This Row],[Verbruik Coffee Latte deze maand]]+Tabel242[[#This Row],[Verbruik Latte Macchiato deze maand]]+Tabel242[[#This Row],[Verbruik Espresso deze maand]]+Tabel242[[#This Row],[Verbruik Coffee deze maand]]</f>
        <v>1899</v>
      </c>
      <c r="AD46" s="26"/>
      <c r="AE46" s="5"/>
      <c r="AF46" s="5"/>
      <c r="AG46" s="7"/>
      <c r="AH46" s="26"/>
      <c r="AI46" s="5"/>
      <c r="AJ46" s="5"/>
      <c r="AK46" s="7"/>
      <c r="AL46" s="26"/>
      <c r="AM46" s="5"/>
      <c r="AN46" s="5"/>
      <c r="AO46" s="7"/>
      <c r="AP46" s="26"/>
      <c r="AQ46" s="5"/>
      <c r="AR46" s="5"/>
      <c r="AS46" s="7"/>
      <c r="AT46" s="26"/>
      <c r="AU46" s="5"/>
      <c r="AV46" s="5"/>
      <c r="AW46" s="21"/>
      <c r="AX46" s="8">
        <f>Tabel242[[#This Row],[Aantal consumpties heet water deze maand]]+Tabel242[[#This Row],[Aantal consumpties licht bruisend water deze maand]]+Tabel242[[#This Row],[aantal consumpties Bruisend water deze maand]]+Tabel242[[#This Row],[Aantal consumpties gekoeld water deze maand]]+Tabel242[[#This Row],[Aantal consumpties Kamertemp deze maand]]</f>
        <v>0</v>
      </c>
      <c r="AY46" s="4">
        <f>Tabel242[[#This Row],[Subtotaal waterbar in consumpties]]+Tabel242[[#This Row],[Subtotaal koffieautomaten]]</f>
        <v>1899</v>
      </c>
    </row>
    <row r="47" spans="1:51" x14ac:dyDescent="0.25">
      <c r="A47" t="s">
        <v>54</v>
      </c>
      <c r="B47" t="s">
        <v>95</v>
      </c>
      <c r="C47" t="s">
        <v>47</v>
      </c>
      <c r="E47" s="25">
        <v>1666</v>
      </c>
      <c r="F47">
        <f>Tabel24[[#This Row],[Stand Coffee einde maand]]</f>
        <v>1079</v>
      </c>
      <c r="G47" s="12">
        <f>Tabel242[[#This Row],[Stand Coffee einde maand]]-Tabel242[[#This Row],[Coffee vorige maand]]</f>
        <v>587</v>
      </c>
      <c r="H47" s="25">
        <v>467</v>
      </c>
      <c r="I47">
        <f>Tabel24[[#This Row],[Stand Espresso Einde maand]]</f>
        <v>368</v>
      </c>
      <c r="J47" s="12">
        <f>Tabel242[[#This Row],[Stand Espresso Einde maand]]-Tabel242[[#This Row],[Espresso vorige maand]]</f>
        <v>99</v>
      </c>
      <c r="K47" s="25">
        <v>179</v>
      </c>
      <c r="L47">
        <f>Tabel24[[#This Row],[Stand Latte Macchiato einde maand]]</f>
        <v>89</v>
      </c>
      <c r="M47">
        <f>Tabel242[[#This Row],[Stand Latte Macchiato einde maand]]-Tabel242[[#This Row],[Latte Macchiato vorige maand]]</f>
        <v>90</v>
      </c>
      <c r="N47" s="25">
        <v>132</v>
      </c>
      <c r="O47">
        <f>Tabel24[[#This Row],[Stand Coffee Latte einde maand]]</f>
        <v>99</v>
      </c>
      <c r="P47">
        <f>Tabel242[[#This Row],[Stand Coffee Latte einde maand]]-Tabel242[[#This Row],[Coffee Latte vorige maand]]</f>
        <v>33</v>
      </c>
      <c r="Q47" s="25"/>
      <c r="R47">
        <f>Tabel24[[#This Row],[Stand Hot Water einde maand]]</f>
        <v>0</v>
      </c>
      <c r="S47">
        <f>Tabel242[[#This Row],[Stand Hot Water einde maand]]-Tabel242[[#This Row],[Hot Water vorige maand]]</f>
        <v>0</v>
      </c>
      <c r="T47" s="25">
        <v>738</v>
      </c>
      <c r="U47">
        <f>Tabel24[[#This Row],[Stand Cappucino einde maand]]</f>
        <v>494</v>
      </c>
      <c r="V47">
        <f>Tabel242[[#This Row],[Stand Cappucino einde maand]]-Tabel242[[#This Row],[Stand Cappucino vorige maand]]</f>
        <v>244</v>
      </c>
      <c r="W47" s="25">
        <v>277</v>
      </c>
      <c r="X47">
        <f>Tabel24[[#This Row],[Stand Cappucino Plantaardig einde maand]]</f>
        <v>171</v>
      </c>
      <c r="Y47">
        <f>Tabel242[[#This Row],[Stand Cappucino Plantaardig einde maand]]-Tabel242[[#This Row],[Stand Cappucino Plantaardig vorige maand]]</f>
        <v>106</v>
      </c>
      <c r="Z47" s="25">
        <v>170</v>
      </c>
      <c r="AA47">
        <f>Tabel24[[#This Row],[Stand Latte Macchiato Plantaardig einde maand]]</f>
        <v>114</v>
      </c>
      <c r="AB47" s="12">
        <f>Tabel242[[#This Row],[Stand Latte Macchiato Plantaardig einde maand]]-Tabel242[[#This Row],[Stand Latte Macchiato Plantaardig vorige maand]]</f>
        <v>56</v>
      </c>
      <c r="AC47" s="3">
        <f>Tabel242[[#This Row],[Verbruik Stand Latte Macchiato Plantaardig deze maand]]+Tabel242[[#This Row],[Verbruik  Cappucino Plantaardig deze maand]]+Tabel242[[#This Row],[Verbruik Cappucino deze maand]]+Tabel242[[#This Row],[Verbruik Hot Water deze maand]]+Tabel242[[#This Row],[Verbruik Coffee Latte deze maand]]+Tabel242[[#This Row],[Verbruik Latte Macchiato deze maand]]+Tabel242[[#This Row],[Verbruik Espresso deze maand]]+Tabel242[[#This Row],[Verbruik Coffee deze maand]]</f>
        <v>1215</v>
      </c>
      <c r="AD47" s="25">
        <v>40.4</v>
      </c>
      <c r="AE47">
        <f>Tabel24[[#This Row],[Stand Kamertemp liter einde maand]]</f>
        <v>21.3</v>
      </c>
      <c r="AF47">
        <f>Tabel242[[#This Row],[Stand Kamertemp liter einde maand]]-Tabel242[[#This Row],[Stand Kamertemp liter vorige maand]]</f>
        <v>19.099999999999998</v>
      </c>
      <c r="AG47" s="2">
        <f>Tabel242[[#This Row],[Verbruik Kamertemp liter deze maand]]/0.15</f>
        <v>127.33333333333333</v>
      </c>
      <c r="AH47" s="25">
        <v>157.30000000000001</v>
      </c>
      <c r="AI47">
        <f>Tabel24[[#This Row],[Stand Gekoeld liter einde maand]]</f>
        <v>83.6</v>
      </c>
      <c r="AJ47">
        <f>Tabel242[[#This Row],[Stand Gekoeld liter einde maand]]-Tabel242[[#This Row],[Stand Gekoeld liter vorige maand]]</f>
        <v>73.700000000000017</v>
      </c>
      <c r="AK47" s="2">
        <f>Tabel242[[#This Row],[Verbruik Gekoeld liter deze maand]]/0.15</f>
        <v>491.33333333333348</v>
      </c>
      <c r="AL47" s="25">
        <v>191.9</v>
      </c>
      <c r="AM47">
        <f>Tabel24[[#This Row],[Stand Bruisend liter einde maand]]</f>
        <v>148.5</v>
      </c>
      <c r="AN47">
        <f>Tabel242[[#This Row],[Stand Bruisend liter einde maand]]-Tabel242[[#This Row],[Stand Bruisend liter vorige maand]]</f>
        <v>43.400000000000006</v>
      </c>
      <c r="AO47" s="2">
        <f>Tabel242[[#This Row],[Verbruik Bruisend liter deze maand]]/0.15</f>
        <v>289.33333333333337</v>
      </c>
      <c r="AP47" s="25">
        <v>85</v>
      </c>
      <c r="AQ47">
        <f>Tabel24[[#This Row],[Stand licht bruisend liter einde maand]]</f>
        <v>70.7</v>
      </c>
      <c r="AR47">
        <f>Tabel242[[#This Row],[Stand licht bruisend liter einde maand]]-Tabel242[[#This Row],[Stand licht bruisend liter vorige maand]]</f>
        <v>14.299999999999997</v>
      </c>
      <c r="AS47" s="2">
        <f>Tabel242[[#This Row],[Verbruik licht bruisend liter deze maand]]/0.15</f>
        <v>95.333333333333314</v>
      </c>
      <c r="AT47" s="25">
        <v>768.5</v>
      </c>
      <c r="AU47">
        <f>Tabel24[[#This Row],[Stand heet water liter einde maand]]</f>
        <v>488.2</v>
      </c>
      <c r="AV47">
        <f>Tabel242[[#This Row],[Stand heet water liter einde maand]]-Tabel242[[#This Row],[Stand heet water liter vorige maand]]</f>
        <v>280.3</v>
      </c>
      <c r="AW47" s="20">
        <f>Tabel242[[#This Row],[Verbruik heet Water liter deze maand ]]/0.15</f>
        <v>1868.6666666666667</v>
      </c>
      <c r="AX47" s="4">
        <f>Tabel242[[#This Row],[Aantal consumpties heet water deze maand]]+Tabel242[[#This Row],[Aantal consumpties licht bruisend water deze maand]]+Tabel242[[#This Row],[aantal consumpties Bruisend water deze maand]]+Tabel242[[#This Row],[Aantal consumpties gekoeld water deze maand]]+Tabel242[[#This Row],[Aantal consumpties Kamertemp deze maand]]</f>
        <v>2872.0000000000005</v>
      </c>
      <c r="AY47" s="4">
        <f>Tabel242[[#This Row],[Subtotaal waterbar in consumpties]]+Tabel242[[#This Row],[Subtotaal koffieautomaten]]</f>
        <v>4087.0000000000005</v>
      </c>
    </row>
    <row r="48" spans="1:51" x14ac:dyDescent="0.25">
      <c r="A48" t="s">
        <v>56</v>
      </c>
      <c r="B48" t="s">
        <v>96</v>
      </c>
      <c r="C48" t="s">
        <v>36</v>
      </c>
      <c r="E48" s="32"/>
      <c r="F48" s="33"/>
      <c r="G48" s="34"/>
      <c r="H48" s="32"/>
      <c r="I48" s="33"/>
      <c r="J48" s="34"/>
      <c r="K48" s="32"/>
      <c r="L48" s="33"/>
      <c r="M48" s="33"/>
      <c r="N48" s="32"/>
      <c r="O48" s="33"/>
      <c r="P48" s="33"/>
      <c r="Q48" s="32"/>
      <c r="R48" s="33"/>
      <c r="S48" s="33"/>
      <c r="T48" s="32"/>
      <c r="U48" s="33"/>
      <c r="V48" s="33"/>
      <c r="W48" s="32"/>
      <c r="X48" s="33"/>
      <c r="Y48" s="33"/>
      <c r="Z48" s="32"/>
      <c r="AA48" s="33"/>
      <c r="AB48" s="34"/>
      <c r="AC48" s="35"/>
      <c r="AD48" s="25">
        <v>34.1</v>
      </c>
      <c r="AE48">
        <f>Tabel24[[#This Row],[Stand Kamertemp liter einde maand]]</f>
        <v>20.100000000000001</v>
      </c>
      <c r="AF48">
        <f>Tabel242[[#This Row],[Stand Kamertemp liter einde maand]]-Tabel242[[#This Row],[Stand Kamertemp liter vorige maand]]</f>
        <v>14</v>
      </c>
      <c r="AG48" s="2">
        <f>Tabel242[[#This Row],[Verbruik Kamertemp liter deze maand]]/0.15</f>
        <v>93.333333333333343</v>
      </c>
      <c r="AH48" s="25">
        <v>227.5</v>
      </c>
      <c r="AI48">
        <f>Tabel24[[#This Row],[Stand Gekoeld liter einde maand]]</f>
        <v>151.5</v>
      </c>
      <c r="AJ48">
        <f>Tabel242[[#This Row],[Stand Gekoeld liter einde maand]]-Tabel242[[#This Row],[Stand Gekoeld liter vorige maand]]</f>
        <v>76</v>
      </c>
      <c r="AK48" s="2">
        <f>Tabel242[[#This Row],[Verbruik Gekoeld liter deze maand]]/0.15</f>
        <v>506.66666666666669</v>
      </c>
      <c r="AL48" s="25">
        <v>149.30000000000001</v>
      </c>
      <c r="AM48">
        <f>Tabel24[[#This Row],[Stand Bruisend liter einde maand]]</f>
        <v>100.6</v>
      </c>
      <c r="AN48">
        <f>Tabel242[[#This Row],[Stand Bruisend liter einde maand]]-Tabel242[[#This Row],[Stand Bruisend liter vorige maand]]</f>
        <v>48.700000000000017</v>
      </c>
      <c r="AO48" s="2">
        <f>Tabel242[[#This Row],[Verbruik Bruisend liter deze maand]]/0.15</f>
        <v>324.6666666666668</v>
      </c>
      <c r="AP48" s="25">
        <v>133.1</v>
      </c>
      <c r="AQ48">
        <f>Tabel24[[#This Row],[Stand licht bruisend liter einde maand]]</f>
        <v>93</v>
      </c>
      <c r="AR48">
        <f>Tabel242[[#This Row],[Stand licht bruisend liter einde maand]]-Tabel242[[#This Row],[Stand licht bruisend liter vorige maand]]</f>
        <v>40.099999999999994</v>
      </c>
      <c r="AS48" s="2">
        <f>Tabel242[[#This Row],[Verbruik licht bruisend liter deze maand]]/0.15</f>
        <v>267.33333333333331</v>
      </c>
      <c r="AT48" s="25">
        <v>1323</v>
      </c>
      <c r="AU48">
        <f>Tabel24[[#This Row],[Stand heet water liter einde maand]]</f>
        <v>898</v>
      </c>
      <c r="AV48">
        <f>Tabel242[[#This Row],[Stand heet water liter einde maand]]-Tabel242[[#This Row],[Stand heet water liter vorige maand]]</f>
        <v>425</v>
      </c>
      <c r="AW48" s="20">
        <f>Tabel242[[#This Row],[Verbruik heet Water liter deze maand ]]/0.15</f>
        <v>2833.3333333333335</v>
      </c>
      <c r="AX48" s="4">
        <f>Tabel242[[#This Row],[Aantal consumpties heet water deze maand]]+Tabel242[[#This Row],[Aantal consumpties licht bruisend water deze maand]]+Tabel242[[#This Row],[aantal consumpties Bruisend water deze maand]]+Tabel242[[#This Row],[Aantal consumpties gekoeld water deze maand]]+Tabel242[[#This Row],[Aantal consumpties Kamertemp deze maand]]</f>
        <v>4025.3333333333339</v>
      </c>
      <c r="AY48" s="4">
        <f>Tabel242[[#This Row],[Subtotaal waterbar in consumpties]]+Tabel242[[#This Row],[Subtotaal koffieautomaten]]</f>
        <v>4025.3333333333339</v>
      </c>
    </row>
    <row r="49" spans="1:51" x14ac:dyDescent="0.25">
      <c r="A49" t="s">
        <v>58</v>
      </c>
      <c r="B49" t="s">
        <v>97</v>
      </c>
      <c r="C49" t="s">
        <v>31</v>
      </c>
      <c r="E49" s="25">
        <v>1507</v>
      </c>
      <c r="F49">
        <f>Tabel24[[#This Row],[Stand Coffee einde maand]]</f>
        <v>1010</v>
      </c>
      <c r="G49" s="12">
        <f>Tabel242[[#This Row],[Stand Coffee einde maand]]-Tabel242[[#This Row],[Coffee vorige maand]]</f>
        <v>497</v>
      </c>
      <c r="H49" s="25">
        <v>260</v>
      </c>
      <c r="I49">
        <f>Tabel24[[#This Row],[Stand Espresso Einde maand]]</f>
        <v>190</v>
      </c>
      <c r="J49" s="12">
        <f>Tabel242[[#This Row],[Stand Espresso Einde maand]]-Tabel242[[#This Row],[Espresso vorige maand]]</f>
        <v>70</v>
      </c>
      <c r="K49" s="25">
        <v>128</v>
      </c>
      <c r="L49">
        <f>Tabel24[[#This Row],[Stand Latte Macchiato einde maand]]</f>
        <v>80</v>
      </c>
      <c r="M49">
        <f>Tabel242[[#This Row],[Stand Latte Macchiato einde maand]]-Tabel242[[#This Row],[Latte Macchiato vorige maand]]</f>
        <v>48</v>
      </c>
      <c r="N49" s="25">
        <v>156</v>
      </c>
      <c r="O49">
        <f>Tabel24[[#This Row],[Stand Coffee Latte einde maand]]</f>
        <v>108</v>
      </c>
      <c r="P49">
        <f>Tabel242[[#This Row],[Stand Coffee Latte einde maand]]-Tabel242[[#This Row],[Coffee Latte vorige maand]]</f>
        <v>48</v>
      </c>
      <c r="Q49" s="25">
        <v>1541</v>
      </c>
      <c r="R49">
        <f>Tabel24[[#This Row],[Stand Hot Water einde maand]]</f>
        <v>998</v>
      </c>
      <c r="S49">
        <f>Tabel242[[#This Row],[Stand Hot Water einde maand]]-Tabel242[[#This Row],[Hot Water vorige maand]]</f>
        <v>543</v>
      </c>
      <c r="T49" s="25">
        <v>808</v>
      </c>
      <c r="U49">
        <f>Tabel24[[#This Row],[Stand Cappucino einde maand]]</f>
        <v>517</v>
      </c>
      <c r="V49">
        <f>Tabel242[[#This Row],[Stand Cappucino einde maand]]-Tabel242[[#This Row],[Stand Cappucino vorige maand]]</f>
        <v>291</v>
      </c>
      <c r="W49" s="25">
        <v>382</v>
      </c>
      <c r="X49">
        <f>Tabel24[[#This Row],[Stand Cappucino Plantaardig einde maand]]</f>
        <v>291</v>
      </c>
      <c r="Y49">
        <f>Tabel242[[#This Row],[Stand Cappucino Plantaardig einde maand]]-Tabel242[[#This Row],[Stand Cappucino Plantaardig vorige maand]]</f>
        <v>91</v>
      </c>
      <c r="Z49" s="25">
        <v>103</v>
      </c>
      <c r="AA49">
        <f>Tabel24[[#This Row],[Stand Latte Macchiato Plantaardig einde maand]]</f>
        <v>79</v>
      </c>
      <c r="AB49" s="12">
        <f>Tabel242[[#This Row],[Stand Latte Macchiato Plantaardig einde maand]]-Tabel242[[#This Row],[Stand Latte Macchiato Plantaardig vorige maand]]</f>
        <v>24</v>
      </c>
      <c r="AC49" s="3">
        <f>Tabel242[[#This Row],[Verbruik Stand Latte Macchiato Plantaardig deze maand]]+Tabel242[[#This Row],[Verbruik  Cappucino Plantaardig deze maand]]+Tabel242[[#This Row],[Verbruik Cappucino deze maand]]+Tabel242[[#This Row],[Verbruik Hot Water deze maand]]+Tabel242[[#This Row],[Verbruik Coffee Latte deze maand]]+Tabel242[[#This Row],[Verbruik Latte Macchiato deze maand]]+Tabel242[[#This Row],[Verbruik Espresso deze maand]]+Tabel242[[#This Row],[Verbruik Coffee deze maand]]</f>
        <v>1612</v>
      </c>
      <c r="AD49" s="26"/>
      <c r="AE49" s="5"/>
      <c r="AF49" s="5"/>
      <c r="AG49" s="7"/>
      <c r="AH49" s="26"/>
      <c r="AI49" s="5"/>
      <c r="AJ49" s="5"/>
      <c r="AK49" s="7"/>
      <c r="AL49" s="26"/>
      <c r="AM49" s="5"/>
      <c r="AN49" s="5"/>
      <c r="AO49" s="7"/>
      <c r="AP49" s="26"/>
      <c r="AQ49" s="5"/>
      <c r="AR49" s="5"/>
      <c r="AS49" s="7"/>
      <c r="AT49" s="26"/>
      <c r="AU49" s="5"/>
      <c r="AV49" s="5"/>
      <c r="AW49" s="21"/>
      <c r="AX49" s="8">
        <f>Tabel242[[#This Row],[Aantal consumpties heet water deze maand]]+Tabel242[[#This Row],[Aantal consumpties licht bruisend water deze maand]]+Tabel242[[#This Row],[aantal consumpties Bruisend water deze maand]]+Tabel242[[#This Row],[Aantal consumpties gekoeld water deze maand]]+Tabel242[[#This Row],[Aantal consumpties Kamertemp deze maand]]</f>
        <v>0</v>
      </c>
      <c r="AY49" s="4">
        <f>Tabel242[[#This Row],[Subtotaal waterbar in consumpties]]+Tabel242[[#This Row],[Subtotaal koffieautomaten]]</f>
        <v>1612</v>
      </c>
    </row>
    <row r="50" spans="1:51" x14ac:dyDescent="0.25">
      <c r="A50" t="s">
        <v>60</v>
      </c>
      <c r="B50" t="s">
        <v>98</v>
      </c>
      <c r="C50" t="s">
        <v>47</v>
      </c>
      <c r="E50" s="25">
        <v>596</v>
      </c>
      <c r="F50">
        <f>Tabel24[[#This Row],[Stand Coffee einde maand]]</f>
        <v>347</v>
      </c>
      <c r="G50" s="12">
        <f>Tabel242[[#This Row],[Stand Coffee einde maand]]-Tabel242[[#This Row],[Coffee vorige maand]]</f>
        <v>249</v>
      </c>
      <c r="H50" s="25">
        <v>203</v>
      </c>
      <c r="I50">
        <f>Tabel24[[#This Row],[Stand Espresso Einde maand]]</f>
        <v>122</v>
      </c>
      <c r="J50" s="12">
        <f>Tabel242[[#This Row],[Stand Espresso Einde maand]]-Tabel242[[#This Row],[Espresso vorige maand]]</f>
        <v>81</v>
      </c>
      <c r="K50" s="25">
        <v>154</v>
      </c>
      <c r="L50">
        <f>Tabel24[[#This Row],[Stand Latte Macchiato einde maand]]</f>
        <v>44</v>
      </c>
      <c r="M50">
        <f>Tabel242[[#This Row],[Stand Latte Macchiato einde maand]]-Tabel242[[#This Row],[Latte Macchiato vorige maand]]</f>
        <v>110</v>
      </c>
      <c r="N50" s="25">
        <v>66</v>
      </c>
      <c r="O50">
        <f>Tabel24[[#This Row],[Stand Coffee Latte einde maand]]</f>
        <v>42</v>
      </c>
      <c r="P50">
        <f>Tabel242[[#This Row],[Stand Coffee Latte einde maand]]-Tabel242[[#This Row],[Coffee Latte vorige maand]]</f>
        <v>24</v>
      </c>
      <c r="Q50" s="25"/>
      <c r="R50">
        <f>Tabel24[[#This Row],[Stand Hot Water einde maand]]</f>
        <v>1</v>
      </c>
      <c r="S50">
        <f>Tabel242[[#This Row],[Stand Hot Water einde maand]]-Tabel242[[#This Row],[Hot Water vorige maand]]</f>
        <v>-1</v>
      </c>
      <c r="T50" s="25">
        <v>340</v>
      </c>
      <c r="U50">
        <f>Tabel24[[#This Row],[Stand Cappucino einde maand]]</f>
        <v>207</v>
      </c>
      <c r="V50">
        <f>Tabel242[[#This Row],[Stand Cappucino einde maand]]-Tabel242[[#This Row],[Stand Cappucino vorige maand]]</f>
        <v>133</v>
      </c>
      <c r="W50" s="25">
        <v>135</v>
      </c>
      <c r="X50">
        <f>Tabel24[[#This Row],[Stand Cappucino Plantaardig einde maand]]</f>
        <v>77</v>
      </c>
      <c r="Y50">
        <f>Tabel242[[#This Row],[Stand Cappucino Plantaardig einde maand]]-Tabel242[[#This Row],[Stand Cappucino Plantaardig vorige maand]]</f>
        <v>58</v>
      </c>
      <c r="Z50" s="25">
        <v>34</v>
      </c>
      <c r="AA50">
        <f>Tabel24[[#This Row],[Stand Latte Macchiato Plantaardig einde maand]]</f>
        <v>30</v>
      </c>
      <c r="AB50" s="12">
        <f>Tabel242[[#This Row],[Stand Latte Macchiato Plantaardig einde maand]]-Tabel242[[#This Row],[Stand Latte Macchiato Plantaardig vorige maand]]</f>
        <v>4</v>
      </c>
      <c r="AC50" s="3">
        <f>Tabel242[[#This Row],[Verbruik Stand Latte Macchiato Plantaardig deze maand]]+Tabel242[[#This Row],[Verbruik  Cappucino Plantaardig deze maand]]+Tabel242[[#This Row],[Verbruik Cappucino deze maand]]+Tabel242[[#This Row],[Verbruik Hot Water deze maand]]+Tabel242[[#This Row],[Verbruik Coffee Latte deze maand]]+Tabel242[[#This Row],[Verbruik Latte Macchiato deze maand]]+Tabel242[[#This Row],[Verbruik Espresso deze maand]]+Tabel242[[#This Row],[Verbruik Coffee deze maand]]</f>
        <v>658</v>
      </c>
      <c r="AD50" s="25">
        <v>36</v>
      </c>
      <c r="AE50">
        <f>Tabel24[[#This Row],[Stand Kamertemp liter einde maand]]</f>
        <v>21.5</v>
      </c>
      <c r="AF50">
        <f>Tabel242[[#This Row],[Stand Kamertemp liter einde maand]]-Tabel242[[#This Row],[Stand Kamertemp liter vorige maand]]</f>
        <v>14.5</v>
      </c>
      <c r="AG50" s="2">
        <f>Tabel242[[#This Row],[Verbruik Kamertemp liter deze maand]]/0.15</f>
        <v>96.666666666666671</v>
      </c>
      <c r="AH50" s="25">
        <v>146.69999999999999</v>
      </c>
      <c r="AI50">
        <f>Tabel24[[#This Row],[Stand Gekoeld liter einde maand]]</f>
        <v>95.2</v>
      </c>
      <c r="AJ50">
        <f>Tabel242[[#This Row],[Stand Gekoeld liter einde maand]]-Tabel242[[#This Row],[Stand Gekoeld liter vorige maand]]</f>
        <v>51.499999999999986</v>
      </c>
      <c r="AK50" s="2">
        <f>Tabel242[[#This Row],[Verbruik Gekoeld liter deze maand]]/0.15</f>
        <v>343.33333333333326</v>
      </c>
      <c r="AL50" s="25">
        <v>108.8</v>
      </c>
      <c r="AM50">
        <f>Tabel24[[#This Row],[Stand Bruisend liter einde maand]]</f>
        <v>75.7</v>
      </c>
      <c r="AN50">
        <f>Tabel242[[#This Row],[Stand Bruisend liter einde maand]]-Tabel242[[#This Row],[Stand Bruisend liter vorige maand]]</f>
        <v>33.099999999999994</v>
      </c>
      <c r="AO50" s="2">
        <f>Tabel242[[#This Row],[Verbruik Bruisend liter deze maand]]/0.15</f>
        <v>220.66666666666663</v>
      </c>
      <c r="AP50" s="25">
        <v>52.8</v>
      </c>
      <c r="AQ50">
        <f>Tabel24[[#This Row],[Stand licht bruisend liter einde maand]]</f>
        <v>40.9</v>
      </c>
      <c r="AR50">
        <f>Tabel242[[#This Row],[Stand licht bruisend liter einde maand]]-Tabel242[[#This Row],[Stand licht bruisend liter vorige maand]]</f>
        <v>11.899999999999999</v>
      </c>
      <c r="AS50" s="2">
        <f>Tabel242[[#This Row],[Verbruik licht bruisend liter deze maand]]/0.15</f>
        <v>79.333333333333329</v>
      </c>
      <c r="AT50" s="25">
        <v>663.8</v>
      </c>
      <c r="AU50">
        <f>Tabel24[[#This Row],[Stand heet water liter einde maand]]</f>
        <v>413.7</v>
      </c>
      <c r="AV50">
        <f>Tabel242[[#This Row],[Stand heet water liter einde maand]]-Tabel242[[#This Row],[Stand heet water liter vorige maand]]</f>
        <v>250.09999999999997</v>
      </c>
      <c r="AW50" s="20">
        <f>Tabel242[[#This Row],[Verbruik heet Water liter deze maand ]]/0.15</f>
        <v>1667.3333333333333</v>
      </c>
      <c r="AX50" s="4">
        <f>Tabel242[[#This Row],[Aantal consumpties heet water deze maand]]+Tabel242[[#This Row],[Aantal consumpties licht bruisend water deze maand]]+Tabel242[[#This Row],[aantal consumpties Bruisend water deze maand]]+Tabel242[[#This Row],[Aantal consumpties gekoeld water deze maand]]+Tabel242[[#This Row],[Aantal consumpties Kamertemp deze maand]]</f>
        <v>2407.3333333333326</v>
      </c>
      <c r="AY50" s="4">
        <f>Tabel242[[#This Row],[Subtotaal waterbar in consumpties]]+Tabel242[[#This Row],[Subtotaal koffieautomaten]]</f>
        <v>3065.3333333333326</v>
      </c>
    </row>
    <row r="51" spans="1:51" x14ac:dyDescent="0.25">
      <c r="A51" s="3" t="s">
        <v>99</v>
      </c>
      <c r="E51" s="25"/>
      <c r="F51">
        <f>Tabel24[[#This Row],[Stand Coffee einde maand]]</f>
        <v>0</v>
      </c>
      <c r="G51" s="12">
        <f>Tabel242[[#This Row],[Stand Coffee einde maand]]-Tabel242[[#This Row],[Coffee vorige maand]]</f>
        <v>0</v>
      </c>
      <c r="H51" s="25"/>
      <c r="I51">
        <f>Tabel24[[#This Row],[Stand Espresso Einde maand]]</f>
        <v>0</v>
      </c>
      <c r="J51" s="12">
        <f>Tabel242[[#This Row],[Stand Espresso Einde maand]]-Tabel242[[#This Row],[Espresso vorige maand]]</f>
        <v>0</v>
      </c>
      <c r="K51" s="25"/>
      <c r="L51">
        <f>Tabel24[[#This Row],[Stand Latte Macchiato einde maand]]</f>
        <v>0</v>
      </c>
      <c r="M51">
        <f>Tabel242[[#This Row],[Stand Latte Macchiato einde maand]]-Tabel242[[#This Row],[Latte Macchiato vorige maand]]</f>
        <v>0</v>
      </c>
      <c r="N51" s="25"/>
      <c r="O51">
        <f>Tabel24[[#This Row],[Stand Coffee Latte einde maand]]</f>
        <v>0</v>
      </c>
      <c r="P51">
        <f>Tabel242[[#This Row],[Stand Coffee Latte einde maand]]-Tabel242[[#This Row],[Coffee Latte vorige maand]]</f>
        <v>0</v>
      </c>
      <c r="Q51" s="25"/>
      <c r="R51">
        <f>Tabel24[[#This Row],[Stand Hot Water einde maand]]</f>
        <v>0</v>
      </c>
      <c r="S51">
        <f>Tabel242[[#This Row],[Stand Hot Water einde maand]]-Tabel242[[#This Row],[Hot Water vorige maand]]</f>
        <v>0</v>
      </c>
      <c r="T51" s="25"/>
      <c r="U51">
        <f>Tabel24[[#This Row],[Stand Cappucino einde maand]]</f>
        <v>0</v>
      </c>
      <c r="V51">
        <f>Tabel242[[#This Row],[Stand Cappucino einde maand]]-Tabel242[[#This Row],[Stand Cappucino vorige maand]]</f>
        <v>0</v>
      </c>
      <c r="W51" s="25"/>
      <c r="X51">
        <f>Tabel24[[#This Row],[Stand Cappucino Plantaardig einde maand]]</f>
        <v>0</v>
      </c>
      <c r="Y51">
        <f>Tabel242[[#This Row],[Stand Cappucino Plantaardig einde maand]]-Tabel242[[#This Row],[Stand Cappucino Plantaardig vorige maand]]</f>
        <v>0</v>
      </c>
      <c r="Z51" s="25"/>
      <c r="AA51">
        <f>Tabel24[[#This Row],[Stand Latte Macchiato Plantaardig einde maand]]</f>
        <v>0</v>
      </c>
      <c r="AB51" s="12">
        <f>Tabel242[[#This Row],[Stand Latte Macchiato Plantaardig einde maand]]-Tabel242[[#This Row],[Stand Latte Macchiato Plantaardig vorige maand]]</f>
        <v>0</v>
      </c>
      <c r="AC51" s="3">
        <f>Tabel242[[#This Row],[Verbruik Stand Latte Macchiato Plantaardig deze maand]]+Tabel242[[#This Row],[Verbruik  Cappucino Plantaardig deze maand]]+Tabel242[[#This Row],[Verbruik Cappucino deze maand]]+Tabel242[[#This Row],[Verbruik Hot Water deze maand]]+Tabel242[[#This Row],[Verbruik Coffee Latte deze maand]]+Tabel242[[#This Row],[Verbruik Latte Macchiato deze maand]]+Tabel242[[#This Row],[Verbruik Espresso deze maand]]+Tabel242[[#This Row],[Verbruik Coffee deze maand]]</f>
        <v>0</v>
      </c>
      <c r="AD51" s="25"/>
      <c r="AF51">
        <f>Tabel242[[#This Row],[Stand Kamertemp liter einde maand]]-Tabel242[[#This Row],[Stand Kamertemp liter vorige maand]]</f>
        <v>0</v>
      </c>
      <c r="AG51" s="2">
        <f>Tabel242[[#This Row],[Verbruik Kamertemp liter deze maand]]/0.15</f>
        <v>0</v>
      </c>
      <c r="AH51" s="25"/>
      <c r="AI51">
        <f>Tabel24[[#This Row],[Stand Gekoeld liter einde maand]]</f>
        <v>0</v>
      </c>
      <c r="AJ51">
        <f>Tabel242[[#This Row],[Stand Gekoeld liter einde maand]]-Tabel242[[#This Row],[Stand Gekoeld liter vorige maand]]</f>
        <v>0</v>
      </c>
      <c r="AK51" s="2">
        <f>Tabel242[[#This Row],[Verbruik Gekoeld liter deze maand]]/0.15</f>
        <v>0</v>
      </c>
      <c r="AL51" s="25"/>
      <c r="AM51">
        <f>Tabel24[[#This Row],[Stand Bruisend liter einde maand]]</f>
        <v>0</v>
      </c>
      <c r="AN51">
        <f>Tabel242[[#This Row],[Stand Bruisend liter einde maand]]-Tabel242[[#This Row],[Stand Bruisend liter vorige maand]]</f>
        <v>0</v>
      </c>
      <c r="AO51" s="2">
        <f>Tabel242[[#This Row],[Verbruik Bruisend liter deze maand]]/0.15</f>
        <v>0</v>
      </c>
      <c r="AP51" s="25"/>
      <c r="AQ51">
        <f>Tabel24[[#This Row],[Stand licht bruisend liter einde maand]]</f>
        <v>0</v>
      </c>
      <c r="AR51">
        <f>Tabel242[[#This Row],[Stand licht bruisend liter einde maand]]-Tabel242[[#This Row],[Stand licht bruisend liter vorige maand]]</f>
        <v>0</v>
      </c>
      <c r="AS51" s="2">
        <f>Tabel242[[#This Row],[Verbruik licht bruisend liter deze maand]]/0.15</f>
        <v>0</v>
      </c>
      <c r="AT51" s="25"/>
      <c r="AU51">
        <f>Tabel24[[#This Row],[Stand heet water liter einde maand]]</f>
        <v>0</v>
      </c>
      <c r="AV51">
        <f>Tabel242[[#This Row],[Stand heet water liter einde maand]]-Tabel242[[#This Row],[Stand heet water liter vorige maand]]</f>
        <v>0</v>
      </c>
      <c r="AW51" s="20">
        <f>Tabel242[[#This Row],[Verbruik heet Water liter deze maand ]]/0.15</f>
        <v>0</v>
      </c>
      <c r="AX51" s="4"/>
      <c r="AY51" s="4">
        <f>Tabel242[[#This Row],[Subtotaal waterbar in consumpties]]+Tabel242[[#This Row],[Subtotaal koffieautomaten]]</f>
        <v>0</v>
      </c>
    </row>
    <row r="52" spans="1:51" x14ac:dyDescent="0.25">
      <c r="A52" t="s">
        <v>43</v>
      </c>
      <c r="B52" t="s">
        <v>100</v>
      </c>
      <c r="C52" t="s">
        <v>31</v>
      </c>
      <c r="E52" s="25">
        <v>908</v>
      </c>
      <c r="F52">
        <f>Tabel24[[#This Row],[Stand Coffee einde maand]]</f>
        <v>459</v>
      </c>
      <c r="G52" s="12">
        <f>Tabel242[[#This Row],[Stand Coffee einde maand]]-Tabel242[[#This Row],[Coffee vorige maand]]</f>
        <v>449</v>
      </c>
      <c r="H52" s="25">
        <v>296</v>
      </c>
      <c r="I52">
        <f>Tabel24[[#This Row],[Stand Espresso Einde maand]]</f>
        <v>152</v>
      </c>
      <c r="J52" s="12">
        <f>Tabel242[[#This Row],[Stand Espresso Einde maand]]-Tabel242[[#This Row],[Espresso vorige maand]]</f>
        <v>144</v>
      </c>
      <c r="K52" s="25">
        <v>139</v>
      </c>
      <c r="L52">
        <f>Tabel24[[#This Row],[Stand Latte Macchiato einde maand]]</f>
        <v>73</v>
      </c>
      <c r="M52">
        <f>Tabel242[[#This Row],[Stand Latte Macchiato einde maand]]-Tabel242[[#This Row],[Latte Macchiato vorige maand]]</f>
        <v>66</v>
      </c>
      <c r="N52" s="25">
        <v>106</v>
      </c>
      <c r="O52">
        <f>Tabel24[[#This Row],[Stand Coffee Latte einde maand]]</f>
        <v>42</v>
      </c>
      <c r="P52">
        <f>Tabel242[[#This Row],[Stand Coffee Latte einde maand]]-Tabel242[[#This Row],[Coffee Latte vorige maand]]</f>
        <v>64</v>
      </c>
      <c r="Q52" s="25">
        <v>2881</v>
      </c>
      <c r="R52">
        <f>Tabel24[[#This Row],[Stand Hot Water einde maand]]</f>
        <v>1577</v>
      </c>
      <c r="S52">
        <f>Tabel242[[#This Row],[Stand Hot Water einde maand]]-Tabel242[[#This Row],[Hot Water vorige maand]]</f>
        <v>1304</v>
      </c>
      <c r="T52" s="25">
        <v>292</v>
      </c>
      <c r="U52">
        <f>Tabel24[[#This Row],[Stand Cappucino einde maand]]</f>
        <v>145</v>
      </c>
      <c r="V52">
        <f>Tabel242[[#This Row],[Stand Cappucino einde maand]]-Tabel242[[#This Row],[Stand Cappucino vorige maand]]</f>
        <v>147</v>
      </c>
      <c r="W52" s="25">
        <v>70</v>
      </c>
      <c r="X52">
        <f>Tabel24[[#This Row],[Stand Cappucino Plantaardig einde maand]]</f>
        <v>49</v>
      </c>
      <c r="Y52">
        <f>Tabel242[[#This Row],[Stand Cappucino Plantaardig einde maand]]-Tabel242[[#This Row],[Stand Cappucino Plantaardig vorige maand]]</f>
        <v>21</v>
      </c>
      <c r="Z52" s="25">
        <v>52</v>
      </c>
      <c r="AA52">
        <f>Tabel24[[#This Row],[Stand Latte Macchiato Plantaardig einde maand]]</f>
        <v>35</v>
      </c>
      <c r="AB52" s="12">
        <f>Tabel242[[#This Row],[Stand Latte Macchiato Plantaardig einde maand]]-Tabel242[[#This Row],[Stand Latte Macchiato Plantaardig vorige maand]]</f>
        <v>17</v>
      </c>
      <c r="AC52" s="3">
        <f>Tabel242[[#This Row],[Verbruik Stand Latte Macchiato Plantaardig deze maand]]+Tabel242[[#This Row],[Verbruik  Cappucino Plantaardig deze maand]]+Tabel242[[#This Row],[Verbruik Cappucino deze maand]]+Tabel242[[#This Row],[Verbruik Hot Water deze maand]]+Tabel242[[#This Row],[Verbruik Coffee Latte deze maand]]+Tabel242[[#This Row],[Verbruik Latte Macchiato deze maand]]+Tabel242[[#This Row],[Verbruik Espresso deze maand]]+Tabel242[[#This Row],[Verbruik Coffee deze maand]]</f>
        <v>2212</v>
      </c>
      <c r="AD52" s="26"/>
      <c r="AE52" s="5"/>
      <c r="AF52" s="5"/>
      <c r="AG52" s="7"/>
      <c r="AH52" s="26"/>
      <c r="AI52" s="5"/>
      <c r="AJ52" s="5"/>
      <c r="AK52" s="7"/>
      <c r="AL52" s="26"/>
      <c r="AM52" s="5"/>
      <c r="AN52" s="5"/>
      <c r="AO52" s="7"/>
      <c r="AP52" s="26"/>
      <c r="AQ52" s="5"/>
      <c r="AR52" s="5"/>
      <c r="AS52" s="7"/>
      <c r="AT52" s="26"/>
      <c r="AU52" s="5"/>
      <c r="AV52" s="5"/>
      <c r="AW52" s="21"/>
      <c r="AX52" s="8"/>
      <c r="AY52" s="4">
        <f>Tabel242[[#This Row],[Subtotaal waterbar in consumpties]]+Tabel242[[#This Row],[Subtotaal koffieautomaten]]</f>
        <v>2212</v>
      </c>
    </row>
    <row r="53" spans="1:51" x14ac:dyDescent="0.25">
      <c r="A53" t="s">
        <v>45</v>
      </c>
      <c r="B53" t="s">
        <v>101</v>
      </c>
      <c r="C53" t="s">
        <v>47</v>
      </c>
      <c r="E53" s="25">
        <v>1215</v>
      </c>
      <c r="F53">
        <f>Tabel24[[#This Row],[Stand Coffee einde maand]]</f>
        <v>709</v>
      </c>
      <c r="G53" s="12">
        <f>Tabel242[[#This Row],[Stand Coffee einde maand]]-Tabel242[[#This Row],[Coffee vorige maand]]</f>
        <v>506</v>
      </c>
      <c r="H53" s="25">
        <v>389</v>
      </c>
      <c r="I53">
        <f>Tabel24[[#This Row],[Stand Espresso Einde maand]]</f>
        <v>222</v>
      </c>
      <c r="J53" s="12">
        <f>Tabel242[[#This Row],[Stand Espresso Einde maand]]-Tabel242[[#This Row],[Espresso vorige maand]]</f>
        <v>167</v>
      </c>
      <c r="K53" s="25">
        <v>94</v>
      </c>
      <c r="L53">
        <f>Tabel24[[#This Row],[Stand Latte Macchiato einde maand]]</f>
        <v>71</v>
      </c>
      <c r="M53">
        <f>Tabel242[[#This Row],[Stand Latte Macchiato einde maand]]-Tabel242[[#This Row],[Latte Macchiato vorige maand]]</f>
        <v>23</v>
      </c>
      <c r="N53" s="25">
        <v>55</v>
      </c>
      <c r="O53">
        <f>Tabel24[[#This Row],[Stand Coffee Latte einde maand]]</f>
        <v>27</v>
      </c>
      <c r="P53">
        <f>Tabel242[[#This Row],[Stand Coffee Latte einde maand]]-Tabel242[[#This Row],[Coffee Latte vorige maand]]</f>
        <v>28</v>
      </c>
      <c r="Q53" s="25"/>
      <c r="R53">
        <f>Tabel24[[#This Row],[Stand Hot Water einde maand]]</f>
        <v>1</v>
      </c>
      <c r="S53">
        <f>Tabel242[[#This Row],[Stand Hot Water einde maand]]-Tabel242[[#This Row],[Hot Water vorige maand]]</f>
        <v>-1</v>
      </c>
      <c r="T53" s="25">
        <v>464</v>
      </c>
      <c r="U53">
        <f>Tabel24[[#This Row],[Stand Cappucino einde maand]]</f>
        <v>270</v>
      </c>
      <c r="V53">
        <f>Tabel242[[#This Row],[Stand Cappucino einde maand]]-Tabel242[[#This Row],[Stand Cappucino vorige maand]]</f>
        <v>194</v>
      </c>
      <c r="W53" s="25">
        <v>129</v>
      </c>
      <c r="X53">
        <f>Tabel24[[#This Row],[Stand Cappucino Plantaardig einde maand]]</f>
        <v>86</v>
      </c>
      <c r="Y53">
        <f>Tabel242[[#This Row],[Stand Cappucino Plantaardig einde maand]]-Tabel242[[#This Row],[Stand Cappucino Plantaardig vorige maand]]</f>
        <v>43</v>
      </c>
      <c r="Z53" s="25">
        <v>56</v>
      </c>
      <c r="AA53">
        <f>Tabel24[[#This Row],[Stand Latte Macchiato Plantaardig einde maand]]</f>
        <v>35</v>
      </c>
      <c r="AB53" s="12">
        <f>Tabel242[[#This Row],[Stand Latte Macchiato Plantaardig einde maand]]-Tabel242[[#This Row],[Stand Latte Macchiato Plantaardig vorige maand]]</f>
        <v>21</v>
      </c>
      <c r="AC53" s="3">
        <f>Tabel242[[#This Row],[Verbruik Stand Latte Macchiato Plantaardig deze maand]]+Tabel242[[#This Row],[Verbruik  Cappucino Plantaardig deze maand]]+Tabel242[[#This Row],[Verbruik Cappucino deze maand]]+Tabel242[[#This Row],[Verbruik Hot Water deze maand]]+Tabel242[[#This Row],[Verbruik Coffee Latte deze maand]]+Tabel242[[#This Row],[Verbruik Latte Macchiato deze maand]]+Tabel242[[#This Row],[Verbruik Espresso deze maand]]+Tabel242[[#This Row],[Verbruik Coffee deze maand]]</f>
        <v>981</v>
      </c>
      <c r="AD53" s="25">
        <v>54.6</v>
      </c>
      <c r="AE53">
        <f>Tabel24[[#This Row],[Stand Kamertemp liter einde maand]]</f>
        <v>38.5</v>
      </c>
      <c r="AF53">
        <f>Tabel242[[#This Row],[Stand Kamertemp liter einde maand]]-Tabel242[[#This Row],[Stand Kamertemp liter vorige maand]]</f>
        <v>16.100000000000001</v>
      </c>
      <c r="AG53" s="2">
        <f>Tabel242[[#This Row],[Verbruik Kamertemp liter deze maand]]/0.15</f>
        <v>107.33333333333334</v>
      </c>
      <c r="AH53" s="25">
        <v>195.8</v>
      </c>
      <c r="AI53">
        <f>Tabel24[[#This Row],[Stand Gekoeld liter einde maand]]</f>
        <v>124.6</v>
      </c>
      <c r="AJ53">
        <f>Tabel242[[#This Row],[Stand Gekoeld liter einde maand]]-Tabel242[[#This Row],[Stand Gekoeld liter vorige maand]]</f>
        <v>71.200000000000017</v>
      </c>
      <c r="AK53" s="2">
        <f>Tabel242[[#This Row],[Verbruik Gekoeld liter deze maand]]/0.15</f>
        <v>474.6666666666668</v>
      </c>
      <c r="AL53" s="25">
        <v>311.3</v>
      </c>
      <c r="AM53">
        <f>Tabel24[[#This Row],[Stand Bruisend liter einde maand]]</f>
        <v>188.9</v>
      </c>
      <c r="AN53">
        <f>Tabel242[[#This Row],[Stand Bruisend liter einde maand]]-Tabel242[[#This Row],[Stand Bruisend liter vorige maand]]</f>
        <v>122.4</v>
      </c>
      <c r="AO53" s="2">
        <f>Tabel242[[#This Row],[Verbruik Bruisend liter deze maand]]/0.15</f>
        <v>816.00000000000011</v>
      </c>
      <c r="AP53" s="25">
        <v>117.1</v>
      </c>
      <c r="AQ53">
        <f>Tabel24[[#This Row],[Stand licht bruisend liter einde maand]]</f>
        <v>65.099999999999994</v>
      </c>
      <c r="AR53">
        <f>Tabel242[[#This Row],[Stand licht bruisend liter einde maand]]-Tabel242[[#This Row],[Stand licht bruisend liter vorige maand]]</f>
        <v>52</v>
      </c>
      <c r="AS53" s="2">
        <f>Tabel242[[#This Row],[Verbruik licht bruisend liter deze maand]]/0.15</f>
        <v>346.66666666666669</v>
      </c>
      <c r="AT53" s="25">
        <v>927.3</v>
      </c>
      <c r="AU53">
        <f>Tabel24[[#This Row],[Stand heet water liter einde maand]]</f>
        <v>639.79999999999995</v>
      </c>
      <c r="AV53">
        <f>Tabel242[[#This Row],[Stand heet water liter einde maand]]-Tabel242[[#This Row],[Stand heet water liter vorige maand]]</f>
        <v>287.5</v>
      </c>
      <c r="AW53" s="20">
        <f>Tabel242[[#This Row],[Verbruik heet Water liter deze maand ]]/0.15</f>
        <v>1916.6666666666667</v>
      </c>
      <c r="AX53" s="4">
        <f>Tabel242[[#This Row],[Aantal consumpties heet water deze maand]]+Tabel242[[#This Row],[Aantal consumpties licht bruisend water deze maand]]+Tabel242[[#This Row],[aantal consumpties Bruisend water deze maand]]+Tabel242[[#This Row],[Aantal consumpties gekoeld water deze maand]]+Tabel242[[#This Row],[Aantal consumpties Kamertemp deze maand]]</f>
        <v>3661.3333333333339</v>
      </c>
      <c r="AY53" s="4">
        <f>Tabel242[[#This Row],[Subtotaal waterbar in consumpties]]+Tabel242[[#This Row],[Subtotaal koffieautomaten]]</f>
        <v>4642.3333333333339</v>
      </c>
    </row>
    <row r="54" spans="1:51" x14ac:dyDescent="0.25">
      <c r="A54" t="s">
        <v>48</v>
      </c>
      <c r="B54" t="s">
        <v>102</v>
      </c>
      <c r="C54" t="s">
        <v>31</v>
      </c>
      <c r="E54" s="25">
        <v>665</v>
      </c>
      <c r="F54">
        <f>Tabel24[[#This Row],[Stand Coffee einde maand]]</f>
        <v>389</v>
      </c>
      <c r="G54" s="12">
        <f>Tabel242[[#This Row],[Stand Coffee einde maand]]-Tabel242[[#This Row],[Coffee vorige maand]]</f>
        <v>276</v>
      </c>
      <c r="H54" s="25">
        <v>68</v>
      </c>
      <c r="I54">
        <f>Tabel24[[#This Row],[Stand Espresso Einde maand]]</f>
        <v>26</v>
      </c>
      <c r="J54" s="12">
        <f>Tabel242[[#This Row],[Stand Espresso Einde maand]]-Tabel242[[#This Row],[Espresso vorige maand]]</f>
        <v>42</v>
      </c>
      <c r="K54" s="25">
        <v>43</v>
      </c>
      <c r="L54">
        <f>Tabel24[[#This Row],[Stand Latte Macchiato einde maand]]</f>
        <v>25</v>
      </c>
      <c r="M54">
        <f>Tabel242[[#This Row],[Stand Latte Macchiato einde maand]]-Tabel242[[#This Row],[Latte Macchiato vorige maand]]</f>
        <v>18</v>
      </c>
      <c r="N54" s="25">
        <v>43</v>
      </c>
      <c r="O54">
        <f>Tabel24[[#This Row],[Stand Coffee Latte einde maand]]</f>
        <v>25</v>
      </c>
      <c r="P54">
        <f>Tabel242[[#This Row],[Stand Coffee Latte einde maand]]-Tabel242[[#This Row],[Coffee Latte vorige maand]]</f>
        <v>18</v>
      </c>
      <c r="Q54" s="25">
        <v>1750</v>
      </c>
      <c r="R54">
        <f>Tabel24[[#This Row],[Stand Hot Water einde maand]]</f>
        <v>990</v>
      </c>
      <c r="S54">
        <f>Tabel242[[#This Row],[Stand Hot Water einde maand]]-Tabel242[[#This Row],[Hot Water vorige maand]]</f>
        <v>760</v>
      </c>
      <c r="T54" s="25">
        <v>285</v>
      </c>
      <c r="U54">
        <f>Tabel24[[#This Row],[Stand Cappucino einde maand]]</f>
        <v>160</v>
      </c>
      <c r="V54">
        <f>Tabel242[[#This Row],[Stand Cappucino einde maand]]-Tabel242[[#This Row],[Stand Cappucino vorige maand]]</f>
        <v>125</v>
      </c>
      <c r="W54" s="25">
        <v>261</v>
      </c>
      <c r="X54">
        <f>Tabel24[[#This Row],[Stand Cappucino Plantaardig einde maand]]</f>
        <v>165</v>
      </c>
      <c r="Y54">
        <f>Tabel242[[#This Row],[Stand Cappucino Plantaardig einde maand]]-Tabel242[[#This Row],[Stand Cappucino Plantaardig vorige maand]]</f>
        <v>96</v>
      </c>
      <c r="Z54" s="25">
        <v>33</v>
      </c>
      <c r="AA54">
        <f>Tabel24[[#This Row],[Stand Latte Macchiato Plantaardig einde maand]]</f>
        <v>23</v>
      </c>
      <c r="AB54" s="12">
        <f>Tabel242[[#This Row],[Stand Latte Macchiato Plantaardig einde maand]]-Tabel242[[#This Row],[Stand Latte Macchiato Plantaardig vorige maand]]</f>
        <v>10</v>
      </c>
      <c r="AC54" s="3">
        <f>Tabel242[[#This Row],[Verbruik Stand Latte Macchiato Plantaardig deze maand]]+Tabel242[[#This Row],[Verbruik  Cappucino Plantaardig deze maand]]+Tabel242[[#This Row],[Verbruik Cappucino deze maand]]+Tabel242[[#This Row],[Verbruik Hot Water deze maand]]+Tabel242[[#This Row],[Verbruik Coffee Latte deze maand]]+Tabel242[[#This Row],[Verbruik Latte Macchiato deze maand]]+Tabel242[[#This Row],[Verbruik Espresso deze maand]]+Tabel242[[#This Row],[Verbruik Coffee deze maand]]</f>
        <v>1345</v>
      </c>
      <c r="AD54" s="26"/>
      <c r="AE54" s="5"/>
      <c r="AF54" s="5"/>
      <c r="AG54" s="7"/>
      <c r="AH54" s="26"/>
      <c r="AI54" s="5"/>
      <c r="AJ54" s="5"/>
      <c r="AK54" s="7"/>
      <c r="AL54" s="26"/>
      <c r="AM54" s="5"/>
      <c r="AN54" s="5"/>
      <c r="AO54" s="7"/>
      <c r="AP54" s="26"/>
      <c r="AQ54" s="5"/>
      <c r="AR54" s="5"/>
      <c r="AS54" s="7"/>
      <c r="AT54" s="26"/>
      <c r="AU54" s="5"/>
      <c r="AV54" s="5"/>
      <c r="AW54" s="21"/>
      <c r="AX54" s="8"/>
      <c r="AY54" s="4">
        <f>Tabel242[[#This Row],[Subtotaal waterbar in consumpties]]+Tabel242[[#This Row],[Subtotaal koffieautomaten]]</f>
        <v>1345</v>
      </c>
    </row>
    <row r="55" spans="1:51" x14ac:dyDescent="0.25">
      <c r="A55" t="s">
        <v>50</v>
      </c>
      <c r="B55" t="s">
        <v>103</v>
      </c>
      <c r="C55" t="s">
        <v>47</v>
      </c>
      <c r="E55" s="25">
        <v>1247</v>
      </c>
      <c r="F55">
        <f>Tabel24[[#This Row],[Stand Coffee einde maand]]</f>
        <v>822</v>
      </c>
      <c r="G55" s="12">
        <f>Tabel242[[#This Row],[Stand Coffee einde maand]]-Tabel242[[#This Row],[Coffee vorige maand]]</f>
        <v>425</v>
      </c>
      <c r="H55" s="25">
        <v>982</v>
      </c>
      <c r="I55">
        <f>Tabel24[[#This Row],[Stand Espresso Einde maand]]</f>
        <v>722</v>
      </c>
      <c r="J55" s="12">
        <f>Tabel242[[#This Row],[Stand Espresso Einde maand]]-Tabel242[[#This Row],[Espresso vorige maand]]</f>
        <v>260</v>
      </c>
      <c r="K55" s="25">
        <v>75</v>
      </c>
      <c r="L55">
        <f>Tabel24[[#This Row],[Stand Latte Macchiato einde maand]]</f>
        <v>52</v>
      </c>
      <c r="M55">
        <f>Tabel242[[#This Row],[Stand Latte Macchiato einde maand]]-Tabel242[[#This Row],[Latte Macchiato vorige maand]]</f>
        <v>23</v>
      </c>
      <c r="N55" s="25">
        <v>25</v>
      </c>
      <c r="O55">
        <f>Tabel24[[#This Row],[Stand Coffee Latte einde maand]]</f>
        <v>19</v>
      </c>
      <c r="P55">
        <f>Tabel242[[#This Row],[Stand Coffee Latte einde maand]]-Tabel242[[#This Row],[Coffee Latte vorige maand]]</f>
        <v>6</v>
      </c>
      <c r="Q55" s="25"/>
      <c r="R55">
        <f>Tabel24[[#This Row],[Stand Hot Water einde maand]]</f>
        <v>1</v>
      </c>
      <c r="S55">
        <f>Tabel242[[#This Row],[Stand Hot Water einde maand]]-Tabel242[[#This Row],[Hot Water vorige maand]]</f>
        <v>-1</v>
      </c>
      <c r="T55" s="25">
        <v>1363</v>
      </c>
      <c r="U55">
        <f>Tabel24[[#This Row],[Stand Cappucino einde maand]]</f>
        <v>928</v>
      </c>
      <c r="V55">
        <f>Tabel242[[#This Row],[Stand Cappucino einde maand]]-Tabel242[[#This Row],[Stand Cappucino vorige maand]]</f>
        <v>435</v>
      </c>
      <c r="W55" s="25">
        <v>155</v>
      </c>
      <c r="X55">
        <f>Tabel24[[#This Row],[Stand Cappucino Plantaardig einde maand]]</f>
        <v>124</v>
      </c>
      <c r="Y55">
        <f>Tabel242[[#This Row],[Stand Cappucino Plantaardig einde maand]]-Tabel242[[#This Row],[Stand Cappucino Plantaardig vorige maand]]</f>
        <v>31</v>
      </c>
      <c r="Z55" s="25">
        <v>38</v>
      </c>
      <c r="AA55">
        <f>Tabel24[[#This Row],[Stand Latte Macchiato Plantaardig einde maand]]</f>
        <v>24</v>
      </c>
      <c r="AB55" s="12">
        <f>Tabel242[[#This Row],[Stand Latte Macchiato Plantaardig einde maand]]-Tabel242[[#This Row],[Stand Latte Macchiato Plantaardig vorige maand]]</f>
        <v>14</v>
      </c>
      <c r="AC55" s="3">
        <f>Tabel242[[#This Row],[Verbruik Stand Latte Macchiato Plantaardig deze maand]]+Tabel242[[#This Row],[Verbruik  Cappucino Plantaardig deze maand]]+Tabel242[[#This Row],[Verbruik Cappucino deze maand]]+Tabel242[[#This Row],[Verbruik Hot Water deze maand]]+Tabel242[[#This Row],[Verbruik Coffee Latte deze maand]]+Tabel242[[#This Row],[Verbruik Latte Macchiato deze maand]]+Tabel242[[#This Row],[Verbruik Espresso deze maand]]+Tabel242[[#This Row],[Verbruik Coffee deze maand]]</f>
        <v>1193</v>
      </c>
      <c r="AD55" s="25">
        <v>56.3</v>
      </c>
      <c r="AE55">
        <f>Tabel24[[#This Row],[Stand Kamertemp liter einde maand]]</f>
        <v>42.3</v>
      </c>
      <c r="AF55">
        <f>Tabel242[[#This Row],[Stand Kamertemp liter einde maand]]-Tabel242[[#This Row],[Stand Kamertemp liter vorige maand]]</f>
        <v>14</v>
      </c>
      <c r="AG55" s="2">
        <f>Tabel242[[#This Row],[Verbruik Kamertemp liter deze maand]]/0.15</f>
        <v>93.333333333333343</v>
      </c>
      <c r="AH55" s="25">
        <v>112.5</v>
      </c>
      <c r="AI55">
        <f>Tabel24[[#This Row],[Stand Gekoeld liter einde maand]]</f>
        <v>81</v>
      </c>
      <c r="AJ55">
        <f>Tabel242[[#This Row],[Stand Gekoeld liter einde maand]]-Tabel242[[#This Row],[Stand Gekoeld liter vorige maand]]</f>
        <v>31.5</v>
      </c>
      <c r="AK55" s="2">
        <f>Tabel242[[#This Row],[Verbruik Gekoeld liter deze maand]]/0.15</f>
        <v>210</v>
      </c>
      <c r="AL55" s="25">
        <v>265.8</v>
      </c>
      <c r="AM55">
        <f>Tabel24[[#This Row],[Stand Bruisend liter einde maand]]</f>
        <v>185.8</v>
      </c>
      <c r="AN55">
        <f>Tabel242[[#This Row],[Stand Bruisend liter einde maand]]-Tabel242[[#This Row],[Stand Bruisend liter vorige maand]]</f>
        <v>80</v>
      </c>
      <c r="AO55" s="2">
        <f>Tabel242[[#This Row],[Verbruik Bruisend liter deze maand]]/0.15</f>
        <v>533.33333333333337</v>
      </c>
      <c r="AP55" s="25">
        <v>85</v>
      </c>
      <c r="AQ55">
        <f>Tabel24[[#This Row],[Stand licht bruisend liter einde maand]]</f>
        <v>54.9</v>
      </c>
      <c r="AR55">
        <f>Tabel242[[#This Row],[Stand licht bruisend liter einde maand]]-Tabel242[[#This Row],[Stand licht bruisend liter vorige maand]]</f>
        <v>30.1</v>
      </c>
      <c r="AS55" s="2">
        <f>Tabel242[[#This Row],[Verbruik licht bruisend liter deze maand]]/0.15</f>
        <v>200.66666666666669</v>
      </c>
      <c r="AT55" s="25">
        <v>805.7</v>
      </c>
      <c r="AU55">
        <f>Tabel24[[#This Row],[Stand heet water liter einde maand]]</f>
        <v>564.70000000000005</v>
      </c>
      <c r="AV55">
        <f>Tabel242[[#This Row],[Stand heet water liter einde maand]]-Tabel242[[#This Row],[Stand heet water liter vorige maand]]</f>
        <v>241</v>
      </c>
      <c r="AW55" s="20">
        <f>Tabel242[[#This Row],[Verbruik heet Water liter deze maand ]]/0.15</f>
        <v>1606.6666666666667</v>
      </c>
      <c r="AX55" s="4">
        <f>Tabel242[[#This Row],[Aantal consumpties heet water deze maand]]+Tabel242[[#This Row],[Aantal consumpties licht bruisend water deze maand]]+Tabel242[[#This Row],[aantal consumpties Bruisend water deze maand]]+Tabel242[[#This Row],[Aantal consumpties gekoeld water deze maand]]+Tabel242[[#This Row],[Aantal consumpties Kamertemp deze maand]]</f>
        <v>2644.0000000000005</v>
      </c>
      <c r="AY55" s="4">
        <f>Tabel242[[#This Row],[Subtotaal waterbar in consumpties]]+Tabel242[[#This Row],[Subtotaal koffieautomaten]]</f>
        <v>3837.0000000000005</v>
      </c>
    </row>
    <row r="56" spans="1:51" x14ac:dyDescent="0.25">
      <c r="A56" t="s">
        <v>52</v>
      </c>
      <c r="B56" t="s">
        <v>104</v>
      </c>
      <c r="C56" t="s">
        <v>36</v>
      </c>
      <c r="E56" s="32"/>
      <c r="F56" s="33"/>
      <c r="G56" s="34"/>
      <c r="H56" s="32"/>
      <c r="I56" s="33"/>
      <c r="J56" s="34"/>
      <c r="K56" s="32"/>
      <c r="L56" s="33"/>
      <c r="M56" s="33"/>
      <c r="N56" s="32"/>
      <c r="O56" s="33"/>
      <c r="P56" s="33"/>
      <c r="Q56" s="32"/>
      <c r="R56" s="33"/>
      <c r="S56" s="33"/>
      <c r="T56" s="32"/>
      <c r="U56" s="33"/>
      <c r="V56" s="33"/>
      <c r="W56" s="32"/>
      <c r="X56" s="33"/>
      <c r="Y56" s="33"/>
      <c r="Z56" s="32"/>
      <c r="AA56" s="33"/>
      <c r="AB56" s="34"/>
      <c r="AC56" s="35"/>
      <c r="AD56" s="25">
        <v>31.2</v>
      </c>
      <c r="AE56">
        <f>Tabel24[[#This Row],[Stand Kamertemp liter einde maand]]</f>
        <v>22.4</v>
      </c>
      <c r="AF56">
        <f>Tabel242[[#This Row],[Stand Kamertemp liter einde maand]]-Tabel242[[#This Row],[Stand Kamertemp liter vorige maand]]</f>
        <v>8.8000000000000007</v>
      </c>
      <c r="AG56" s="2">
        <f>Tabel242[[#This Row],[Verbruik Kamertemp liter deze maand]]/0.15</f>
        <v>58.666666666666671</v>
      </c>
      <c r="AH56" s="25">
        <v>108.5</v>
      </c>
      <c r="AI56">
        <f>Tabel24[[#This Row],[Stand Gekoeld liter einde maand]]</f>
        <v>75.400000000000006</v>
      </c>
      <c r="AJ56">
        <f>Tabel242[[#This Row],[Stand Gekoeld liter einde maand]]-Tabel242[[#This Row],[Stand Gekoeld liter vorige maand]]</f>
        <v>33.099999999999994</v>
      </c>
      <c r="AK56" s="2">
        <f>Tabel242[[#This Row],[Verbruik Gekoeld liter deze maand]]/0.15</f>
        <v>220.66666666666663</v>
      </c>
      <c r="AL56" s="25">
        <v>168.2</v>
      </c>
      <c r="AM56">
        <f>Tabel24[[#This Row],[Stand Bruisend liter einde maand]]</f>
        <v>97.1</v>
      </c>
      <c r="AN56">
        <f>Tabel242[[#This Row],[Stand Bruisend liter einde maand]]-Tabel242[[#This Row],[Stand Bruisend liter vorige maand]]</f>
        <v>71.099999999999994</v>
      </c>
      <c r="AO56" s="2">
        <f>Tabel242[[#This Row],[Verbruik Bruisend liter deze maand]]/0.15</f>
        <v>474</v>
      </c>
      <c r="AP56" s="25">
        <v>156.1</v>
      </c>
      <c r="AQ56">
        <f>Tabel24[[#This Row],[Stand licht bruisend liter einde maand]]</f>
        <v>90</v>
      </c>
      <c r="AR56">
        <f>Tabel242[[#This Row],[Stand licht bruisend liter einde maand]]-Tabel242[[#This Row],[Stand licht bruisend liter vorige maand]]</f>
        <v>66.099999999999994</v>
      </c>
      <c r="AS56" s="2">
        <f>Tabel242[[#This Row],[Verbruik licht bruisend liter deze maand]]/0.15</f>
        <v>440.66666666666663</v>
      </c>
      <c r="AT56" s="25">
        <v>1221.9000000000001</v>
      </c>
      <c r="AU56">
        <f>Tabel24[[#This Row],[Stand heet water liter einde maand]]</f>
        <v>810.3</v>
      </c>
      <c r="AV56">
        <f>Tabel242[[#This Row],[Stand heet water liter einde maand]]-Tabel242[[#This Row],[Stand heet water liter vorige maand]]</f>
        <v>411.60000000000014</v>
      </c>
      <c r="AW56" s="20">
        <f>Tabel242[[#This Row],[Verbruik heet Water liter deze maand ]]/0.15</f>
        <v>2744.0000000000009</v>
      </c>
      <c r="AX56" s="4">
        <f>Tabel242[[#This Row],[Aantal consumpties heet water deze maand]]+Tabel242[[#This Row],[Aantal consumpties licht bruisend water deze maand]]+Tabel242[[#This Row],[aantal consumpties Bruisend water deze maand]]+Tabel242[[#This Row],[Aantal consumpties gekoeld water deze maand]]+Tabel242[[#This Row],[Aantal consumpties Kamertemp deze maand]]</f>
        <v>3938.0000000000005</v>
      </c>
      <c r="AY56" s="4">
        <f>Tabel242[[#This Row],[Subtotaal waterbar in consumpties]]+Tabel242[[#This Row],[Subtotaal koffieautomaten]]</f>
        <v>3938.0000000000005</v>
      </c>
    </row>
    <row r="57" spans="1:51" x14ac:dyDescent="0.25">
      <c r="A57" t="s">
        <v>54</v>
      </c>
      <c r="B57" t="s">
        <v>105</v>
      </c>
      <c r="C57" t="s">
        <v>31</v>
      </c>
      <c r="E57" s="25">
        <v>1012</v>
      </c>
      <c r="F57">
        <f>Tabel24[[#This Row],[Stand Coffee einde maand]]</f>
        <v>602</v>
      </c>
      <c r="G57" s="12">
        <f>Tabel242[[#This Row],[Stand Coffee einde maand]]-Tabel242[[#This Row],[Coffee vorige maand]]</f>
        <v>410</v>
      </c>
      <c r="H57" s="25">
        <v>484</v>
      </c>
      <c r="I57">
        <f>Tabel24[[#This Row],[Stand Espresso Einde maand]]</f>
        <v>277</v>
      </c>
      <c r="J57" s="12">
        <f>Tabel242[[#This Row],[Stand Espresso Einde maand]]-Tabel242[[#This Row],[Espresso vorige maand]]</f>
        <v>207</v>
      </c>
      <c r="K57" s="25">
        <v>200</v>
      </c>
      <c r="L57">
        <f>Tabel24[[#This Row],[Stand Latte Macchiato einde maand]]</f>
        <v>85</v>
      </c>
      <c r="M57">
        <f>Tabel242[[#This Row],[Stand Latte Macchiato einde maand]]-Tabel242[[#This Row],[Latte Macchiato vorige maand]]</f>
        <v>115</v>
      </c>
      <c r="N57" s="25">
        <v>53</v>
      </c>
      <c r="O57">
        <f>Tabel24[[#This Row],[Stand Coffee Latte einde maand]]</f>
        <v>23</v>
      </c>
      <c r="P57">
        <f>Tabel242[[#This Row],[Stand Coffee Latte einde maand]]-Tabel242[[#This Row],[Coffee Latte vorige maand]]</f>
        <v>30</v>
      </c>
      <c r="Q57" s="25">
        <v>3251</v>
      </c>
      <c r="R57">
        <f>Tabel24[[#This Row],[Stand Hot Water einde maand]]</f>
        <v>1791</v>
      </c>
      <c r="S57">
        <f>Tabel242[[#This Row],[Stand Hot Water einde maand]]-Tabel242[[#This Row],[Hot Water vorige maand]]</f>
        <v>1460</v>
      </c>
      <c r="T57" s="25">
        <v>756</v>
      </c>
      <c r="U57">
        <f>Tabel24[[#This Row],[Stand Cappucino einde maand]]</f>
        <v>413</v>
      </c>
      <c r="V57">
        <f>Tabel242[[#This Row],[Stand Cappucino einde maand]]-Tabel242[[#This Row],[Stand Cappucino vorige maand]]</f>
        <v>343</v>
      </c>
      <c r="W57" s="25">
        <v>156</v>
      </c>
      <c r="X57">
        <f>Tabel24[[#This Row],[Stand Cappucino Plantaardig einde maand]]</f>
        <v>93</v>
      </c>
      <c r="Y57">
        <f>Tabel242[[#This Row],[Stand Cappucino Plantaardig einde maand]]-Tabel242[[#This Row],[Stand Cappucino Plantaardig vorige maand]]</f>
        <v>63</v>
      </c>
      <c r="Z57" s="25">
        <v>21</v>
      </c>
      <c r="AA57">
        <f>Tabel24[[#This Row],[Stand Latte Macchiato Plantaardig einde maand]]</f>
        <v>14</v>
      </c>
      <c r="AB57" s="12">
        <f>Tabel242[[#This Row],[Stand Latte Macchiato Plantaardig einde maand]]-Tabel242[[#This Row],[Stand Latte Macchiato Plantaardig vorige maand]]</f>
        <v>7</v>
      </c>
      <c r="AC57" s="3">
        <f>Tabel242[[#This Row],[Verbruik Stand Latte Macchiato Plantaardig deze maand]]+Tabel242[[#This Row],[Verbruik  Cappucino Plantaardig deze maand]]+Tabel242[[#This Row],[Verbruik Cappucino deze maand]]+Tabel242[[#This Row],[Verbruik Hot Water deze maand]]+Tabel242[[#This Row],[Verbruik Coffee Latte deze maand]]+Tabel242[[#This Row],[Verbruik Latte Macchiato deze maand]]+Tabel242[[#This Row],[Verbruik Espresso deze maand]]+Tabel242[[#This Row],[Verbruik Coffee deze maand]]</f>
        <v>2635</v>
      </c>
      <c r="AD57" s="26"/>
      <c r="AE57" s="5"/>
      <c r="AF57" s="5"/>
      <c r="AG57" s="7"/>
      <c r="AH57" s="26"/>
      <c r="AI57" s="5"/>
      <c r="AJ57" s="5"/>
      <c r="AK57" s="7"/>
      <c r="AL57" s="26"/>
      <c r="AM57" s="5"/>
      <c r="AN57" s="5"/>
      <c r="AO57" s="7"/>
      <c r="AP57" s="26"/>
      <c r="AQ57" s="5"/>
      <c r="AR57" s="5"/>
      <c r="AS57" s="7"/>
      <c r="AT57" s="26"/>
      <c r="AU57" s="5"/>
      <c r="AV57" s="5"/>
      <c r="AW57" s="21"/>
      <c r="AX57" s="8"/>
      <c r="AY57" s="4">
        <f>Tabel242[[#This Row],[Subtotaal waterbar in consumpties]]+Tabel242[[#This Row],[Subtotaal koffieautomaten]]</f>
        <v>2635</v>
      </c>
    </row>
    <row r="58" spans="1:51" x14ac:dyDescent="0.25">
      <c r="A58" t="s">
        <v>56</v>
      </c>
      <c r="B58" t="s">
        <v>106</v>
      </c>
      <c r="C58" t="s">
        <v>47</v>
      </c>
      <c r="E58" s="25">
        <v>1490</v>
      </c>
      <c r="F58">
        <f>Tabel24[[#This Row],[Stand Coffee einde maand]]</f>
        <v>1045</v>
      </c>
      <c r="G58" s="12">
        <f>Tabel242[[#This Row],[Stand Coffee einde maand]]-Tabel242[[#This Row],[Coffee vorige maand]]</f>
        <v>445</v>
      </c>
      <c r="H58" s="25">
        <v>460</v>
      </c>
      <c r="I58">
        <f>Tabel24[[#This Row],[Stand Espresso Einde maand]]</f>
        <v>330</v>
      </c>
      <c r="J58" s="12">
        <f>Tabel242[[#This Row],[Stand Espresso Einde maand]]-Tabel242[[#This Row],[Espresso vorige maand]]</f>
        <v>130</v>
      </c>
      <c r="K58" s="25">
        <v>401</v>
      </c>
      <c r="L58">
        <f>Tabel24[[#This Row],[Stand Latte Macchiato einde maand]]</f>
        <v>241</v>
      </c>
      <c r="M58">
        <f>Tabel242[[#This Row],[Stand Latte Macchiato einde maand]]-Tabel242[[#This Row],[Latte Macchiato vorige maand]]</f>
        <v>160</v>
      </c>
      <c r="N58" s="25">
        <v>38</v>
      </c>
      <c r="O58">
        <f>Tabel24[[#This Row],[Stand Coffee Latte einde maand]]</f>
        <v>27</v>
      </c>
      <c r="P58">
        <f>Tabel242[[#This Row],[Stand Coffee Latte einde maand]]-Tabel242[[#This Row],[Coffee Latte vorige maand]]</f>
        <v>11</v>
      </c>
      <c r="Q58" s="25"/>
      <c r="R58">
        <f>Tabel24[[#This Row],[Stand Hot Water einde maand]]</f>
        <v>1</v>
      </c>
      <c r="S58">
        <f>Tabel242[[#This Row],[Stand Hot Water einde maand]]-Tabel242[[#This Row],[Hot Water vorige maand]]</f>
        <v>-1</v>
      </c>
      <c r="T58" s="25">
        <v>840</v>
      </c>
      <c r="U58">
        <f>Tabel24[[#This Row],[Stand Cappucino einde maand]]</f>
        <v>511</v>
      </c>
      <c r="V58">
        <f>Tabel242[[#This Row],[Stand Cappucino einde maand]]-Tabel242[[#This Row],[Stand Cappucino vorige maand]]</f>
        <v>329</v>
      </c>
      <c r="W58" s="25">
        <v>263</v>
      </c>
      <c r="X58">
        <f>Tabel24[[#This Row],[Stand Cappucino Plantaardig einde maand]]</f>
        <v>189</v>
      </c>
      <c r="Y58">
        <f>Tabel242[[#This Row],[Stand Cappucino Plantaardig einde maand]]-Tabel242[[#This Row],[Stand Cappucino Plantaardig vorige maand]]</f>
        <v>74</v>
      </c>
      <c r="Z58" s="25">
        <v>38</v>
      </c>
      <c r="AA58">
        <f>Tabel24[[#This Row],[Stand Latte Macchiato Plantaardig einde maand]]</f>
        <v>29</v>
      </c>
      <c r="AB58" s="12">
        <f>Tabel242[[#This Row],[Stand Latte Macchiato Plantaardig einde maand]]-Tabel242[[#This Row],[Stand Latte Macchiato Plantaardig vorige maand]]</f>
        <v>9</v>
      </c>
      <c r="AC58" s="3">
        <f>Tabel242[[#This Row],[Verbruik Stand Latte Macchiato Plantaardig deze maand]]+Tabel242[[#This Row],[Verbruik  Cappucino Plantaardig deze maand]]+Tabel242[[#This Row],[Verbruik Cappucino deze maand]]+Tabel242[[#This Row],[Verbruik Hot Water deze maand]]+Tabel242[[#This Row],[Verbruik Coffee Latte deze maand]]+Tabel242[[#This Row],[Verbruik Latte Macchiato deze maand]]+Tabel242[[#This Row],[Verbruik Espresso deze maand]]+Tabel242[[#This Row],[Verbruik Coffee deze maand]]</f>
        <v>1157</v>
      </c>
      <c r="AD58" s="25">
        <v>30.6</v>
      </c>
      <c r="AE58">
        <f>Tabel24[[#This Row],[Stand Kamertemp liter einde maand]]</f>
        <v>24.1</v>
      </c>
      <c r="AF58">
        <f>Tabel242[[#This Row],[Stand Kamertemp liter einde maand]]-Tabel242[[#This Row],[Stand Kamertemp liter vorige maand]]</f>
        <v>6.5</v>
      </c>
      <c r="AG58" s="2">
        <f>Tabel242[[#This Row],[Verbruik Kamertemp liter deze maand]]/0.15</f>
        <v>43.333333333333336</v>
      </c>
      <c r="AH58" s="25">
        <v>216.3</v>
      </c>
      <c r="AI58">
        <f>Tabel24[[#This Row],[Stand Gekoeld liter einde maand]]</f>
        <v>149</v>
      </c>
      <c r="AJ58">
        <f>Tabel242[[#This Row],[Stand Gekoeld liter einde maand]]-Tabel242[[#This Row],[Stand Gekoeld liter vorige maand]]</f>
        <v>67.300000000000011</v>
      </c>
      <c r="AK58" s="2">
        <f>Tabel242[[#This Row],[Verbruik Gekoeld liter deze maand]]/0.15</f>
        <v>448.66666666666674</v>
      </c>
      <c r="AL58" s="25">
        <v>181.3</v>
      </c>
      <c r="AM58">
        <f>Tabel24[[#This Row],[Stand Bruisend liter einde maand]]</f>
        <v>120.1</v>
      </c>
      <c r="AN58">
        <f>Tabel242[[#This Row],[Stand Bruisend liter einde maand]]-Tabel242[[#This Row],[Stand Bruisend liter vorige maand]]</f>
        <v>61.200000000000017</v>
      </c>
      <c r="AO58" s="2">
        <f>Tabel242[[#This Row],[Verbruik Bruisend liter deze maand]]/0.15</f>
        <v>408.00000000000011</v>
      </c>
      <c r="AP58" s="25">
        <v>117.4</v>
      </c>
      <c r="AQ58">
        <f>Tabel24[[#This Row],[Stand licht bruisend liter einde maand]]</f>
        <v>82.6</v>
      </c>
      <c r="AR58">
        <f>Tabel242[[#This Row],[Stand licht bruisend liter einde maand]]-Tabel242[[#This Row],[Stand licht bruisend liter vorige maand]]</f>
        <v>34.800000000000011</v>
      </c>
      <c r="AS58" s="2">
        <f>Tabel242[[#This Row],[Verbruik licht bruisend liter deze maand]]/0.15</f>
        <v>232.00000000000009</v>
      </c>
      <c r="AT58" s="25">
        <v>1137.8</v>
      </c>
      <c r="AU58">
        <f>Tabel24[[#This Row],[Stand heet water liter einde maand]]</f>
        <v>774.7</v>
      </c>
      <c r="AV58">
        <f>Tabel242[[#This Row],[Stand heet water liter einde maand]]-Tabel242[[#This Row],[Stand heet water liter vorige maand]]</f>
        <v>363.09999999999991</v>
      </c>
      <c r="AW58" s="20">
        <f>Tabel242[[#This Row],[Verbruik heet Water liter deze maand ]]/0.15</f>
        <v>2420.6666666666661</v>
      </c>
      <c r="AX58" s="4">
        <f>Tabel242[[#This Row],[Aantal consumpties heet water deze maand]]+Tabel242[[#This Row],[Aantal consumpties licht bruisend water deze maand]]+Tabel242[[#This Row],[aantal consumpties Bruisend water deze maand]]+Tabel242[[#This Row],[Aantal consumpties gekoeld water deze maand]]+Tabel242[[#This Row],[Aantal consumpties Kamertemp deze maand]]</f>
        <v>3552.6666666666665</v>
      </c>
      <c r="AY58" s="4">
        <f>Tabel242[[#This Row],[Subtotaal waterbar in consumpties]]+Tabel242[[#This Row],[Subtotaal koffieautomaten]]</f>
        <v>4709.6666666666661</v>
      </c>
    </row>
    <row r="59" spans="1:51" x14ac:dyDescent="0.25">
      <c r="A59" t="s">
        <v>58</v>
      </c>
      <c r="B59" t="s">
        <v>107</v>
      </c>
      <c r="C59" t="s">
        <v>31</v>
      </c>
      <c r="E59" s="25">
        <v>812</v>
      </c>
      <c r="F59">
        <f>Tabel24[[#This Row],[Stand Coffee einde maand]]</f>
        <v>476</v>
      </c>
      <c r="G59" s="12">
        <f>Tabel242[[#This Row],[Stand Coffee einde maand]]-Tabel242[[#This Row],[Coffee vorige maand]]</f>
        <v>336</v>
      </c>
      <c r="H59" s="25">
        <v>184</v>
      </c>
      <c r="I59">
        <f>Tabel24[[#This Row],[Stand Espresso Einde maand]]</f>
        <v>0</v>
      </c>
      <c r="J59" s="12">
        <f>Tabel242[[#This Row],[Stand Espresso Einde maand]]-Tabel242[[#This Row],[Espresso vorige maand]]</f>
        <v>184</v>
      </c>
      <c r="K59" s="25">
        <v>48</v>
      </c>
      <c r="L59">
        <f>Tabel24[[#This Row],[Stand Latte Macchiato einde maand]]</f>
        <v>130</v>
      </c>
      <c r="M59">
        <f>Tabel242[[#This Row],[Stand Latte Macchiato einde maand]]-Tabel242[[#This Row],[Latte Macchiato vorige maand]]</f>
        <v>-82</v>
      </c>
      <c r="N59" s="25">
        <v>52</v>
      </c>
      <c r="O59">
        <f>Tabel24[[#This Row],[Stand Coffee Latte einde maand]]</f>
        <v>27</v>
      </c>
      <c r="P59">
        <f>Tabel242[[#This Row],[Stand Coffee Latte einde maand]]-Tabel242[[#This Row],[Coffee Latte vorige maand]]</f>
        <v>25</v>
      </c>
      <c r="Q59" s="25">
        <v>2120</v>
      </c>
      <c r="R59">
        <f>Tabel24[[#This Row],[Stand Hot Water einde maand]]</f>
        <v>1305</v>
      </c>
      <c r="S59">
        <f>Tabel242[[#This Row],[Stand Hot Water einde maand]]-Tabel242[[#This Row],[Hot Water vorige maand]]</f>
        <v>815</v>
      </c>
      <c r="T59" s="25">
        <v>342</v>
      </c>
      <c r="U59">
        <f>Tabel24[[#This Row],[Stand Cappucino einde maand]]</f>
        <v>155</v>
      </c>
      <c r="V59">
        <f>Tabel242[[#This Row],[Stand Cappucino einde maand]]-Tabel242[[#This Row],[Stand Cappucino vorige maand]]</f>
        <v>187</v>
      </c>
      <c r="W59" s="25">
        <v>249</v>
      </c>
      <c r="X59">
        <f>Tabel24[[#This Row],[Stand Cappucino Plantaardig einde maand]]</f>
        <v>155</v>
      </c>
      <c r="Y59">
        <f>Tabel242[[#This Row],[Stand Cappucino Plantaardig einde maand]]-Tabel242[[#This Row],[Stand Cappucino Plantaardig vorige maand]]</f>
        <v>94</v>
      </c>
      <c r="Z59" s="25">
        <v>127</v>
      </c>
      <c r="AA59">
        <f>Tabel24[[#This Row],[Stand Latte Macchiato Plantaardig einde maand]]</f>
        <v>74</v>
      </c>
      <c r="AB59" s="12">
        <f>Tabel242[[#This Row],[Stand Latte Macchiato Plantaardig einde maand]]-Tabel242[[#This Row],[Stand Latte Macchiato Plantaardig vorige maand]]</f>
        <v>53</v>
      </c>
      <c r="AC59" s="3">
        <f>Tabel242[[#This Row],[Verbruik Stand Latte Macchiato Plantaardig deze maand]]+Tabel242[[#This Row],[Verbruik  Cappucino Plantaardig deze maand]]+Tabel242[[#This Row],[Verbruik Cappucino deze maand]]+Tabel242[[#This Row],[Verbruik Hot Water deze maand]]+Tabel242[[#This Row],[Verbruik Coffee Latte deze maand]]+Tabel242[[#This Row],[Verbruik Latte Macchiato deze maand]]+Tabel242[[#This Row],[Verbruik Espresso deze maand]]+Tabel242[[#This Row],[Verbruik Coffee deze maand]]</f>
        <v>1612</v>
      </c>
      <c r="AD59" s="26"/>
      <c r="AE59" s="5"/>
      <c r="AF59" s="5"/>
      <c r="AG59" s="7"/>
      <c r="AH59" s="26"/>
      <c r="AI59" s="5"/>
      <c r="AJ59" s="5"/>
      <c r="AK59" s="7"/>
      <c r="AL59" s="26"/>
      <c r="AM59" s="5"/>
      <c r="AN59" s="5"/>
      <c r="AO59" s="7"/>
      <c r="AP59" s="26"/>
      <c r="AQ59" s="5"/>
      <c r="AR59" s="5"/>
      <c r="AS59" s="7"/>
      <c r="AT59" s="26"/>
      <c r="AU59" s="5"/>
      <c r="AV59" s="5"/>
      <c r="AW59" s="21"/>
      <c r="AX59" s="8"/>
      <c r="AY59" s="4">
        <f>Tabel242[[#This Row],[Subtotaal waterbar in consumpties]]+Tabel242[[#This Row],[Subtotaal koffieautomaten]]</f>
        <v>1612</v>
      </c>
    </row>
    <row r="60" spans="1:51" x14ac:dyDescent="0.25">
      <c r="A60" t="s">
        <v>60</v>
      </c>
      <c r="B60" t="s">
        <v>108</v>
      </c>
      <c r="C60" t="s">
        <v>36</v>
      </c>
      <c r="E60" s="32"/>
      <c r="F60" s="33"/>
      <c r="G60" s="34"/>
      <c r="H60" s="32"/>
      <c r="I60" s="33"/>
      <c r="J60" s="34"/>
      <c r="K60" s="32"/>
      <c r="L60" s="33"/>
      <c r="M60" s="33"/>
      <c r="N60" s="32"/>
      <c r="O60" s="33"/>
      <c r="P60" s="33"/>
      <c r="Q60" s="32"/>
      <c r="R60" s="33"/>
      <c r="S60" s="33"/>
      <c r="T60" s="32"/>
      <c r="U60" s="33"/>
      <c r="V60" s="33"/>
      <c r="W60" s="32"/>
      <c r="X60" s="33"/>
      <c r="Y60" s="33"/>
      <c r="Z60" s="32"/>
      <c r="AA60" s="33"/>
      <c r="AB60" s="34"/>
      <c r="AC60" s="35"/>
      <c r="AD60" s="25">
        <v>65.099999999999994</v>
      </c>
      <c r="AE60">
        <f>Tabel24[[#This Row],[Stand Kamertemp liter einde maand]]</f>
        <v>54.5</v>
      </c>
      <c r="AF60">
        <f>Tabel242[[#This Row],[Stand Kamertemp liter einde maand]]-Tabel242[[#This Row],[Stand Kamertemp liter vorige maand]]</f>
        <v>10.599999999999994</v>
      </c>
      <c r="AG60" s="2">
        <f>Tabel242[[#This Row],[Verbruik Kamertemp liter deze maand]]/0.15</f>
        <v>70.666666666666629</v>
      </c>
      <c r="AH60" s="25">
        <v>186.3</v>
      </c>
      <c r="AI60">
        <f>Tabel24[[#This Row],[Stand Gekoeld liter einde maand]]</f>
        <v>142.1</v>
      </c>
      <c r="AJ60">
        <f>Tabel242[[#This Row],[Stand Gekoeld liter einde maand]]-Tabel242[[#This Row],[Stand Gekoeld liter vorige maand]]</f>
        <v>44.200000000000017</v>
      </c>
      <c r="AK60" s="2">
        <f>Tabel242[[#This Row],[Verbruik Gekoeld liter deze maand]]/0.15</f>
        <v>294.6666666666668</v>
      </c>
      <c r="AL60" s="25">
        <v>129.4</v>
      </c>
      <c r="AM60">
        <f>Tabel24[[#This Row],[Stand Bruisend liter einde maand]]</f>
        <v>93.3</v>
      </c>
      <c r="AN60">
        <f>Tabel242[[#This Row],[Stand Bruisend liter einde maand]]-Tabel242[[#This Row],[Stand Bruisend liter vorige maand]]</f>
        <v>36.100000000000009</v>
      </c>
      <c r="AO60" s="2">
        <f>Tabel242[[#This Row],[Verbruik Bruisend liter deze maand]]/0.15</f>
        <v>240.66666666666674</v>
      </c>
      <c r="AP60" s="25">
        <v>105.5</v>
      </c>
      <c r="AQ60">
        <f>Tabel24[[#This Row],[Stand licht bruisend liter einde maand]]</f>
        <v>67.900000000000006</v>
      </c>
      <c r="AR60">
        <f>Tabel242[[#This Row],[Stand licht bruisend liter einde maand]]-Tabel242[[#This Row],[Stand licht bruisend liter vorige maand]]</f>
        <v>37.599999999999994</v>
      </c>
      <c r="AS60" s="2">
        <f>Tabel242[[#This Row],[Verbruik licht bruisend liter deze maand]]/0.15</f>
        <v>250.66666666666663</v>
      </c>
      <c r="AT60" s="25">
        <v>631</v>
      </c>
      <c r="AU60">
        <f>Tabel24[[#This Row],[Stand heet water liter einde maand]]</f>
        <v>482.3</v>
      </c>
      <c r="AV60">
        <f>Tabel242[[#This Row],[Stand heet water liter einde maand]]-Tabel242[[#This Row],[Stand heet water liter vorige maand]]</f>
        <v>148.69999999999999</v>
      </c>
      <c r="AW60" s="20">
        <f>Tabel242[[#This Row],[Verbruik heet Water liter deze maand ]]/0.15</f>
        <v>991.33333333333326</v>
      </c>
      <c r="AX60" s="4">
        <f>Tabel242[[#This Row],[Aantal consumpties heet water deze maand]]+Tabel242[[#This Row],[Aantal consumpties licht bruisend water deze maand]]+Tabel242[[#This Row],[aantal consumpties Bruisend water deze maand]]+Tabel242[[#This Row],[Aantal consumpties gekoeld water deze maand]]+Tabel242[[#This Row],[Aantal consumpties Kamertemp deze maand]]</f>
        <v>1848</v>
      </c>
      <c r="AY60" s="4">
        <f>Tabel242[[#This Row],[Subtotaal waterbar in consumpties]]+Tabel242[[#This Row],[Subtotaal koffieautomaten]]</f>
        <v>1848</v>
      </c>
    </row>
    <row r="61" spans="1:51" x14ac:dyDescent="0.25">
      <c r="A61" s="3" t="s">
        <v>109</v>
      </c>
      <c r="E61" s="25"/>
      <c r="F61">
        <f>Tabel24[[#This Row],[Stand Coffee einde maand]]</f>
        <v>0</v>
      </c>
      <c r="G61" s="12">
        <f>Tabel242[[#This Row],[Stand Coffee einde maand]]-Tabel242[[#This Row],[Coffee vorige maand]]</f>
        <v>0</v>
      </c>
      <c r="H61" s="25"/>
      <c r="I61">
        <f>Tabel24[[#This Row],[Stand Espresso Einde maand]]</f>
        <v>0</v>
      </c>
      <c r="J61" s="12">
        <f>Tabel242[[#This Row],[Stand Espresso Einde maand]]-Tabel242[[#This Row],[Espresso vorige maand]]</f>
        <v>0</v>
      </c>
      <c r="K61" s="25"/>
      <c r="L61">
        <f>Tabel24[[#This Row],[Stand Latte Macchiato einde maand]]</f>
        <v>0</v>
      </c>
      <c r="M61">
        <f>Tabel242[[#This Row],[Stand Latte Macchiato einde maand]]-Tabel242[[#This Row],[Latte Macchiato vorige maand]]</f>
        <v>0</v>
      </c>
      <c r="N61" s="25"/>
      <c r="O61">
        <f>Tabel24[[#This Row],[Stand Coffee Latte einde maand]]</f>
        <v>0</v>
      </c>
      <c r="P61">
        <f>Tabel242[[#This Row],[Stand Coffee Latte einde maand]]-Tabel242[[#This Row],[Coffee Latte vorige maand]]</f>
        <v>0</v>
      </c>
      <c r="Q61" s="25"/>
      <c r="R61">
        <f>Tabel24[[#This Row],[Stand Hot Water einde maand]]</f>
        <v>0</v>
      </c>
      <c r="S61">
        <f>Tabel242[[#This Row],[Stand Hot Water einde maand]]-Tabel242[[#This Row],[Hot Water vorige maand]]</f>
        <v>0</v>
      </c>
      <c r="T61" s="25"/>
      <c r="U61">
        <f>Tabel24[[#This Row],[Stand Cappucino einde maand]]</f>
        <v>0</v>
      </c>
      <c r="V61">
        <f>Tabel242[[#This Row],[Stand Cappucino einde maand]]-Tabel242[[#This Row],[Stand Cappucino vorige maand]]</f>
        <v>0</v>
      </c>
      <c r="W61" s="25"/>
      <c r="X61">
        <f>Tabel24[[#This Row],[Stand Cappucino Plantaardig einde maand]]</f>
        <v>0</v>
      </c>
      <c r="Y61">
        <f>Tabel242[[#This Row],[Stand Cappucino Plantaardig einde maand]]-Tabel242[[#This Row],[Stand Cappucino Plantaardig vorige maand]]</f>
        <v>0</v>
      </c>
      <c r="Z61" s="25"/>
      <c r="AA61">
        <f>Tabel24[[#This Row],[Stand Latte Macchiato Plantaardig einde maand]]</f>
        <v>0</v>
      </c>
      <c r="AB61" s="12">
        <f>Tabel242[[#This Row],[Stand Latte Macchiato Plantaardig einde maand]]-Tabel242[[#This Row],[Stand Latte Macchiato Plantaardig vorige maand]]</f>
        <v>0</v>
      </c>
      <c r="AC61" s="3">
        <f>Tabel242[[#This Row],[Verbruik Stand Latte Macchiato Plantaardig deze maand]]+Tabel242[[#This Row],[Verbruik  Cappucino Plantaardig deze maand]]+Tabel242[[#This Row],[Verbruik Cappucino deze maand]]+Tabel242[[#This Row],[Verbruik Hot Water deze maand]]+Tabel242[[#This Row],[Verbruik Coffee Latte deze maand]]+Tabel242[[#This Row],[Verbruik Latte Macchiato deze maand]]+Tabel242[[#This Row],[Verbruik Espresso deze maand]]+Tabel242[[#This Row],[Verbruik Coffee deze maand]]</f>
        <v>0</v>
      </c>
      <c r="AD61" s="25"/>
      <c r="AG61" s="2">
        <f>Tabel242[[#This Row],[Verbruik Kamertemp liter deze maand]]/0.15</f>
        <v>0</v>
      </c>
      <c r="AH61" s="25"/>
      <c r="AK61" s="2"/>
      <c r="AL61" s="25"/>
      <c r="AO61" s="2"/>
      <c r="AP61" s="25"/>
      <c r="AS61" s="2"/>
      <c r="AT61" s="25"/>
      <c r="AW61" s="20"/>
      <c r="AX61" s="4"/>
      <c r="AY61" s="4">
        <f>Tabel242[[#This Row],[Subtotaal waterbar in consumpties]]+Tabel242[[#This Row],[Subtotaal koffieautomaten]]</f>
        <v>0</v>
      </c>
    </row>
    <row r="62" spans="1:51" x14ac:dyDescent="0.25">
      <c r="A62">
        <v>1</v>
      </c>
      <c r="B62" t="s">
        <v>110</v>
      </c>
      <c r="C62" t="s">
        <v>31</v>
      </c>
      <c r="E62" s="25">
        <v>1831</v>
      </c>
      <c r="F62">
        <f>Tabel24[[#This Row],[Stand Coffee einde maand]]</f>
        <v>1005</v>
      </c>
      <c r="G62" s="12">
        <f>Tabel242[[#This Row],[Stand Coffee einde maand]]-Tabel242[[#This Row],[Coffee vorige maand]]</f>
        <v>826</v>
      </c>
      <c r="H62" s="25">
        <v>121</v>
      </c>
      <c r="I62">
        <f>Tabel24[[#This Row],[Stand Espresso Einde maand]]</f>
        <v>60</v>
      </c>
      <c r="J62" s="12">
        <f>Tabel242[[#This Row],[Stand Espresso Einde maand]]-Tabel242[[#This Row],[Espresso vorige maand]]</f>
        <v>61</v>
      </c>
      <c r="K62" s="25">
        <v>131</v>
      </c>
      <c r="L62">
        <f>Tabel24[[#This Row],[Stand Latte Macchiato einde maand]]</f>
        <v>80</v>
      </c>
      <c r="M62">
        <f>Tabel242[[#This Row],[Stand Latte Macchiato einde maand]]-Tabel242[[#This Row],[Latte Macchiato vorige maand]]</f>
        <v>51</v>
      </c>
      <c r="N62" s="25">
        <v>184</v>
      </c>
      <c r="O62">
        <f>Tabel24[[#This Row],[Stand Coffee Latte einde maand]]</f>
        <v>84</v>
      </c>
      <c r="P62">
        <f>Tabel242[[#This Row],[Stand Coffee Latte einde maand]]-Tabel242[[#This Row],[Coffee Latte vorige maand]]</f>
        <v>100</v>
      </c>
      <c r="Q62" s="25">
        <v>985</v>
      </c>
      <c r="R62">
        <f>Tabel24[[#This Row],[Stand Hot Water einde maand]]</f>
        <v>514</v>
      </c>
      <c r="S62">
        <f>Tabel242[[#This Row],[Stand Hot Water einde maand]]-Tabel242[[#This Row],[Hot Water vorige maand]]</f>
        <v>471</v>
      </c>
      <c r="T62" s="25">
        <v>445</v>
      </c>
      <c r="U62">
        <f>Tabel24[[#This Row],[Stand Cappucino einde maand]]</f>
        <v>262</v>
      </c>
      <c r="V62">
        <f>Tabel242[[#This Row],[Stand Cappucino einde maand]]-Tabel242[[#This Row],[Stand Cappucino vorige maand]]</f>
        <v>183</v>
      </c>
      <c r="W62" s="25">
        <v>13</v>
      </c>
      <c r="X62">
        <f>Tabel24[[#This Row],[Stand Cappucino Plantaardig einde maand]]</f>
        <v>10</v>
      </c>
      <c r="Y62">
        <f>Tabel242[[#This Row],[Stand Cappucino Plantaardig einde maand]]-Tabel242[[#This Row],[Stand Cappucino Plantaardig vorige maand]]</f>
        <v>3</v>
      </c>
      <c r="Z62" s="25">
        <v>64</v>
      </c>
      <c r="AA62">
        <f>Tabel24[[#This Row],[Stand Latte Macchiato Plantaardig einde maand]]</f>
        <v>24</v>
      </c>
      <c r="AB62" s="12">
        <f>Tabel242[[#This Row],[Stand Latte Macchiato Plantaardig einde maand]]-Tabel242[[#This Row],[Stand Latte Macchiato Plantaardig vorige maand]]</f>
        <v>40</v>
      </c>
      <c r="AC62" s="3">
        <f>Tabel242[[#This Row],[Verbruik Stand Latte Macchiato Plantaardig deze maand]]+Tabel242[[#This Row],[Verbruik  Cappucino Plantaardig deze maand]]+Tabel242[[#This Row],[Verbruik Cappucino deze maand]]+Tabel242[[#This Row],[Verbruik Hot Water deze maand]]+Tabel242[[#This Row],[Verbruik Coffee Latte deze maand]]+Tabel242[[#This Row],[Verbruik Latte Macchiato deze maand]]+Tabel242[[#This Row],[Verbruik Espresso deze maand]]+Tabel242[[#This Row],[Verbruik Coffee deze maand]]</f>
        <v>1735</v>
      </c>
      <c r="AD62" s="26"/>
      <c r="AE62" s="5"/>
      <c r="AF62" s="5"/>
      <c r="AG62" s="5"/>
      <c r="AH62" s="26"/>
      <c r="AI62" s="5"/>
      <c r="AJ62" s="5"/>
      <c r="AK62" s="5"/>
      <c r="AL62" s="26"/>
      <c r="AM62" s="5"/>
      <c r="AN62" s="5"/>
      <c r="AO62" s="5"/>
      <c r="AP62" s="26"/>
      <c r="AQ62" s="5"/>
      <c r="AR62" s="5"/>
      <c r="AS62" s="5"/>
      <c r="AT62" s="26"/>
      <c r="AU62" s="5"/>
      <c r="AV62" s="5"/>
      <c r="AW62" s="21"/>
      <c r="AX62" s="8"/>
      <c r="AY62" s="4">
        <f>Tabel242[[#This Row],[Subtotaal waterbar in consumpties]]+Tabel242[[#This Row],[Subtotaal koffieautomaten]]</f>
        <v>1735</v>
      </c>
    </row>
    <row r="63" spans="1:51" x14ac:dyDescent="0.25">
      <c r="A63">
        <v>1</v>
      </c>
      <c r="B63" t="s">
        <v>111</v>
      </c>
      <c r="C63" t="s">
        <v>31</v>
      </c>
      <c r="E63" s="25">
        <v>1075</v>
      </c>
      <c r="F63">
        <f>Tabel24[[#This Row],[Stand Coffee einde maand]]</f>
        <v>608</v>
      </c>
      <c r="G63" s="12">
        <f>Tabel242[[#This Row],[Stand Coffee einde maand]]-Tabel242[[#This Row],[Coffee vorige maand]]</f>
        <v>467</v>
      </c>
      <c r="H63" s="25">
        <v>59</v>
      </c>
      <c r="I63">
        <f>Tabel24[[#This Row],[Stand Espresso Einde maand]]</f>
        <v>34</v>
      </c>
      <c r="J63" s="12">
        <f>Tabel242[[#This Row],[Stand Espresso Einde maand]]-Tabel242[[#This Row],[Espresso vorige maand]]</f>
        <v>25</v>
      </c>
      <c r="K63" s="25">
        <v>350</v>
      </c>
      <c r="L63">
        <f>Tabel24[[#This Row],[Stand Latte Macchiato einde maand]]</f>
        <v>187</v>
      </c>
      <c r="M63">
        <f>Tabel242[[#This Row],[Stand Latte Macchiato einde maand]]-Tabel242[[#This Row],[Latte Macchiato vorige maand]]</f>
        <v>163</v>
      </c>
      <c r="N63" s="25">
        <v>137</v>
      </c>
      <c r="O63">
        <f>Tabel24[[#This Row],[Stand Coffee Latte einde maand]]</f>
        <v>69</v>
      </c>
      <c r="P63">
        <f>Tabel242[[#This Row],[Stand Coffee Latte einde maand]]-Tabel242[[#This Row],[Coffee Latte vorige maand]]</f>
        <v>68</v>
      </c>
      <c r="Q63" s="25">
        <v>867</v>
      </c>
      <c r="R63">
        <f>Tabel24[[#This Row],[Stand Hot Water einde maand]]</f>
        <v>456</v>
      </c>
      <c r="S63">
        <f>Tabel242[[#This Row],[Stand Hot Water einde maand]]-Tabel242[[#This Row],[Hot Water vorige maand]]</f>
        <v>411</v>
      </c>
      <c r="T63" s="25">
        <v>309</v>
      </c>
      <c r="U63">
        <f>Tabel24[[#This Row],[Stand Cappucino einde maand]]</f>
        <v>168</v>
      </c>
      <c r="V63">
        <f>Tabel242[[#This Row],[Stand Cappucino einde maand]]-Tabel242[[#This Row],[Stand Cappucino vorige maand]]</f>
        <v>141</v>
      </c>
      <c r="W63" s="25">
        <v>43</v>
      </c>
      <c r="X63">
        <f>Tabel24[[#This Row],[Stand Cappucino Plantaardig einde maand]]</f>
        <v>31</v>
      </c>
      <c r="Y63">
        <f>Tabel242[[#This Row],[Stand Cappucino Plantaardig einde maand]]-Tabel242[[#This Row],[Stand Cappucino Plantaardig vorige maand]]</f>
        <v>12</v>
      </c>
      <c r="Z63" s="25">
        <v>114</v>
      </c>
      <c r="AA63">
        <f>Tabel24[[#This Row],[Stand Latte Macchiato Plantaardig einde maand]]</f>
        <v>33</v>
      </c>
      <c r="AB63" s="12">
        <f>Tabel242[[#This Row],[Stand Latte Macchiato Plantaardig einde maand]]-Tabel242[[#This Row],[Stand Latte Macchiato Plantaardig vorige maand]]</f>
        <v>81</v>
      </c>
      <c r="AC63" s="3">
        <f>Tabel242[[#This Row],[Verbruik Stand Latte Macchiato Plantaardig deze maand]]+Tabel242[[#This Row],[Verbruik  Cappucino Plantaardig deze maand]]+Tabel242[[#This Row],[Verbruik Cappucino deze maand]]+Tabel242[[#This Row],[Verbruik Hot Water deze maand]]+Tabel242[[#This Row],[Verbruik Coffee Latte deze maand]]+Tabel242[[#This Row],[Verbruik Latte Macchiato deze maand]]+Tabel242[[#This Row],[Verbruik Espresso deze maand]]+Tabel242[[#This Row],[Verbruik Coffee deze maand]]</f>
        <v>1368</v>
      </c>
      <c r="AD63" s="26"/>
      <c r="AE63" s="5"/>
      <c r="AF63" s="5"/>
      <c r="AG63" s="5"/>
      <c r="AH63" s="26"/>
      <c r="AI63" s="5"/>
      <c r="AJ63" s="5"/>
      <c r="AK63" s="5"/>
      <c r="AL63" s="26"/>
      <c r="AM63" s="5"/>
      <c r="AN63" s="5"/>
      <c r="AO63" s="5"/>
      <c r="AP63" s="26"/>
      <c r="AQ63" s="5"/>
      <c r="AR63" s="5"/>
      <c r="AS63" s="5"/>
      <c r="AT63" s="26"/>
      <c r="AU63" s="5"/>
      <c r="AV63" s="5"/>
      <c r="AW63" s="21"/>
      <c r="AX63" s="8"/>
      <c r="AY63" s="4">
        <f>Tabel242[[#This Row],[Subtotaal waterbar in consumpties]]+Tabel242[[#This Row],[Subtotaal koffieautomaten]]</f>
        <v>1368</v>
      </c>
    </row>
    <row r="64" spans="1:51" x14ac:dyDescent="0.25">
      <c r="A64" s="3" t="s">
        <v>112</v>
      </c>
      <c r="E64" s="24">
        <f t="shared" ref="E64:W64" si="0">SUM(E3:E63)</f>
        <v>68828</v>
      </c>
      <c r="F64" s="3">
        <f>Tabel2[[#This Row],[Coffee]]</f>
        <v>23006</v>
      </c>
      <c r="G64" s="17">
        <f>Tabel242[[#This Row],[Stand Coffee einde maand]]-Tabel242[[#This Row],[Coffee vorige maand]]</f>
        <v>45822</v>
      </c>
      <c r="H64" s="24">
        <f t="shared" si="0"/>
        <v>17817</v>
      </c>
      <c r="I64" s="3">
        <f>Tabel2[[#This Row],[Espresso]]</f>
        <v>6549</v>
      </c>
      <c r="J64" s="17">
        <f>Tabel242[[#This Row],[Stand Espresso Einde maand]]-Tabel242[[#This Row],[Espresso vorige maand]]</f>
        <v>11268</v>
      </c>
      <c r="K64" s="24">
        <f t="shared" si="0"/>
        <v>9391</v>
      </c>
      <c r="L64" s="3">
        <f>Tabel2[[#This Row],[Latte Macchiato]]</f>
        <v>3039</v>
      </c>
      <c r="M64" s="3">
        <f>Tabel242[[#This Row],[Stand Latte Macchiato einde maand]]-Tabel242[[#This Row],[Latte Macchiato vorige maand]]</f>
        <v>6352</v>
      </c>
      <c r="N64" s="24">
        <f t="shared" si="0"/>
        <v>4852</v>
      </c>
      <c r="O64" s="3">
        <f>Tabel2[[#This Row],[Coffee Latte]]</f>
        <v>1600</v>
      </c>
      <c r="P64" s="3">
        <f>Tabel242[[#This Row],[Stand Coffee Latte einde maand]]-Tabel242[[#This Row],[Coffee Latte vorige maand]]</f>
        <v>3252</v>
      </c>
      <c r="Q64" s="24">
        <f t="shared" si="0"/>
        <v>78175</v>
      </c>
      <c r="R64" s="3">
        <f>Tabel2[[#This Row],[Hot Water]]</f>
        <v>25847</v>
      </c>
      <c r="S64" s="3">
        <f>Tabel242[[#This Row],[Stand Hot Water einde maand]]-Tabel242[[#This Row],[Hot Water vorige maand]]</f>
        <v>52328</v>
      </c>
      <c r="T64" s="24">
        <f t="shared" si="0"/>
        <v>38705</v>
      </c>
      <c r="U64" s="3">
        <f>Tabel2[[#This Row],[Cappucino]]</f>
        <v>13251</v>
      </c>
      <c r="V64" s="3">
        <f>Tabel242[[#This Row],[Stand Cappucino einde maand]]-Tabel242[[#This Row],[Stand Cappucino vorige maand]]</f>
        <v>25454</v>
      </c>
      <c r="W64" s="24">
        <f t="shared" si="0"/>
        <v>11033</v>
      </c>
      <c r="X64" s="3">
        <f>Tabel2[[#This Row],[Cappucino Plantaardig]]</f>
        <v>3831</v>
      </c>
      <c r="Y64" s="3">
        <f>Tabel242[[#This Row],[Stand Cappucino Plantaardig einde maand]]-Tabel242[[#This Row],[Stand Cappucino Plantaardig vorige maand]]</f>
        <v>7202</v>
      </c>
      <c r="Z64" s="24">
        <f>SUM(Z3:Z63)</f>
        <v>3874</v>
      </c>
      <c r="AA64" s="3">
        <f>Tabel2[[#This Row],[Latte Macchiato Plantaardig]]</f>
        <v>1302</v>
      </c>
      <c r="AB64" s="17">
        <f>Tabel242[[#This Row],[Stand Latte Macchiato Plantaardig einde maand]]-Tabel242[[#This Row],[Stand Latte Macchiato Plantaardig vorige maand]]</f>
        <v>2572</v>
      </c>
      <c r="AC64" s="3">
        <f>SUM(AC3:AC63)</f>
        <v>83638</v>
      </c>
      <c r="AD64" s="24">
        <f>SUM(AD3:AD63)</f>
        <v>1100</v>
      </c>
      <c r="AE64" s="3">
        <f>Tabel2[[#This Row],[kamertemp liter]]</f>
        <v>510.50000000000006</v>
      </c>
      <c r="AF64" s="3">
        <f>Tabel242[[#This Row],[Stand Kamertemp liter einde maand]]-Tabel242[[#This Row],[Stand Kamertemp liter vorige maand]]</f>
        <v>589.5</v>
      </c>
      <c r="AG64" s="4">
        <f>SUM(AG3:AG63)</f>
        <v>2202.6666666666661</v>
      </c>
      <c r="AH64" s="23">
        <f t="shared" ref="AH64:AW64" si="1">SUM(AH3:AH63)</f>
        <v>5804</v>
      </c>
      <c r="AI64" s="4">
        <f>Tabel2[[#This Row],[gekoeld liter]]</f>
        <v>2112.8999999999996</v>
      </c>
      <c r="AJ64" s="4">
        <f>Tabel242[[#This Row],[Stand Gekoeld liter einde maand]]-Tabel242[[#This Row],[Stand Gekoeld liter vorige maand]]</f>
        <v>3691.1000000000004</v>
      </c>
      <c r="AK64" s="4">
        <f t="shared" si="1"/>
        <v>13929.466666666667</v>
      </c>
      <c r="AL64" s="23">
        <f t="shared" si="1"/>
        <v>6035</v>
      </c>
      <c r="AM64" s="4">
        <f>Tabel2[[#This Row],[bruisend liter]]</f>
        <v>2469.8999999999992</v>
      </c>
      <c r="AN64" s="4">
        <f>Tabel242[[#This Row],[Stand Bruisend liter einde maand]]-Tabel242[[#This Row],[Stand Bruisend liter vorige maand]]</f>
        <v>3565.1000000000008</v>
      </c>
      <c r="AO64" s="4">
        <f t="shared" si="1"/>
        <v>13764.666666666666</v>
      </c>
      <c r="AP64" s="23">
        <f t="shared" si="1"/>
        <v>3122</v>
      </c>
      <c r="AQ64" s="4">
        <f>Tabel2[[#This Row],[licht bruisend liter]]</f>
        <v>1370.6</v>
      </c>
      <c r="AR64" s="4">
        <f>Tabel242[[#This Row],[Stand licht bruisend liter einde maand]]-Tabel242[[#This Row],[Stand licht bruisend liter vorige maand]]</f>
        <v>1751.4</v>
      </c>
      <c r="AS64" s="4">
        <f t="shared" si="1"/>
        <v>6668.6666666666679</v>
      </c>
      <c r="AT64" s="23">
        <f t="shared" si="1"/>
        <v>23494.6</v>
      </c>
      <c r="AU64" s="4">
        <f>Tabel2[[#This Row],[heet water liter]]</f>
        <v>10651.1</v>
      </c>
      <c r="AV64" s="4">
        <f>Tabel242[[#This Row],[Stand heet water liter einde maand]]-Tabel242[[#This Row],[Stand heet water liter vorige maand]]</f>
        <v>12843.499999999998</v>
      </c>
      <c r="AW64" s="22">
        <f t="shared" si="1"/>
        <v>54168</v>
      </c>
      <c r="AX64" s="4">
        <f>SUM(AX3:AX63)</f>
        <v>88867.466666666674</v>
      </c>
      <c r="AY64" s="4">
        <f>Tabel242[[#This Row],[Subtotaal waterbar in consumpties]]+Tabel242[[#This Row],[Subtotaal koffieautomaten]]</f>
        <v>172505.46666666667</v>
      </c>
    </row>
    <row r="65" spans="8:52" x14ac:dyDescent="0.25">
      <c r="H65" s="13"/>
      <c r="I65" s="14"/>
      <c r="J65" s="15"/>
      <c r="K65" s="13"/>
      <c r="L65" s="14"/>
      <c r="M65" s="14"/>
      <c r="AQ65">
        <f>Tabel2[[#This Row],[licht bruisend liter]]</f>
        <v>0</v>
      </c>
      <c r="AR65">
        <f>Tabel242[[#This Row],[Stand licht bruisend liter einde maand]]-Tabel242[[#This Row],[Stand licht bruisend liter vorige maand]]</f>
        <v>0</v>
      </c>
      <c r="AU65">
        <f>Tabel2[[#This Row],[heet water liter]]</f>
        <v>0</v>
      </c>
      <c r="AV65">
        <f>Tabel242[[#This Row],[Stand heet water liter einde maand]]-Tabel242[[#This Row],[Stand heet water liter vorige maand]]</f>
        <v>0</v>
      </c>
      <c r="AX65" s="3"/>
      <c r="AY65" s="3"/>
    </row>
    <row r="66" spans="8:52" x14ac:dyDescent="0.25">
      <c r="AZ66" s="2">
        <f>AY64-AG64-AK64</f>
        <v>156373.33333333334</v>
      </c>
    </row>
    <row r="67" spans="8:52" x14ac:dyDescent="0.25">
      <c r="AY67" s="2"/>
    </row>
    <row r="68" spans="8:52" x14ac:dyDescent="0.25">
      <c r="AY68" s="2"/>
    </row>
  </sheetData>
  <mergeCells count="3">
    <mergeCell ref="A1:D1"/>
    <mergeCell ref="E1:AC1"/>
    <mergeCell ref="AD1:AY1"/>
  </mergeCells>
  <pageMargins left="0.7" right="0.7" top="0.75" bottom="0.75" header="0.3" footer="0.3"/>
  <legacy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FBCD7-37CE-461A-8452-2FEDAD008BD0}">
  <dimension ref="A1:BA68"/>
  <sheetViews>
    <sheetView zoomScale="70" zoomScaleNormal="70" workbookViewId="0">
      <pane xSplit="3" topLeftCell="N1" activePane="topRight" state="frozen"/>
      <selection activeCell="G19" sqref="G19"/>
      <selection pane="topRight" activeCell="G19" sqref="G19"/>
    </sheetView>
  </sheetViews>
  <sheetFormatPr defaultRowHeight="15" x14ac:dyDescent="0.25"/>
  <cols>
    <col min="1" max="1" width="32.140625" bestFit="1" customWidth="1"/>
    <col min="2" max="2" width="21.42578125" bestFit="1" customWidth="1"/>
    <col min="3" max="3" width="25.42578125" bestFit="1" customWidth="1"/>
    <col min="4" max="4" width="18.5703125" customWidth="1"/>
    <col min="5" max="5" width="10.140625" style="11" customWidth="1"/>
    <col min="6" max="6" width="10.42578125" customWidth="1"/>
    <col min="7" max="7" width="10.5703125" style="12" customWidth="1"/>
    <col min="8" max="8" width="11.85546875" customWidth="1"/>
    <col min="9" max="9" width="11.7109375" customWidth="1"/>
    <col min="10" max="10" width="12.42578125" customWidth="1"/>
    <col min="11" max="11" width="17.140625" customWidth="1"/>
    <col min="12" max="12" width="13.5703125" customWidth="1"/>
    <col min="13" max="13" width="13.42578125" bestFit="1" customWidth="1"/>
    <col min="14" max="14" width="14" style="11" customWidth="1"/>
    <col min="15" max="16" width="14" customWidth="1"/>
    <col min="17" max="17" width="14.140625" style="11" customWidth="1"/>
    <col min="18" max="19" width="12.28515625" customWidth="1"/>
    <col min="20" max="20" width="12.42578125" style="11" customWidth="1"/>
    <col min="21" max="22" width="12.42578125" customWidth="1"/>
    <col min="23" max="23" width="17" style="11" customWidth="1"/>
    <col min="24" max="25" width="17" customWidth="1"/>
    <col min="26" max="26" width="20.7109375" style="11" customWidth="1"/>
    <col min="27" max="27" width="20.7109375" customWidth="1"/>
    <col min="28" max="28" width="20.7109375" style="12" customWidth="1"/>
    <col min="29" max="29" width="13.85546875" customWidth="1"/>
    <col min="30" max="30" width="17.5703125" style="11" customWidth="1"/>
    <col min="31" max="32" width="17.5703125" customWidth="1"/>
    <col min="33" max="33" width="20.28515625" customWidth="1"/>
    <col min="34" max="34" width="14.42578125" style="11" customWidth="1"/>
    <col min="35" max="36" width="14.42578125" customWidth="1"/>
    <col min="37" max="37" width="21.28515625" customWidth="1"/>
    <col min="38" max="38" width="15.140625" style="11" customWidth="1"/>
    <col min="39" max="40" width="15.140625" customWidth="1"/>
    <col min="41" max="41" width="21.28515625" customWidth="1"/>
    <col min="42" max="42" width="19.42578125" style="11" customWidth="1"/>
    <col min="43" max="44" width="19.42578125" customWidth="1"/>
    <col min="45" max="45" width="21.28515625" customWidth="1"/>
    <col min="46" max="46" width="17" style="11" customWidth="1"/>
    <col min="47" max="48" width="17" customWidth="1"/>
    <col min="49" max="49" width="21.28515625" style="12" customWidth="1"/>
    <col min="50" max="50" width="20" customWidth="1"/>
    <col min="51" max="51" width="14.140625" customWidth="1"/>
  </cols>
  <sheetData>
    <row r="1" spans="1:51" x14ac:dyDescent="0.25">
      <c r="A1" s="172" t="s">
        <v>0</v>
      </c>
      <c r="B1" s="172"/>
      <c r="C1" s="172"/>
      <c r="D1" s="172"/>
      <c r="E1" s="172" t="s">
        <v>1</v>
      </c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 t="s">
        <v>2</v>
      </c>
      <c r="AE1" s="172"/>
      <c r="AF1" s="172"/>
      <c r="AG1" s="172"/>
      <c r="AH1" s="172"/>
      <c r="AI1" s="172"/>
      <c r="AJ1" s="172"/>
      <c r="AK1" s="172"/>
      <c r="AL1" s="172"/>
      <c r="AM1" s="172"/>
      <c r="AN1" s="172"/>
      <c r="AO1" s="172"/>
      <c r="AP1" s="172"/>
      <c r="AQ1" s="172"/>
      <c r="AR1" s="172"/>
      <c r="AS1" s="172"/>
      <c r="AT1" s="172"/>
      <c r="AU1" s="172"/>
      <c r="AV1" s="172"/>
      <c r="AW1" s="172"/>
      <c r="AX1" s="172"/>
      <c r="AY1" s="172"/>
    </row>
    <row r="2" spans="1:51" ht="60" x14ac:dyDescent="0.25">
      <c r="A2" t="s">
        <v>3</v>
      </c>
      <c r="B2" t="s">
        <v>4</v>
      </c>
      <c r="C2" t="s">
        <v>5</v>
      </c>
      <c r="D2" t="s">
        <v>6</v>
      </c>
      <c r="E2" s="9" t="s">
        <v>113</v>
      </c>
      <c r="F2" s="1" t="s">
        <v>114</v>
      </c>
      <c r="G2" s="10" t="s">
        <v>115</v>
      </c>
      <c r="H2" s="1" t="s">
        <v>116</v>
      </c>
      <c r="I2" s="1" t="s">
        <v>117</v>
      </c>
      <c r="J2" s="1" t="s">
        <v>118</v>
      </c>
      <c r="K2" s="1" t="s">
        <v>119</v>
      </c>
      <c r="L2" s="1" t="s">
        <v>120</v>
      </c>
      <c r="M2" s="1" t="s">
        <v>121</v>
      </c>
      <c r="N2" s="9" t="s">
        <v>122</v>
      </c>
      <c r="O2" s="1" t="s">
        <v>123</v>
      </c>
      <c r="P2" s="1" t="s">
        <v>124</v>
      </c>
      <c r="Q2" s="9" t="s">
        <v>125</v>
      </c>
      <c r="R2" s="1" t="s">
        <v>126</v>
      </c>
      <c r="S2" s="1" t="s">
        <v>127</v>
      </c>
      <c r="T2" s="9" t="s">
        <v>128</v>
      </c>
      <c r="U2" s="1" t="s">
        <v>129</v>
      </c>
      <c r="V2" s="1" t="s">
        <v>130</v>
      </c>
      <c r="W2" s="9" t="s">
        <v>131</v>
      </c>
      <c r="X2" s="1" t="s">
        <v>132</v>
      </c>
      <c r="Y2" s="1" t="s">
        <v>133</v>
      </c>
      <c r="Z2" s="9" t="s">
        <v>134</v>
      </c>
      <c r="AA2" s="1" t="s">
        <v>135</v>
      </c>
      <c r="AB2" s="10" t="s">
        <v>136</v>
      </c>
      <c r="AC2" s="1" t="s">
        <v>15</v>
      </c>
      <c r="AD2" s="9" t="s">
        <v>137</v>
      </c>
      <c r="AE2" s="1" t="s">
        <v>138</v>
      </c>
      <c r="AF2" s="1" t="s">
        <v>139</v>
      </c>
      <c r="AG2" s="1" t="s">
        <v>140</v>
      </c>
      <c r="AH2" s="9" t="s">
        <v>141</v>
      </c>
      <c r="AI2" s="1" t="s">
        <v>142</v>
      </c>
      <c r="AJ2" s="1" t="s">
        <v>143</v>
      </c>
      <c r="AK2" s="1" t="s">
        <v>144</v>
      </c>
      <c r="AL2" s="9" t="s">
        <v>145</v>
      </c>
      <c r="AM2" s="1" t="s">
        <v>146</v>
      </c>
      <c r="AN2" s="1" t="s">
        <v>147</v>
      </c>
      <c r="AO2" s="1" t="s">
        <v>148</v>
      </c>
      <c r="AP2" s="9" t="s">
        <v>149</v>
      </c>
      <c r="AQ2" s="1" t="s">
        <v>150</v>
      </c>
      <c r="AR2" s="1" t="s">
        <v>151</v>
      </c>
      <c r="AS2" s="1" t="s">
        <v>152</v>
      </c>
      <c r="AT2" s="9" t="s">
        <v>153</v>
      </c>
      <c r="AU2" s="1" t="s">
        <v>154</v>
      </c>
      <c r="AV2" s="1" t="s">
        <v>155</v>
      </c>
      <c r="AW2" s="10" t="s">
        <v>156</v>
      </c>
      <c r="AX2" s="1" t="s">
        <v>157</v>
      </c>
      <c r="AY2" t="s">
        <v>27</v>
      </c>
    </row>
    <row r="3" spans="1:51" x14ac:dyDescent="0.25">
      <c r="A3" s="3" t="s">
        <v>28</v>
      </c>
      <c r="E3" s="25"/>
      <c r="H3" s="27"/>
      <c r="I3" s="18"/>
      <c r="J3" s="19"/>
      <c r="K3" s="27"/>
      <c r="L3" s="18"/>
      <c r="M3" s="18"/>
      <c r="N3" s="25"/>
      <c r="Q3" s="25"/>
      <c r="T3" s="25"/>
      <c r="W3" s="25"/>
      <c r="Z3" s="25"/>
      <c r="AC3" s="3"/>
      <c r="AG3" s="2"/>
      <c r="AH3" s="25"/>
      <c r="AK3" s="2"/>
      <c r="AL3" s="25"/>
      <c r="AO3" s="2"/>
      <c r="AP3" s="25"/>
      <c r="AS3" s="2"/>
      <c r="AT3" s="25"/>
      <c r="AW3" s="20"/>
      <c r="AX3" s="4"/>
      <c r="AY3" s="4">
        <f>Tabel2425[[#This Row],[Subtotaal waterbar in consumpties]]+Tabel2425[[#This Row],[Subtotaal koffieautomaten]]</f>
        <v>0</v>
      </c>
    </row>
    <row r="4" spans="1:51" x14ac:dyDescent="0.25">
      <c r="A4" t="s">
        <v>29</v>
      </c>
      <c r="B4" t="s">
        <v>30</v>
      </c>
      <c r="C4" t="s">
        <v>31</v>
      </c>
      <c r="E4" s="25">
        <v>753</v>
      </c>
      <c r="F4">
        <f>Tabel242[[#This Row],[Stand Coffee einde maand]]</f>
        <v>513</v>
      </c>
      <c r="G4" s="12">
        <f>Tabel2425[[#This Row],[Stand Coffee einde maand]]-Tabel2425[[#This Row],[Coffee vorige maand]]</f>
        <v>240</v>
      </c>
      <c r="H4" s="25">
        <v>222</v>
      </c>
      <c r="I4">
        <f>Tabel242[[#This Row],[Stand Espresso Einde maand]]</f>
        <v>171</v>
      </c>
      <c r="J4" s="12">
        <f>Tabel2425[[#This Row],[Stand Espresso Einde maand]]-Tabel2425[[#This Row],[Espresso vorige maand]]</f>
        <v>51</v>
      </c>
      <c r="K4" s="25">
        <v>272</v>
      </c>
      <c r="L4">
        <f>Tabel242[[#This Row],[Stand Latte Macchiato einde maand]]</f>
        <v>236</v>
      </c>
      <c r="M4">
        <f>Tabel2425[[#This Row],[Stand Latte Macchiato einde maand]]-Tabel2425[[#This Row],[Latte Macchiato vorige maand]]</f>
        <v>36</v>
      </c>
      <c r="N4" s="25">
        <v>357</v>
      </c>
      <c r="O4">
        <f>Tabel242[[#This Row],[Stand Coffee Latte einde maand]]</f>
        <v>269</v>
      </c>
      <c r="P4">
        <f>Tabel2425[[#This Row],[Stand Coffee Latte einde maand]]-Tabel2425[[#This Row],[Coffee Latte vorige maand]]</f>
        <v>88</v>
      </c>
      <c r="Q4" s="25">
        <v>1088</v>
      </c>
      <c r="R4">
        <f>Tabel242[[#This Row],[Stand Hot Water einde maand]]</f>
        <v>822</v>
      </c>
      <c r="S4">
        <f>Tabel2425[[#This Row],[Stand Hot Water einde maand]]-Tabel2425[[#This Row],[Hot Water vorige maand]]</f>
        <v>266</v>
      </c>
      <c r="T4" s="25">
        <v>1071</v>
      </c>
      <c r="U4">
        <f>Tabel242[[#This Row],[Stand Cappucino einde maand]]</f>
        <v>829</v>
      </c>
      <c r="V4">
        <f>Tabel2425[[#This Row],[Stand Cappucino einde maand]]-Tabel2425[[#This Row],[Stand Cappucino vorige maand]]</f>
        <v>242</v>
      </c>
      <c r="W4" s="25">
        <v>42</v>
      </c>
      <c r="X4">
        <f>Tabel242[[#This Row],[Stand Cappucino Plantaardig einde maand]]</f>
        <v>39</v>
      </c>
      <c r="Y4">
        <f>Tabel2425[[#This Row],[Stand Cappucino Plantaardig einde maand]]-Tabel2425[[#This Row],[Stand Cappucino Plantaardig vorige maand]]</f>
        <v>3</v>
      </c>
      <c r="Z4" s="25">
        <v>25</v>
      </c>
      <c r="AA4">
        <f>Tabel242[[#This Row],[Stand Latte Macchiato Plantaardig einde maand]]</f>
        <v>16</v>
      </c>
      <c r="AB4" s="12">
        <f>Tabel2425[[#This Row],[Stand Latte Macchiato Plantaardig einde maand]]-Tabel2425[[#This Row],[Stand Latte Macchiato Plantaardig vorige maand]]</f>
        <v>9</v>
      </c>
      <c r="AC4" s="3">
        <f>Tabel2425[[#This Row],[Verbruik Stand Latte Macchiato Plantaardig deze maand]]+Tabel2425[[#This Row],[Verbruik  Cappucino Plantaardig deze maand]]+Tabel2425[[#This Row],[Verbruik Cappucino deze maand]]+Tabel2425[[#This Row],[Verbruik Hot Water deze maand]]+Tabel2425[[#This Row],[Verbruik Coffee Latte deze maand]]+Tabel2425[[#This Row],[Verbruik Latte Macchiato deze maand]]+Tabel2425[[#This Row],[Verbruik Espresso deze maand]]+Tabel2425[[#This Row],[Verbruik Coffee deze maand]]</f>
        <v>935</v>
      </c>
      <c r="AD4" s="26"/>
      <c r="AE4" s="5"/>
      <c r="AF4" s="5"/>
      <c r="AG4" s="5"/>
      <c r="AH4" s="26"/>
      <c r="AI4" s="5"/>
      <c r="AJ4" s="5"/>
      <c r="AK4" s="5"/>
      <c r="AL4" s="26"/>
      <c r="AM4" s="5"/>
      <c r="AN4" s="5"/>
      <c r="AO4" s="5"/>
      <c r="AP4" s="26"/>
      <c r="AQ4" s="5"/>
      <c r="AR4" s="5"/>
      <c r="AS4" s="5"/>
      <c r="AT4" s="26"/>
      <c r="AU4" s="5"/>
      <c r="AV4" s="5"/>
      <c r="AW4" s="21"/>
      <c r="AX4" s="8"/>
      <c r="AY4" s="4">
        <f>Tabel2425[[#This Row],[Subtotaal waterbar in consumpties]]+Tabel2425[[#This Row],[Subtotaal koffieautomaten]]</f>
        <v>935</v>
      </c>
    </row>
    <row r="5" spans="1:51" x14ac:dyDescent="0.25">
      <c r="A5" t="s">
        <v>32</v>
      </c>
      <c r="B5" t="s">
        <v>33</v>
      </c>
      <c r="C5" t="s">
        <v>31</v>
      </c>
      <c r="E5" s="25">
        <v>1885</v>
      </c>
      <c r="F5">
        <f>Tabel242[[#This Row],[Stand Coffee einde maand]]</f>
        <v>1551</v>
      </c>
      <c r="G5" s="12">
        <f>Tabel2425[[#This Row],[Stand Coffee einde maand]]-Tabel2425[[#This Row],[Coffee vorige maand]]</f>
        <v>334</v>
      </c>
      <c r="H5" s="25">
        <v>469</v>
      </c>
      <c r="I5">
        <f>Tabel242[[#This Row],[Stand Espresso Einde maand]]</f>
        <v>370</v>
      </c>
      <c r="J5" s="12">
        <f>Tabel2425[[#This Row],[Stand Espresso Einde maand]]-Tabel2425[[#This Row],[Espresso vorige maand]]</f>
        <v>99</v>
      </c>
      <c r="K5" s="25">
        <v>521</v>
      </c>
      <c r="L5">
        <f>Tabel242[[#This Row],[Stand Latte Macchiato einde maand]]</f>
        <v>441</v>
      </c>
      <c r="M5">
        <f>Tabel2425[[#This Row],[Stand Latte Macchiato einde maand]]-Tabel2425[[#This Row],[Latte Macchiato vorige maand]]</f>
        <v>80</v>
      </c>
      <c r="N5" s="25">
        <v>570</v>
      </c>
      <c r="O5">
        <f>Tabel242[[#This Row],[Stand Coffee Latte einde maand]]</f>
        <v>502</v>
      </c>
      <c r="P5">
        <f>Tabel2425[[#This Row],[Stand Coffee Latte einde maand]]-Tabel2425[[#This Row],[Coffee Latte vorige maand]]</f>
        <v>68</v>
      </c>
      <c r="Q5" s="25">
        <v>4451</v>
      </c>
      <c r="R5">
        <f>Tabel242[[#This Row],[Stand Hot Water einde maand]]</f>
        <v>3810</v>
      </c>
      <c r="S5">
        <f>Tabel2425[[#This Row],[Stand Hot Water einde maand]]-Tabel2425[[#This Row],[Hot Water vorige maand]]</f>
        <v>641</v>
      </c>
      <c r="T5" s="25">
        <v>2586</v>
      </c>
      <c r="U5">
        <f>Tabel242[[#This Row],[Stand Cappucino einde maand]]</f>
        <v>2165</v>
      </c>
      <c r="V5">
        <f>Tabel2425[[#This Row],[Stand Cappucino einde maand]]-Tabel2425[[#This Row],[Stand Cappucino vorige maand]]</f>
        <v>421</v>
      </c>
      <c r="W5" s="25">
        <v>391</v>
      </c>
      <c r="X5">
        <f>Tabel242[[#This Row],[Stand Cappucino Plantaardig einde maand]]</f>
        <v>301</v>
      </c>
      <c r="Y5">
        <f>Tabel2425[[#This Row],[Stand Cappucino Plantaardig einde maand]]-Tabel2425[[#This Row],[Stand Cappucino Plantaardig vorige maand]]</f>
        <v>90</v>
      </c>
      <c r="Z5" s="25">
        <v>110</v>
      </c>
      <c r="AA5">
        <f>Tabel242[[#This Row],[Stand Latte Macchiato Plantaardig einde maand]]</f>
        <v>80</v>
      </c>
      <c r="AB5" s="12">
        <f>Tabel2425[[#This Row],[Stand Latte Macchiato Plantaardig einde maand]]-Tabel2425[[#This Row],[Stand Latte Macchiato Plantaardig vorige maand]]</f>
        <v>30</v>
      </c>
      <c r="AC5" s="3">
        <f>Tabel2425[[#This Row],[Verbruik Stand Latte Macchiato Plantaardig deze maand]]+Tabel2425[[#This Row],[Verbruik  Cappucino Plantaardig deze maand]]+Tabel2425[[#This Row],[Verbruik Cappucino deze maand]]+Tabel2425[[#This Row],[Verbruik Hot Water deze maand]]+Tabel2425[[#This Row],[Verbruik Coffee Latte deze maand]]+Tabel2425[[#This Row],[Verbruik Latte Macchiato deze maand]]+Tabel2425[[#This Row],[Verbruik Espresso deze maand]]+Tabel2425[[#This Row],[Verbruik Coffee deze maand]]</f>
        <v>1763</v>
      </c>
      <c r="AD5" s="26"/>
      <c r="AE5" s="5"/>
      <c r="AF5" s="5"/>
      <c r="AG5" s="5"/>
      <c r="AH5" s="26"/>
      <c r="AI5" s="5"/>
      <c r="AJ5" s="5"/>
      <c r="AK5" s="5"/>
      <c r="AL5" s="26"/>
      <c r="AM5" s="5"/>
      <c r="AN5" s="5"/>
      <c r="AO5" s="5"/>
      <c r="AP5" s="26"/>
      <c r="AQ5" s="5"/>
      <c r="AR5" s="5"/>
      <c r="AS5" s="5"/>
      <c r="AT5" s="26"/>
      <c r="AU5" s="5"/>
      <c r="AV5" s="5"/>
      <c r="AW5" s="21"/>
      <c r="AX5" s="8"/>
      <c r="AY5" s="4">
        <f>Tabel2425[[#This Row],[Subtotaal waterbar in consumpties]]+Tabel2425[[#This Row],[Subtotaal koffieautomaten]]</f>
        <v>1763</v>
      </c>
    </row>
    <row r="6" spans="1:51" x14ac:dyDescent="0.25">
      <c r="A6" t="s">
        <v>34</v>
      </c>
      <c r="B6" t="s">
        <v>35</v>
      </c>
      <c r="C6" t="s">
        <v>47</v>
      </c>
      <c r="E6" s="25">
        <v>112</v>
      </c>
      <c r="F6">
        <f>Tabel242[[#This Row],[Stand Coffee einde maand]]</f>
        <v>0</v>
      </c>
      <c r="G6" s="12">
        <f>Tabel2425[[#This Row],[Stand Coffee einde maand]]-Tabel2425[[#This Row],[Coffee vorige maand]]</f>
        <v>112</v>
      </c>
      <c r="H6" s="25">
        <v>25</v>
      </c>
      <c r="I6">
        <f>Tabel242[[#This Row],[Stand Espresso Einde maand]]</f>
        <v>0</v>
      </c>
      <c r="J6" s="12">
        <f>Tabel2425[[#This Row],[Stand Espresso Einde maand]]-Tabel2425[[#This Row],[Espresso vorige maand]]</f>
        <v>25</v>
      </c>
      <c r="K6" s="25">
        <v>26</v>
      </c>
      <c r="L6">
        <f>Tabel242[[#This Row],[Stand Latte Macchiato einde maand]]</f>
        <v>0</v>
      </c>
      <c r="M6">
        <f>Tabel2425[[#This Row],[Stand Latte Macchiato einde maand]]-Tabel2425[[#This Row],[Latte Macchiato vorige maand]]</f>
        <v>26</v>
      </c>
      <c r="N6" s="25">
        <v>30</v>
      </c>
      <c r="O6">
        <f>Tabel242[[#This Row],[Stand Coffee Latte einde maand]]</f>
        <v>0</v>
      </c>
      <c r="P6">
        <f>Tabel2425[[#This Row],[Stand Coffee Latte einde maand]]-Tabel2425[[#This Row],[Coffee Latte vorige maand]]</f>
        <v>30</v>
      </c>
      <c r="Q6" s="25">
        <v>129</v>
      </c>
      <c r="R6">
        <f>Tabel242[[#This Row],[Stand Hot Water einde maand]]</f>
        <v>0</v>
      </c>
      <c r="S6">
        <f>Tabel2425[[#This Row],[Stand Hot Water einde maand]]-Tabel2425[[#This Row],[Hot Water vorige maand]]</f>
        <v>129</v>
      </c>
      <c r="T6" s="25">
        <v>220</v>
      </c>
      <c r="U6">
        <f>Tabel242[[#This Row],[Stand Cappucino einde maand]]</f>
        <v>0</v>
      </c>
      <c r="V6">
        <f>Tabel2425[[#This Row],[Stand Cappucino einde maand]]-Tabel2425[[#This Row],[Stand Cappucino vorige maand]]</f>
        <v>220</v>
      </c>
      <c r="W6" s="25">
        <v>16</v>
      </c>
      <c r="X6">
        <f>Tabel242[[#This Row],[Stand Cappucino Plantaardig einde maand]]</f>
        <v>0</v>
      </c>
      <c r="Y6">
        <f>Tabel2425[[#This Row],[Stand Cappucino Plantaardig einde maand]]-Tabel2425[[#This Row],[Stand Cappucino Plantaardig vorige maand]]</f>
        <v>16</v>
      </c>
      <c r="Z6" s="25">
        <v>21</v>
      </c>
      <c r="AA6">
        <f>Tabel242[[#This Row],[Stand Latte Macchiato Plantaardig einde maand]]</f>
        <v>0</v>
      </c>
      <c r="AB6" s="12">
        <f>Tabel2425[[#This Row],[Stand Latte Macchiato Plantaardig einde maand]]-Tabel2425[[#This Row],[Stand Latte Macchiato Plantaardig vorige maand]]</f>
        <v>21</v>
      </c>
      <c r="AC6" s="3">
        <f>Tabel2425[[#This Row],[Verbruik Stand Latte Macchiato Plantaardig deze maand]]+Tabel2425[[#This Row],[Verbruik  Cappucino Plantaardig deze maand]]+Tabel2425[[#This Row],[Verbruik Cappucino deze maand]]+Tabel2425[[#This Row],[Verbruik Hot Water deze maand]]+Tabel2425[[#This Row],[Verbruik Coffee Latte deze maand]]+Tabel2425[[#This Row],[Verbruik Latte Macchiato deze maand]]+Tabel2425[[#This Row],[Verbruik Espresso deze maand]]+Tabel2425[[#This Row],[Verbruik Coffee deze maand]]</f>
        <v>579</v>
      </c>
      <c r="AD6" s="25">
        <v>46.9</v>
      </c>
      <c r="AE6">
        <f>Tabel242[[#This Row],[Stand Kamertemp liter einde maand]]</f>
        <v>34.4</v>
      </c>
      <c r="AF6">
        <f>Tabel2425[[#This Row],[Stand Kamertemp liter einde maand]]-Tabel2425[[#This Row],[Stand Kamertemp liter vorige maand]]</f>
        <v>12.5</v>
      </c>
      <c r="AG6" s="2">
        <f>Tabel2425[[#This Row],[Verbruik Kamertemp liter deze maand]]/0.15</f>
        <v>83.333333333333343</v>
      </c>
      <c r="AH6" s="25">
        <v>258.8</v>
      </c>
      <c r="AI6">
        <f>Tabel242[[#This Row],[Stand Gekoeld liter einde maand]]</f>
        <v>171.8</v>
      </c>
      <c r="AJ6">
        <f>Tabel2425[[#This Row],[Stand Gekoeld liter einde maand]]-Tabel2425[[#This Row],[Stand Gekoeld liter vorige maand]]</f>
        <v>87</v>
      </c>
      <c r="AK6" s="2">
        <f>Tabel2425[[#This Row],[Verbruik Gekoeld liter deze maand]]/0.15</f>
        <v>580</v>
      </c>
      <c r="AL6" s="25">
        <v>236.8</v>
      </c>
      <c r="AM6">
        <f>Tabel242[[#This Row],[Stand Bruisend liter einde maand]]</f>
        <v>160.30000000000001</v>
      </c>
      <c r="AN6">
        <f>Tabel2425[[#This Row],[Stand Bruisend liter einde maand]]-Tabel2425[[#This Row],[Stand Bruisend liter vorige maand]]</f>
        <v>76.5</v>
      </c>
      <c r="AO6" s="2">
        <f>Tabel2425[[#This Row],[Verbruik Bruisend liter deze maand]]/0.15</f>
        <v>510</v>
      </c>
      <c r="AP6" s="25">
        <v>66.3</v>
      </c>
      <c r="AQ6">
        <f>Tabel242[[#This Row],[Stand licht bruisend liter einde maand]]</f>
        <v>41.7</v>
      </c>
      <c r="AR6">
        <f>Tabel2425[[#This Row],[Stand licht bruisend liter einde maand]]-Tabel2425[[#This Row],[Stand licht bruisend liter vorige maand]]</f>
        <v>24.599999999999994</v>
      </c>
      <c r="AS6" s="2">
        <f>Tabel2425[[#This Row],[Verbruik licht bruisend liter deze maand]]/0.15</f>
        <v>163.99999999999997</v>
      </c>
      <c r="AT6" s="25">
        <v>465.9</v>
      </c>
      <c r="AU6">
        <f>Tabel242[[#This Row],[Stand heet water liter einde maand]]</f>
        <v>334.1</v>
      </c>
      <c r="AV6">
        <f>Tabel2425[[#This Row],[Stand heet water liter einde maand]]-Tabel2425[[#This Row],[Stand heet water liter vorige maand]]</f>
        <v>131.79999999999995</v>
      </c>
      <c r="AW6" s="20">
        <f>Tabel2425[[#This Row],[Verbruik heet Water liter deze maand ]]/0.15</f>
        <v>878.6666666666664</v>
      </c>
      <c r="AX6" s="4">
        <f>Tabel2425[[#This Row],[Aantal consumpties heet water deze maand]]+Tabel2425[[#This Row],[Aantal consumpties licht bruisend water deze maand]]+Tabel2425[[#This Row],[aantal consumpties Bruisend water deze maand]]+Tabel2425[[#This Row],[Aantal consumpties gekoeld water deze maand]]+Tabel2425[[#This Row],[Aantal consumpties Kamertemp deze maand]]</f>
        <v>2215.9999999999995</v>
      </c>
      <c r="AY6" s="4">
        <f>Tabel2425[[#This Row],[Subtotaal waterbar in consumpties]]+Tabel2425[[#This Row],[Subtotaal koffieautomaten]]</f>
        <v>2794.9999999999995</v>
      </c>
    </row>
    <row r="7" spans="1:51" x14ac:dyDescent="0.25">
      <c r="A7" t="s">
        <v>37</v>
      </c>
      <c r="B7" t="s">
        <v>38</v>
      </c>
      <c r="C7" t="s">
        <v>31</v>
      </c>
      <c r="E7" s="25">
        <v>1036</v>
      </c>
      <c r="F7">
        <f>Tabel242[[#This Row],[Stand Coffee einde maand]]</f>
        <v>361</v>
      </c>
      <c r="G7" s="12">
        <f>Tabel2425[[#This Row],[Stand Coffee einde maand]]-Tabel2425[[#This Row],[Coffee vorige maand]]</f>
        <v>675</v>
      </c>
      <c r="H7" s="25">
        <v>316</v>
      </c>
      <c r="I7">
        <f>Tabel242[[#This Row],[Stand Espresso Einde maand]]</f>
        <v>106</v>
      </c>
      <c r="J7" s="12">
        <f>Tabel2425[[#This Row],[Stand Espresso Einde maand]]-Tabel2425[[#This Row],[Espresso vorige maand]]</f>
        <v>210</v>
      </c>
      <c r="K7" s="25">
        <v>98</v>
      </c>
      <c r="L7">
        <f>Tabel242[[#This Row],[Stand Latte Macchiato einde maand]]</f>
        <v>37</v>
      </c>
      <c r="M7">
        <f>Tabel2425[[#This Row],[Stand Latte Macchiato einde maand]]-Tabel2425[[#This Row],[Latte Macchiato vorige maand]]</f>
        <v>61</v>
      </c>
      <c r="N7" s="25">
        <v>82</v>
      </c>
      <c r="O7">
        <f>Tabel242[[#This Row],[Stand Coffee Latte einde maand]]</f>
        <v>31</v>
      </c>
      <c r="P7">
        <f>Tabel2425[[#This Row],[Stand Coffee Latte einde maand]]-Tabel2425[[#This Row],[Coffee Latte vorige maand]]</f>
        <v>51</v>
      </c>
      <c r="Q7" s="25">
        <v>1649</v>
      </c>
      <c r="R7">
        <f>Tabel242[[#This Row],[Stand Hot Water einde maand]]</f>
        <v>587</v>
      </c>
      <c r="S7">
        <f>Tabel2425[[#This Row],[Stand Hot Water einde maand]]-Tabel2425[[#This Row],[Hot Water vorige maand]]</f>
        <v>1062</v>
      </c>
      <c r="T7" s="25">
        <v>804</v>
      </c>
      <c r="U7">
        <f>Tabel242[[#This Row],[Stand Cappucino einde maand]]</f>
        <v>311</v>
      </c>
      <c r="V7">
        <f>Tabel2425[[#This Row],[Stand Cappucino einde maand]]-Tabel2425[[#This Row],[Stand Cappucino vorige maand]]</f>
        <v>493</v>
      </c>
      <c r="W7" s="25">
        <v>69</v>
      </c>
      <c r="X7">
        <f>Tabel242[[#This Row],[Stand Cappucino Plantaardig einde maand]]</f>
        <v>31</v>
      </c>
      <c r="Y7">
        <f>Tabel2425[[#This Row],[Stand Cappucino Plantaardig einde maand]]-Tabel2425[[#This Row],[Stand Cappucino Plantaardig vorige maand]]</f>
        <v>38</v>
      </c>
      <c r="Z7" s="25">
        <v>20</v>
      </c>
      <c r="AA7">
        <f>Tabel242[[#This Row],[Stand Latte Macchiato Plantaardig einde maand]]</f>
        <v>10</v>
      </c>
      <c r="AB7" s="12">
        <f>Tabel2425[[#This Row],[Stand Latte Macchiato Plantaardig einde maand]]-Tabel2425[[#This Row],[Stand Latte Macchiato Plantaardig vorige maand]]</f>
        <v>10</v>
      </c>
      <c r="AC7" s="3">
        <f>Tabel2425[[#This Row],[Verbruik Stand Latte Macchiato Plantaardig deze maand]]+Tabel2425[[#This Row],[Verbruik  Cappucino Plantaardig deze maand]]+Tabel2425[[#This Row],[Verbruik Cappucino deze maand]]+Tabel2425[[#This Row],[Verbruik Hot Water deze maand]]+Tabel2425[[#This Row],[Verbruik Coffee Latte deze maand]]+Tabel2425[[#This Row],[Verbruik Latte Macchiato deze maand]]+Tabel2425[[#This Row],[Verbruik Espresso deze maand]]+Tabel2425[[#This Row],[Verbruik Coffee deze maand]]</f>
        <v>2600</v>
      </c>
      <c r="AD7" s="26"/>
      <c r="AE7" s="5"/>
      <c r="AF7" s="5"/>
      <c r="AG7" s="5"/>
      <c r="AH7" s="26"/>
      <c r="AI7" s="5"/>
      <c r="AJ7" s="5"/>
      <c r="AK7" s="5"/>
      <c r="AL7" s="26"/>
      <c r="AM7" s="5"/>
      <c r="AN7" s="5"/>
      <c r="AO7" s="5"/>
      <c r="AP7" s="26"/>
      <c r="AQ7" s="5"/>
      <c r="AR7" s="5"/>
      <c r="AS7" s="5"/>
      <c r="AT7" s="26"/>
      <c r="AU7" s="5"/>
      <c r="AV7" s="5"/>
      <c r="AW7" s="21"/>
      <c r="AX7" s="8"/>
      <c r="AY7" s="4">
        <f>Tabel2425[[#This Row],[Subtotaal waterbar in consumpties]]+Tabel2425[[#This Row],[Subtotaal koffieautomaten]]</f>
        <v>2600</v>
      </c>
    </row>
    <row r="8" spans="1:51" x14ac:dyDescent="0.25">
      <c r="A8" t="s">
        <v>39</v>
      </c>
      <c r="B8" t="s">
        <v>40</v>
      </c>
      <c r="C8" t="s">
        <v>31</v>
      </c>
      <c r="E8" s="25">
        <v>2820</v>
      </c>
      <c r="F8">
        <f>Tabel242[[#This Row],[Stand Coffee einde maand]]</f>
        <v>2102</v>
      </c>
      <c r="G8" s="12">
        <f>Tabel2425[[#This Row],[Stand Coffee einde maand]]-Tabel2425[[#This Row],[Coffee vorige maand]]</f>
        <v>718</v>
      </c>
      <c r="H8" s="25">
        <v>1145</v>
      </c>
      <c r="I8">
        <f>Tabel242[[#This Row],[Stand Espresso Einde maand]]</f>
        <v>923</v>
      </c>
      <c r="J8" s="12">
        <f>Tabel2425[[#This Row],[Stand Espresso Einde maand]]-Tabel2425[[#This Row],[Espresso vorige maand]]</f>
        <v>222</v>
      </c>
      <c r="K8" s="25">
        <v>611</v>
      </c>
      <c r="L8">
        <f>Tabel242[[#This Row],[Stand Latte Macchiato einde maand]]</f>
        <v>484</v>
      </c>
      <c r="M8">
        <f>Tabel2425[[#This Row],[Stand Latte Macchiato einde maand]]-Tabel2425[[#This Row],[Latte Macchiato vorige maand]]</f>
        <v>127</v>
      </c>
      <c r="N8" s="25">
        <v>266</v>
      </c>
      <c r="O8">
        <f>Tabel242[[#This Row],[Stand Coffee Latte einde maand]]</f>
        <v>193</v>
      </c>
      <c r="P8">
        <f>Tabel2425[[#This Row],[Stand Coffee Latte einde maand]]-Tabel2425[[#This Row],[Coffee Latte vorige maand]]</f>
        <v>73</v>
      </c>
      <c r="Q8" s="25">
        <v>4240</v>
      </c>
      <c r="R8">
        <f>Tabel242[[#This Row],[Stand Hot Water einde maand]]</f>
        <v>3253</v>
      </c>
      <c r="S8">
        <f>Tabel2425[[#This Row],[Stand Hot Water einde maand]]-Tabel2425[[#This Row],[Hot Water vorige maand]]</f>
        <v>987</v>
      </c>
      <c r="T8" s="25">
        <v>1857</v>
      </c>
      <c r="U8">
        <f>Tabel242[[#This Row],[Stand Cappucino einde maand]]</f>
        <v>1440</v>
      </c>
      <c r="V8">
        <f>Tabel2425[[#This Row],[Stand Cappucino einde maand]]-Tabel2425[[#This Row],[Stand Cappucino vorige maand]]</f>
        <v>417</v>
      </c>
      <c r="W8" s="25">
        <v>501</v>
      </c>
      <c r="X8">
        <f>Tabel242[[#This Row],[Stand Cappucino Plantaardig einde maand]]</f>
        <v>467</v>
      </c>
      <c r="Y8">
        <f>Tabel2425[[#This Row],[Stand Cappucino Plantaardig einde maand]]-Tabel2425[[#This Row],[Stand Cappucino Plantaardig vorige maand]]</f>
        <v>34</v>
      </c>
      <c r="Z8" s="25">
        <v>40</v>
      </c>
      <c r="AA8">
        <f>Tabel242[[#This Row],[Stand Latte Macchiato Plantaardig einde maand]]</f>
        <v>34</v>
      </c>
      <c r="AB8" s="12">
        <f>Tabel2425[[#This Row],[Stand Latte Macchiato Plantaardig einde maand]]-Tabel2425[[#This Row],[Stand Latte Macchiato Plantaardig vorige maand]]</f>
        <v>6</v>
      </c>
      <c r="AC8" s="3">
        <f>Tabel2425[[#This Row],[Verbruik Stand Latte Macchiato Plantaardig deze maand]]+Tabel2425[[#This Row],[Verbruik  Cappucino Plantaardig deze maand]]+Tabel2425[[#This Row],[Verbruik Cappucino deze maand]]+Tabel2425[[#This Row],[Verbruik Hot Water deze maand]]+Tabel2425[[#This Row],[Verbruik Coffee Latte deze maand]]+Tabel2425[[#This Row],[Verbruik Latte Macchiato deze maand]]+Tabel2425[[#This Row],[Verbruik Espresso deze maand]]+Tabel2425[[#This Row],[Verbruik Coffee deze maand]]</f>
        <v>2584</v>
      </c>
      <c r="AD8" s="26"/>
      <c r="AE8" s="5"/>
      <c r="AF8" s="5"/>
      <c r="AG8" s="5"/>
      <c r="AH8" s="26"/>
      <c r="AI8" s="5"/>
      <c r="AJ8" s="5"/>
      <c r="AK8" s="5"/>
      <c r="AL8" s="26"/>
      <c r="AM8" s="5"/>
      <c r="AN8" s="5"/>
      <c r="AO8" s="5"/>
      <c r="AP8" s="26"/>
      <c r="AQ8" s="5"/>
      <c r="AR8" s="5"/>
      <c r="AS8" s="5"/>
      <c r="AT8" s="26"/>
      <c r="AU8" s="5"/>
      <c r="AV8" s="5"/>
      <c r="AW8" s="21"/>
      <c r="AX8" s="8"/>
      <c r="AY8" s="4">
        <f>Tabel2425[[#This Row],[Subtotaal waterbar in consumpties]]+Tabel2425[[#This Row],[Subtotaal koffieautomaten]]</f>
        <v>2584</v>
      </c>
    </row>
    <row r="9" spans="1:51" x14ac:dyDescent="0.25">
      <c r="A9" t="s">
        <v>41</v>
      </c>
      <c r="B9" t="s">
        <v>42</v>
      </c>
      <c r="C9" t="s">
        <v>31</v>
      </c>
      <c r="E9" s="25">
        <v>1348</v>
      </c>
      <c r="F9">
        <f>Tabel242[[#This Row],[Stand Coffee einde maand]]</f>
        <v>1036</v>
      </c>
      <c r="G9" s="12">
        <f>Tabel2425[[#This Row],[Stand Coffee einde maand]]-Tabel2425[[#This Row],[Coffee vorige maand]]</f>
        <v>312</v>
      </c>
      <c r="H9" s="25">
        <v>451</v>
      </c>
      <c r="I9">
        <f>Tabel242[[#This Row],[Stand Espresso Einde maand]]</f>
        <v>340</v>
      </c>
      <c r="J9" s="12">
        <f>Tabel2425[[#This Row],[Stand Espresso Einde maand]]-Tabel2425[[#This Row],[Espresso vorige maand]]</f>
        <v>111</v>
      </c>
      <c r="K9" s="25">
        <v>507</v>
      </c>
      <c r="L9">
        <f>Tabel242[[#This Row],[Stand Latte Macchiato einde maand]]</f>
        <v>404</v>
      </c>
      <c r="M9">
        <f>Tabel2425[[#This Row],[Stand Latte Macchiato einde maand]]-Tabel2425[[#This Row],[Latte Macchiato vorige maand]]</f>
        <v>103</v>
      </c>
      <c r="N9" s="25">
        <v>238</v>
      </c>
      <c r="O9">
        <f>Tabel242[[#This Row],[Stand Coffee Latte einde maand]]</f>
        <v>192</v>
      </c>
      <c r="P9">
        <f>Tabel2425[[#This Row],[Stand Coffee Latte einde maand]]-Tabel2425[[#This Row],[Coffee Latte vorige maand]]</f>
        <v>46</v>
      </c>
      <c r="Q9" s="25">
        <v>5812</v>
      </c>
      <c r="R9">
        <f>Tabel242[[#This Row],[Stand Hot Water einde maand]]</f>
        <v>4638</v>
      </c>
      <c r="S9">
        <f>Tabel2425[[#This Row],[Stand Hot Water einde maand]]-Tabel2425[[#This Row],[Hot Water vorige maand]]</f>
        <v>1174</v>
      </c>
      <c r="T9" s="25">
        <v>1027</v>
      </c>
      <c r="U9">
        <f>Tabel242[[#This Row],[Stand Cappucino einde maand]]</f>
        <v>887</v>
      </c>
      <c r="V9">
        <f>Tabel2425[[#This Row],[Stand Cappucino einde maand]]-Tabel2425[[#This Row],[Stand Cappucino vorige maand]]</f>
        <v>140</v>
      </c>
      <c r="W9" s="25">
        <v>343</v>
      </c>
      <c r="X9">
        <f>Tabel242[[#This Row],[Stand Cappucino Plantaardig einde maand]]</f>
        <v>301</v>
      </c>
      <c r="Y9">
        <f>Tabel2425[[#This Row],[Stand Cappucino Plantaardig einde maand]]-Tabel2425[[#This Row],[Stand Cappucino Plantaardig vorige maand]]</f>
        <v>42</v>
      </c>
      <c r="Z9" s="25">
        <v>93</v>
      </c>
      <c r="AA9">
        <f>Tabel242[[#This Row],[Stand Latte Macchiato Plantaardig einde maand]]</f>
        <v>62</v>
      </c>
      <c r="AB9" s="12">
        <f>Tabel2425[[#This Row],[Stand Latte Macchiato Plantaardig einde maand]]-Tabel2425[[#This Row],[Stand Latte Macchiato Plantaardig vorige maand]]</f>
        <v>31</v>
      </c>
      <c r="AC9" s="3">
        <f>Tabel2425[[#This Row],[Verbruik Stand Latte Macchiato Plantaardig deze maand]]+Tabel2425[[#This Row],[Verbruik  Cappucino Plantaardig deze maand]]+Tabel2425[[#This Row],[Verbruik Cappucino deze maand]]+Tabel2425[[#This Row],[Verbruik Hot Water deze maand]]+Tabel2425[[#This Row],[Verbruik Coffee Latte deze maand]]+Tabel2425[[#This Row],[Verbruik Latte Macchiato deze maand]]+Tabel2425[[#This Row],[Verbruik Espresso deze maand]]+Tabel2425[[#This Row],[Verbruik Coffee deze maand]]</f>
        <v>1959</v>
      </c>
      <c r="AD9" s="26"/>
      <c r="AE9" s="5"/>
      <c r="AF9" s="5"/>
      <c r="AG9" s="5"/>
      <c r="AH9" s="26"/>
      <c r="AI9" s="5"/>
      <c r="AJ9" s="5"/>
      <c r="AK9" s="5"/>
      <c r="AL9" s="26"/>
      <c r="AM9" s="5"/>
      <c r="AN9" s="5"/>
      <c r="AO9" s="5"/>
      <c r="AP9" s="26"/>
      <c r="AQ9" s="5"/>
      <c r="AR9" s="5"/>
      <c r="AS9" s="5"/>
      <c r="AT9" s="26"/>
      <c r="AU9" s="5"/>
      <c r="AV9" s="5"/>
      <c r="AW9" s="21"/>
      <c r="AX9" s="8"/>
      <c r="AY9" s="4">
        <f>Tabel2425[[#This Row],[Subtotaal waterbar in consumpties]]+Tabel2425[[#This Row],[Subtotaal koffieautomaten]]</f>
        <v>1959</v>
      </c>
    </row>
    <row r="10" spans="1:51" x14ac:dyDescent="0.25">
      <c r="A10" t="s">
        <v>43</v>
      </c>
      <c r="B10" t="s">
        <v>44</v>
      </c>
      <c r="C10" t="s">
        <v>31</v>
      </c>
      <c r="E10" s="25">
        <v>2268</v>
      </c>
      <c r="F10">
        <f>Tabel242[[#This Row],[Stand Coffee einde maand]]</f>
        <v>1780</v>
      </c>
      <c r="G10" s="12">
        <f>Tabel2425[[#This Row],[Stand Coffee einde maand]]-Tabel2425[[#This Row],[Coffee vorige maand]]</f>
        <v>488</v>
      </c>
      <c r="H10" s="25">
        <v>478</v>
      </c>
      <c r="I10">
        <f>Tabel242[[#This Row],[Stand Espresso Einde maand]]</f>
        <v>399</v>
      </c>
      <c r="J10" s="12">
        <f>Tabel2425[[#This Row],[Stand Espresso Einde maand]]-Tabel2425[[#This Row],[Espresso vorige maand]]</f>
        <v>79</v>
      </c>
      <c r="K10" s="25">
        <v>284</v>
      </c>
      <c r="L10">
        <f>Tabel242[[#This Row],[Stand Latte Macchiato einde maand]]</f>
        <v>239</v>
      </c>
      <c r="M10">
        <f>Tabel2425[[#This Row],[Stand Latte Macchiato einde maand]]-Tabel2425[[#This Row],[Latte Macchiato vorige maand]]</f>
        <v>45</v>
      </c>
      <c r="N10" s="25">
        <v>139</v>
      </c>
      <c r="O10">
        <f>Tabel242[[#This Row],[Stand Coffee Latte einde maand]]</f>
        <v>89</v>
      </c>
      <c r="P10">
        <f>Tabel2425[[#This Row],[Stand Coffee Latte einde maand]]-Tabel2425[[#This Row],[Coffee Latte vorige maand]]</f>
        <v>50</v>
      </c>
      <c r="Q10" s="25">
        <v>3165</v>
      </c>
      <c r="R10">
        <f>Tabel242[[#This Row],[Stand Hot Water einde maand]]</f>
        <v>2488</v>
      </c>
      <c r="S10">
        <f>Tabel2425[[#This Row],[Stand Hot Water einde maand]]-Tabel2425[[#This Row],[Hot Water vorige maand]]</f>
        <v>677</v>
      </c>
      <c r="T10" s="25">
        <v>1244</v>
      </c>
      <c r="U10">
        <f>Tabel242[[#This Row],[Stand Cappucino einde maand]]</f>
        <v>1004</v>
      </c>
      <c r="V10">
        <f>Tabel2425[[#This Row],[Stand Cappucino einde maand]]-Tabel2425[[#This Row],[Stand Cappucino vorige maand]]</f>
        <v>240</v>
      </c>
      <c r="W10" s="25">
        <v>317</v>
      </c>
      <c r="X10">
        <f>Tabel242[[#This Row],[Stand Cappucino Plantaardig einde maand]]</f>
        <v>215</v>
      </c>
      <c r="Y10">
        <f>Tabel2425[[#This Row],[Stand Cappucino Plantaardig einde maand]]-Tabel2425[[#This Row],[Stand Cappucino Plantaardig vorige maand]]</f>
        <v>102</v>
      </c>
      <c r="Z10" s="25">
        <v>219</v>
      </c>
      <c r="AA10">
        <f>Tabel242[[#This Row],[Stand Latte Macchiato Plantaardig einde maand]]</f>
        <v>173</v>
      </c>
      <c r="AB10" s="12">
        <f>Tabel2425[[#This Row],[Stand Latte Macchiato Plantaardig einde maand]]-Tabel2425[[#This Row],[Stand Latte Macchiato Plantaardig vorige maand]]</f>
        <v>46</v>
      </c>
      <c r="AC10" s="3">
        <f>Tabel2425[[#This Row],[Verbruik Stand Latte Macchiato Plantaardig deze maand]]+Tabel2425[[#This Row],[Verbruik  Cappucino Plantaardig deze maand]]+Tabel2425[[#This Row],[Verbruik Cappucino deze maand]]+Tabel2425[[#This Row],[Verbruik Hot Water deze maand]]+Tabel2425[[#This Row],[Verbruik Coffee Latte deze maand]]+Tabel2425[[#This Row],[Verbruik Latte Macchiato deze maand]]+Tabel2425[[#This Row],[Verbruik Espresso deze maand]]+Tabel2425[[#This Row],[Verbruik Coffee deze maand]]</f>
        <v>1727</v>
      </c>
      <c r="AD10" s="26"/>
      <c r="AE10" s="5"/>
      <c r="AF10" s="5"/>
      <c r="AG10" s="7"/>
      <c r="AH10" s="26"/>
      <c r="AI10" s="5"/>
      <c r="AJ10" s="5"/>
      <c r="AK10" s="5"/>
      <c r="AL10" s="26"/>
      <c r="AM10" s="5"/>
      <c r="AN10" s="5"/>
      <c r="AO10" s="5"/>
      <c r="AP10" s="26"/>
      <c r="AQ10" s="5"/>
      <c r="AR10" s="5"/>
      <c r="AS10" s="5"/>
      <c r="AT10" s="26"/>
      <c r="AU10" s="5"/>
      <c r="AV10" s="5"/>
      <c r="AW10" s="21"/>
      <c r="AX10" s="8"/>
      <c r="AY10" s="4">
        <f>Tabel2425[[#This Row],[Subtotaal waterbar in consumpties]]+Tabel2425[[#This Row],[Subtotaal koffieautomaten]]</f>
        <v>1727</v>
      </c>
    </row>
    <row r="11" spans="1:51" x14ac:dyDescent="0.25">
      <c r="A11" t="s">
        <v>45</v>
      </c>
      <c r="B11" t="s">
        <v>46</v>
      </c>
      <c r="C11" t="s">
        <v>47</v>
      </c>
      <c r="E11" s="25">
        <v>3591</v>
      </c>
      <c r="F11">
        <f>Tabel242[[#This Row],[Stand Coffee einde maand]]</f>
        <v>2893</v>
      </c>
      <c r="G11" s="12">
        <f>Tabel2425[[#This Row],[Stand Coffee einde maand]]-Tabel2425[[#This Row],[Coffee vorige maand]]</f>
        <v>698</v>
      </c>
      <c r="H11" s="25">
        <v>407</v>
      </c>
      <c r="I11">
        <f>Tabel242[[#This Row],[Stand Espresso Einde maand]]</f>
        <v>329</v>
      </c>
      <c r="J11" s="12">
        <f>Tabel2425[[#This Row],[Stand Espresso Einde maand]]-Tabel2425[[#This Row],[Espresso vorige maand]]</f>
        <v>78</v>
      </c>
      <c r="K11" s="25">
        <v>313</v>
      </c>
      <c r="L11">
        <f>Tabel242[[#This Row],[Stand Latte Macchiato einde maand]]</f>
        <v>266</v>
      </c>
      <c r="M11">
        <f>Tabel2425[[#This Row],[Stand Latte Macchiato einde maand]]-Tabel2425[[#This Row],[Latte Macchiato vorige maand]]</f>
        <v>47</v>
      </c>
      <c r="N11" s="25">
        <v>111</v>
      </c>
      <c r="O11">
        <f>Tabel242[[#This Row],[Stand Coffee Latte einde maand]]</f>
        <v>92</v>
      </c>
      <c r="P11">
        <f>Tabel2425[[#This Row],[Stand Coffee Latte einde maand]]-Tabel2425[[#This Row],[Coffee Latte vorige maand]]</f>
        <v>19</v>
      </c>
      <c r="Q11" s="25">
        <v>1</v>
      </c>
      <c r="R11">
        <f>Tabel242[[#This Row],[Stand Hot Water einde maand]]</f>
        <v>0</v>
      </c>
      <c r="S11">
        <f>Tabel2425[[#This Row],[Stand Hot Water einde maand]]-Tabel2425[[#This Row],[Hot Water vorige maand]]</f>
        <v>1</v>
      </c>
      <c r="T11" s="25">
        <v>1121</v>
      </c>
      <c r="U11">
        <f>Tabel242[[#This Row],[Stand Cappucino einde maand]]</f>
        <v>864</v>
      </c>
      <c r="V11">
        <f>Tabel2425[[#This Row],[Stand Cappucino einde maand]]-Tabel2425[[#This Row],[Stand Cappucino vorige maand]]</f>
        <v>257</v>
      </c>
      <c r="W11" s="25">
        <v>488</v>
      </c>
      <c r="X11">
        <f>Tabel242[[#This Row],[Stand Cappucino Plantaardig einde maand]]</f>
        <v>393</v>
      </c>
      <c r="Y11">
        <f>Tabel2425[[#This Row],[Stand Cappucino Plantaardig einde maand]]-Tabel2425[[#This Row],[Stand Cappucino Plantaardig vorige maand]]</f>
        <v>95</v>
      </c>
      <c r="Z11" s="25">
        <v>252</v>
      </c>
      <c r="AA11">
        <f>Tabel242[[#This Row],[Stand Latte Macchiato Plantaardig einde maand]]</f>
        <v>217</v>
      </c>
      <c r="AB11" s="12">
        <f>Tabel2425[[#This Row],[Stand Latte Macchiato Plantaardig einde maand]]-Tabel2425[[#This Row],[Stand Latte Macchiato Plantaardig vorige maand]]</f>
        <v>35</v>
      </c>
      <c r="AC11" s="3">
        <f>Tabel2425[[#This Row],[Verbruik Stand Latte Macchiato Plantaardig deze maand]]+Tabel2425[[#This Row],[Verbruik  Cappucino Plantaardig deze maand]]+Tabel2425[[#This Row],[Verbruik Cappucino deze maand]]+Tabel2425[[#This Row],[Verbruik Hot Water deze maand]]+Tabel2425[[#This Row],[Verbruik Coffee Latte deze maand]]+Tabel2425[[#This Row],[Verbruik Latte Macchiato deze maand]]+Tabel2425[[#This Row],[Verbruik Espresso deze maand]]+Tabel2425[[#This Row],[Verbruik Coffee deze maand]]</f>
        <v>1230</v>
      </c>
      <c r="AD11" s="25">
        <v>103.2</v>
      </c>
      <c r="AE11">
        <f>Tabel242[[#This Row],[Stand Kamertemp liter einde maand]]</f>
        <v>87</v>
      </c>
      <c r="AF11">
        <f>Tabel2425[[#This Row],[Stand Kamertemp liter einde maand]]-Tabel2425[[#This Row],[Stand Kamertemp liter vorige maand]]</f>
        <v>16.200000000000003</v>
      </c>
      <c r="AG11" s="2">
        <f>Tabel2425[[#This Row],[Verbruik Kamertemp liter deze maand]]/0.15</f>
        <v>108.00000000000003</v>
      </c>
      <c r="AH11" s="25">
        <v>514.4</v>
      </c>
      <c r="AI11">
        <f>Tabel242[[#This Row],[Stand Gekoeld liter einde maand]]</f>
        <v>394.8</v>
      </c>
      <c r="AJ11">
        <f>Tabel2425[[#This Row],[Stand Gekoeld liter einde maand]]-Tabel2425[[#This Row],[Stand Gekoeld liter vorige maand]]</f>
        <v>119.59999999999997</v>
      </c>
      <c r="AK11" s="2">
        <f>Tabel2425[[#This Row],[Verbruik Gekoeld liter deze maand]]/0.15</f>
        <v>797.33333333333314</v>
      </c>
      <c r="AL11" s="25">
        <v>620.79999999999995</v>
      </c>
      <c r="AM11">
        <f>Tabel242[[#This Row],[Stand Bruisend liter einde maand]]</f>
        <v>510.4</v>
      </c>
      <c r="AN11">
        <f>Tabel2425[[#This Row],[Stand Bruisend liter einde maand]]-Tabel2425[[#This Row],[Stand Bruisend liter vorige maand]]</f>
        <v>110.39999999999998</v>
      </c>
      <c r="AO11" s="2">
        <f>Tabel2425[[#This Row],[Verbruik Bruisend liter deze maand]]/0.15</f>
        <v>735.99999999999989</v>
      </c>
      <c r="AP11" s="25">
        <v>269.39999999999998</v>
      </c>
      <c r="AQ11">
        <f>Tabel242[[#This Row],[Stand licht bruisend liter einde maand]]</f>
        <v>208.4</v>
      </c>
      <c r="AR11">
        <f>Tabel2425[[#This Row],[Stand licht bruisend liter einde maand]]-Tabel2425[[#This Row],[Stand licht bruisend liter vorige maand]]</f>
        <v>60.999999999999972</v>
      </c>
      <c r="AS11" s="2">
        <f>Tabel2425[[#This Row],[Verbruik licht bruisend liter deze maand]]/0.15</f>
        <v>406.66666666666652</v>
      </c>
      <c r="AT11" s="25">
        <v>1796.7</v>
      </c>
      <c r="AU11">
        <f>Tabel242[[#This Row],[Stand heet water liter einde maand]]</f>
        <v>1411</v>
      </c>
      <c r="AV11">
        <f>Tabel2425[[#This Row],[Stand heet water liter einde maand]]-Tabel2425[[#This Row],[Stand heet water liter vorige maand]]</f>
        <v>385.70000000000005</v>
      </c>
      <c r="AW11" s="20">
        <f>Tabel2425[[#This Row],[Verbruik heet Water liter deze maand ]]/0.15</f>
        <v>2571.3333333333339</v>
      </c>
      <c r="AX11" s="4">
        <f>Tabel2425[[#This Row],[Aantal consumpties heet water deze maand]]+Tabel2425[[#This Row],[Aantal consumpties licht bruisend water deze maand]]+Tabel2425[[#This Row],[aantal consumpties Bruisend water deze maand]]+Tabel2425[[#This Row],[Aantal consumpties gekoeld water deze maand]]+Tabel2425[[#This Row],[Aantal consumpties Kamertemp deze maand]]</f>
        <v>4619.3333333333339</v>
      </c>
      <c r="AY11" s="4">
        <f>Tabel2425[[#This Row],[Subtotaal waterbar in consumpties]]+Tabel2425[[#This Row],[Subtotaal koffieautomaten]]</f>
        <v>5849.3333333333339</v>
      </c>
    </row>
    <row r="12" spans="1:51" x14ac:dyDescent="0.25">
      <c r="A12" t="s">
        <v>48</v>
      </c>
      <c r="B12" t="s">
        <v>49</v>
      </c>
      <c r="C12" t="s">
        <v>31</v>
      </c>
      <c r="E12" s="25">
        <v>3591</v>
      </c>
      <c r="F12">
        <f>Tabel242[[#This Row],[Stand Coffee einde maand]]</f>
        <v>2799</v>
      </c>
      <c r="G12" s="12">
        <f>Tabel2425[[#This Row],[Stand Coffee einde maand]]-Tabel2425[[#This Row],[Coffee vorige maand]]</f>
        <v>792</v>
      </c>
      <c r="H12" s="25">
        <v>1154</v>
      </c>
      <c r="I12">
        <f>Tabel242[[#This Row],[Stand Espresso Einde maand]]</f>
        <v>897</v>
      </c>
      <c r="J12" s="12">
        <f>Tabel2425[[#This Row],[Stand Espresso Einde maand]]-Tabel2425[[#This Row],[Espresso vorige maand]]</f>
        <v>257</v>
      </c>
      <c r="K12" s="25">
        <v>283</v>
      </c>
      <c r="L12">
        <f>Tabel242[[#This Row],[Stand Latte Macchiato einde maand]]</f>
        <v>214</v>
      </c>
      <c r="M12">
        <f>Tabel2425[[#This Row],[Stand Latte Macchiato einde maand]]-Tabel2425[[#This Row],[Latte Macchiato vorige maand]]</f>
        <v>69</v>
      </c>
      <c r="N12" s="25">
        <v>44</v>
      </c>
      <c r="O12">
        <f>Tabel242[[#This Row],[Stand Coffee Latte einde maand]]</f>
        <v>39</v>
      </c>
      <c r="P12">
        <f>Tabel2425[[#This Row],[Stand Coffee Latte einde maand]]-Tabel2425[[#This Row],[Coffee Latte vorige maand]]</f>
        <v>5</v>
      </c>
      <c r="Q12" s="25">
        <v>8776</v>
      </c>
      <c r="R12">
        <f>Tabel242[[#This Row],[Stand Hot Water einde maand]]</f>
        <v>6732</v>
      </c>
      <c r="S12">
        <f>Tabel2425[[#This Row],[Stand Hot Water einde maand]]-Tabel2425[[#This Row],[Hot Water vorige maand]]</f>
        <v>2044</v>
      </c>
      <c r="T12" s="25">
        <v>1577</v>
      </c>
      <c r="U12">
        <f>Tabel242[[#This Row],[Stand Cappucino einde maand]]</f>
        <v>1200</v>
      </c>
      <c r="V12">
        <f>Tabel2425[[#This Row],[Stand Cappucino einde maand]]-Tabel2425[[#This Row],[Stand Cappucino vorige maand]]</f>
        <v>377</v>
      </c>
      <c r="W12" s="25">
        <v>572</v>
      </c>
      <c r="X12">
        <f>Tabel242[[#This Row],[Stand Cappucino Plantaardig einde maand]]</f>
        <v>484</v>
      </c>
      <c r="Y12">
        <f>Tabel2425[[#This Row],[Stand Cappucino Plantaardig einde maand]]-Tabel2425[[#This Row],[Stand Cappucino Plantaardig vorige maand]]</f>
        <v>88</v>
      </c>
      <c r="Z12" s="25">
        <v>165</v>
      </c>
      <c r="AA12">
        <f>Tabel242[[#This Row],[Stand Latte Macchiato Plantaardig einde maand]]</f>
        <v>147</v>
      </c>
      <c r="AB12" s="12">
        <f>Tabel2425[[#This Row],[Stand Latte Macchiato Plantaardig einde maand]]-Tabel2425[[#This Row],[Stand Latte Macchiato Plantaardig vorige maand]]</f>
        <v>18</v>
      </c>
      <c r="AC12" s="3">
        <f>Tabel2425[[#This Row],[Verbruik Stand Latte Macchiato Plantaardig deze maand]]+Tabel2425[[#This Row],[Verbruik  Cappucino Plantaardig deze maand]]+Tabel2425[[#This Row],[Verbruik Cappucino deze maand]]+Tabel2425[[#This Row],[Verbruik Hot Water deze maand]]+Tabel2425[[#This Row],[Verbruik Coffee Latte deze maand]]+Tabel2425[[#This Row],[Verbruik Latte Macchiato deze maand]]+Tabel2425[[#This Row],[Verbruik Espresso deze maand]]+Tabel2425[[#This Row],[Verbruik Coffee deze maand]]</f>
        <v>3650</v>
      </c>
      <c r="AD12" s="26"/>
      <c r="AE12" s="5"/>
      <c r="AF12" s="5"/>
      <c r="AG12" s="7"/>
      <c r="AH12" s="26"/>
      <c r="AI12" s="5"/>
      <c r="AJ12" s="5"/>
      <c r="AK12" s="7"/>
      <c r="AL12" s="26"/>
      <c r="AM12" s="5"/>
      <c r="AN12" s="5"/>
      <c r="AO12" s="5"/>
      <c r="AP12" s="26"/>
      <c r="AQ12" s="5"/>
      <c r="AR12" s="5"/>
      <c r="AS12" s="7"/>
      <c r="AT12" s="26"/>
      <c r="AU12" s="5"/>
      <c r="AV12" s="5"/>
      <c r="AW12" s="21"/>
      <c r="AX12" s="8"/>
      <c r="AY12" s="4">
        <f>Tabel2425[[#This Row],[Subtotaal waterbar in consumpties]]+Tabel2425[[#This Row],[Subtotaal koffieautomaten]]</f>
        <v>3650</v>
      </c>
    </row>
    <row r="13" spans="1:51" x14ac:dyDescent="0.25">
      <c r="A13" t="s">
        <v>50</v>
      </c>
      <c r="B13" t="s">
        <v>51</v>
      </c>
      <c r="C13" t="s">
        <v>47</v>
      </c>
      <c r="E13" s="25">
        <v>2780</v>
      </c>
      <c r="F13">
        <f>Tabel242[[#This Row],[Stand Coffee einde maand]]</f>
        <v>2135</v>
      </c>
      <c r="G13" s="12">
        <f>Tabel2425[[#This Row],[Stand Coffee einde maand]]-Tabel2425[[#This Row],[Coffee vorige maand]]</f>
        <v>645</v>
      </c>
      <c r="H13" s="25">
        <v>764</v>
      </c>
      <c r="I13">
        <f>Tabel242[[#This Row],[Stand Espresso Einde maand]]</f>
        <v>645</v>
      </c>
      <c r="J13" s="12">
        <f>Tabel2425[[#This Row],[Stand Espresso Einde maand]]-Tabel2425[[#This Row],[Espresso vorige maand]]</f>
        <v>119</v>
      </c>
      <c r="K13" s="25">
        <v>356</v>
      </c>
      <c r="L13">
        <f>Tabel242[[#This Row],[Stand Latte Macchiato einde maand]]</f>
        <v>269</v>
      </c>
      <c r="M13">
        <f>Tabel2425[[#This Row],[Stand Latte Macchiato einde maand]]-Tabel2425[[#This Row],[Latte Macchiato vorige maand]]</f>
        <v>87</v>
      </c>
      <c r="N13" s="25">
        <v>265</v>
      </c>
      <c r="O13">
        <f>Tabel242[[#This Row],[Stand Coffee Latte einde maand]]</f>
        <v>195</v>
      </c>
      <c r="P13">
        <f>Tabel2425[[#This Row],[Stand Coffee Latte einde maand]]-Tabel2425[[#This Row],[Coffee Latte vorige maand]]</f>
        <v>70</v>
      </c>
      <c r="Q13" s="25">
        <v>1</v>
      </c>
      <c r="R13">
        <f>Tabel242[[#This Row],[Stand Hot Water einde maand]]</f>
        <v>0</v>
      </c>
      <c r="S13">
        <f>Tabel2425[[#This Row],[Stand Hot Water einde maand]]-Tabel2425[[#This Row],[Hot Water vorige maand]]</f>
        <v>1</v>
      </c>
      <c r="T13" s="25">
        <v>1165</v>
      </c>
      <c r="U13">
        <f>Tabel242[[#This Row],[Stand Cappucino einde maand]]</f>
        <v>889</v>
      </c>
      <c r="V13">
        <f>Tabel2425[[#This Row],[Stand Cappucino einde maand]]-Tabel2425[[#This Row],[Stand Cappucino vorige maand]]</f>
        <v>276</v>
      </c>
      <c r="W13" s="25">
        <v>504</v>
      </c>
      <c r="X13">
        <f>Tabel242[[#This Row],[Stand Cappucino Plantaardig einde maand]]</f>
        <v>409</v>
      </c>
      <c r="Y13">
        <f>Tabel2425[[#This Row],[Stand Cappucino Plantaardig einde maand]]-Tabel2425[[#This Row],[Stand Cappucino Plantaardig vorige maand]]</f>
        <v>95</v>
      </c>
      <c r="Z13" s="25">
        <v>106</v>
      </c>
      <c r="AA13">
        <f>Tabel242[[#This Row],[Stand Latte Macchiato Plantaardig einde maand]]</f>
        <v>87</v>
      </c>
      <c r="AB13" s="12">
        <f>Tabel2425[[#This Row],[Stand Latte Macchiato Plantaardig einde maand]]-Tabel2425[[#This Row],[Stand Latte Macchiato Plantaardig vorige maand]]</f>
        <v>19</v>
      </c>
      <c r="AC13" s="3">
        <f>Tabel2425[[#This Row],[Verbruik Stand Latte Macchiato Plantaardig deze maand]]+Tabel2425[[#This Row],[Verbruik  Cappucino Plantaardig deze maand]]+Tabel2425[[#This Row],[Verbruik Cappucino deze maand]]+Tabel2425[[#This Row],[Verbruik Hot Water deze maand]]+Tabel2425[[#This Row],[Verbruik Coffee Latte deze maand]]+Tabel2425[[#This Row],[Verbruik Latte Macchiato deze maand]]+Tabel2425[[#This Row],[Verbruik Espresso deze maand]]+Tabel2425[[#This Row],[Verbruik Coffee deze maand]]</f>
        <v>1312</v>
      </c>
      <c r="AD13" s="25">
        <v>77</v>
      </c>
      <c r="AE13">
        <f>Tabel242[[#This Row],[Stand Kamertemp liter einde maand]]</f>
        <v>58.5</v>
      </c>
      <c r="AF13">
        <f>Tabel2425[[#This Row],[Stand Kamertemp liter einde maand]]-Tabel2425[[#This Row],[Stand Kamertemp liter vorige maand]]</f>
        <v>18.5</v>
      </c>
      <c r="AG13" s="2">
        <f>Tabel2425[[#This Row],[Verbruik Kamertemp liter deze maand]]/0.15</f>
        <v>123.33333333333334</v>
      </c>
      <c r="AH13" s="25">
        <v>528.79999999999995</v>
      </c>
      <c r="AI13">
        <f>Tabel242[[#This Row],[Stand Gekoeld liter einde maand]]</f>
        <v>396.6</v>
      </c>
      <c r="AJ13">
        <f>Tabel2425[[#This Row],[Stand Gekoeld liter einde maand]]-Tabel2425[[#This Row],[Stand Gekoeld liter vorige maand]]</f>
        <v>132.19999999999993</v>
      </c>
      <c r="AK13" s="2">
        <f>Tabel2425[[#This Row],[Verbruik Gekoeld liter deze maand]]/0.15</f>
        <v>881.33333333333292</v>
      </c>
      <c r="AL13" s="25">
        <v>515.1</v>
      </c>
      <c r="AM13">
        <f>Tabel242[[#This Row],[Stand Bruisend liter einde maand]]</f>
        <v>388.2</v>
      </c>
      <c r="AN13">
        <f>Tabel2425[[#This Row],[Stand Bruisend liter einde maand]]-Tabel2425[[#This Row],[Stand Bruisend liter vorige maand]]</f>
        <v>126.90000000000003</v>
      </c>
      <c r="AO13" s="2">
        <f>Tabel2425[[#This Row],[Verbruik Bruisend liter deze maand]]/0.15</f>
        <v>846.00000000000023</v>
      </c>
      <c r="AP13" s="25">
        <v>436.3</v>
      </c>
      <c r="AQ13">
        <f>Tabel242[[#This Row],[Stand licht bruisend liter einde maand]]</f>
        <v>340.2</v>
      </c>
      <c r="AR13">
        <f>Tabel2425[[#This Row],[Stand licht bruisend liter einde maand]]-Tabel2425[[#This Row],[Stand licht bruisend liter vorige maand]]</f>
        <v>96.100000000000023</v>
      </c>
      <c r="AS13" s="2">
        <f>Tabel2425[[#This Row],[Verbruik licht bruisend liter deze maand]]/0.15</f>
        <v>640.66666666666686</v>
      </c>
      <c r="AT13" s="25">
        <v>1999.8</v>
      </c>
      <c r="AU13">
        <f>Tabel242[[#This Row],[Stand heet water liter einde maand]]</f>
        <v>1599.5</v>
      </c>
      <c r="AV13">
        <f>Tabel2425[[#This Row],[Stand heet water liter einde maand]]-Tabel2425[[#This Row],[Stand heet water liter vorige maand]]</f>
        <v>400.29999999999995</v>
      </c>
      <c r="AW13" s="20">
        <f>Tabel2425[[#This Row],[Verbruik heet Water liter deze maand ]]/0.15</f>
        <v>2668.6666666666665</v>
      </c>
      <c r="AX13" s="4">
        <f>Tabel2425[[#This Row],[Aantal consumpties heet water deze maand]]+Tabel2425[[#This Row],[Aantal consumpties licht bruisend water deze maand]]+Tabel2425[[#This Row],[aantal consumpties Bruisend water deze maand]]+Tabel2425[[#This Row],[Aantal consumpties gekoeld water deze maand]]+Tabel2425[[#This Row],[Aantal consumpties Kamertemp deze maand]]</f>
        <v>5160</v>
      </c>
      <c r="AY13" s="4">
        <f>Tabel2425[[#This Row],[Subtotaal waterbar in consumpties]]+Tabel2425[[#This Row],[Subtotaal koffieautomaten]]</f>
        <v>6472</v>
      </c>
    </row>
    <row r="14" spans="1:51" x14ac:dyDescent="0.25">
      <c r="A14" t="s">
        <v>52</v>
      </c>
      <c r="B14" t="s">
        <v>53</v>
      </c>
      <c r="C14" t="s">
        <v>31</v>
      </c>
      <c r="E14" s="25">
        <v>2982</v>
      </c>
      <c r="F14">
        <f>Tabel242[[#This Row],[Stand Coffee einde maand]]</f>
        <v>2305</v>
      </c>
      <c r="G14" s="12">
        <f>Tabel2425[[#This Row],[Stand Coffee einde maand]]-Tabel2425[[#This Row],[Coffee vorige maand]]</f>
        <v>677</v>
      </c>
      <c r="H14" s="25">
        <v>758</v>
      </c>
      <c r="I14">
        <f>Tabel242[[#This Row],[Stand Espresso Einde maand]]</f>
        <v>615</v>
      </c>
      <c r="J14" s="12">
        <f>Tabel2425[[#This Row],[Stand Espresso Einde maand]]-Tabel2425[[#This Row],[Espresso vorige maand]]</f>
        <v>143</v>
      </c>
      <c r="K14" s="25">
        <v>137</v>
      </c>
      <c r="L14">
        <f>Tabel242[[#This Row],[Stand Latte Macchiato einde maand]]</f>
        <v>109</v>
      </c>
      <c r="M14">
        <f>Tabel2425[[#This Row],[Stand Latte Macchiato einde maand]]-Tabel2425[[#This Row],[Latte Macchiato vorige maand]]</f>
        <v>28</v>
      </c>
      <c r="N14" s="25">
        <v>144</v>
      </c>
      <c r="O14">
        <f>Tabel242[[#This Row],[Stand Coffee Latte einde maand]]</f>
        <v>102</v>
      </c>
      <c r="P14">
        <f>Tabel2425[[#This Row],[Stand Coffee Latte einde maand]]-Tabel2425[[#This Row],[Coffee Latte vorige maand]]</f>
        <v>42</v>
      </c>
      <c r="Q14" s="25">
        <v>4361</v>
      </c>
      <c r="R14">
        <f>Tabel242[[#This Row],[Stand Hot Water einde maand]]</f>
        <v>3479</v>
      </c>
      <c r="S14">
        <f>Tabel2425[[#This Row],[Stand Hot Water einde maand]]-Tabel2425[[#This Row],[Hot Water vorige maand]]</f>
        <v>882</v>
      </c>
      <c r="T14" s="25">
        <v>1330</v>
      </c>
      <c r="U14">
        <f>Tabel242[[#This Row],[Stand Cappucino einde maand]]</f>
        <v>1043</v>
      </c>
      <c r="V14">
        <f>Tabel2425[[#This Row],[Stand Cappucino einde maand]]-Tabel2425[[#This Row],[Stand Cappucino vorige maand]]</f>
        <v>287</v>
      </c>
      <c r="W14" s="25">
        <v>470</v>
      </c>
      <c r="X14">
        <f>Tabel242[[#This Row],[Stand Cappucino Plantaardig einde maand]]</f>
        <v>375</v>
      </c>
      <c r="Y14">
        <f>Tabel2425[[#This Row],[Stand Cappucino Plantaardig einde maand]]-Tabel2425[[#This Row],[Stand Cappucino Plantaardig vorige maand]]</f>
        <v>95</v>
      </c>
      <c r="Z14" s="25">
        <v>116</v>
      </c>
      <c r="AA14">
        <f>Tabel242[[#This Row],[Stand Latte Macchiato Plantaardig einde maand]]</f>
        <v>103</v>
      </c>
      <c r="AB14" s="12">
        <f>Tabel2425[[#This Row],[Stand Latte Macchiato Plantaardig einde maand]]-Tabel2425[[#This Row],[Stand Latte Macchiato Plantaardig vorige maand]]</f>
        <v>13</v>
      </c>
      <c r="AC14" s="3">
        <f>Tabel2425[[#This Row],[Verbruik Stand Latte Macchiato Plantaardig deze maand]]+Tabel2425[[#This Row],[Verbruik  Cappucino Plantaardig deze maand]]+Tabel2425[[#This Row],[Verbruik Cappucino deze maand]]+Tabel2425[[#This Row],[Verbruik Hot Water deze maand]]+Tabel2425[[#This Row],[Verbruik Coffee Latte deze maand]]+Tabel2425[[#This Row],[Verbruik Latte Macchiato deze maand]]+Tabel2425[[#This Row],[Verbruik Espresso deze maand]]+Tabel2425[[#This Row],[Verbruik Coffee deze maand]]</f>
        <v>2167</v>
      </c>
      <c r="AD14" s="26"/>
      <c r="AE14" s="5"/>
      <c r="AF14" s="5"/>
      <c r="AG14" s="7"/>
      <c r="AH14" s="26"/>
      <c r="AI14" s="5"/>
      <c r="AJ14" s="5"/>
      <c r="AK14" s="7"/>
      <c r="AL14" s="26"/>
      <c r="AM14" s="5"/>
      <c r="AN14" s="5"/>
      <c r="AO14" s="5"/>
      <c r="AP14" s="26"/>
      <c r="AQ14" s="5"/>
      <c r="AR14" s="5"/>
      <c r="AS14" s="7"/>
      <c r="AT14" s="26"/>
      <c r="AU14" s="5"/>
      <c r="AV14" s="5"/>
      <c r="AW14" s="21"/>
      <c r="AX14" s="8"/>
      <c r="AY14" s="4">
        <f>Tabel2425[[#This Row],[Subtotaal waterbar in consumpties]]+Tabel2425[[#This Row],[Subtotaal koffieautomaten]]</f>
        <v>2167</v>
      </c>
    </row>
    <row r="15" spans="1:51" x14ac:dyDescent="0.25">
      <c r="A15" t="s">
        <v>54</v>
      </c>
      <c r="B15" t="s">
        <v>55</v>
      </c>
      <c r="C15" t="s">
        <v>36</v>
      </c>
      <c r="E15" s="36"/>
      <c r="F15" s="37"/>
      <c r="G15" s="38"/>
      <c r="H15" s="36"/>
      <c r="I15" s="37"/>
      <c r="J15" s="38"/>
      <c r="K15" s="36"/>
      <c r="L15" s="37"/>
      <c r="M15" s="37"/>
      <c r="N15" s="36"/>
      <c r="O15" s="37"/>
      <c r="P15" s="37"/>
      <c r="Q15" s="36"/>
      <c r="R15" s="37"/>
      <c r="S15" s="37"/>
      <c r="T15" s="36"/>
      <c r="U15" s="37"/>
      <c r="V15" s="37"/>
      <c r="W15" s="36"/>
      <c r="X15" s="37"/>
      <c r="Y15" s="37"/>
      <c r="Z15" s="36"/>
      <c r="AA15" s="37"/>
      <c r="AB15" s="38"/>
      <c r="AC15" s="39"/>
      <c r="AD15" s="25">
        <v>51.2</v>
      </c>
      <c r="AE15">
        <f>Tabel242[[#This Row],[Stand Kamertemp liter einde maand]]</f>
        <v>40.1</v>
      </c>
      <c r="AF15">
        <f>Tabel2425[[#This Row],[Stand Kamertemp liter einde maand]]-Tabel2425[[#This Row],[Stand Kamertemp liter vorige maand]]</f>
        <v>11.100000000000001</v>
      </c>
      <c r="AG15" s="2">
        <f>Tabel2425[[#This Row],[Verbruik Kamertemp liter deze maand]]/0.15</f>
        <v>74.000000000000014</v>
      </c>
      <c r="AH15" s="25">
        <v>251.4</v>
      </c>
      <c r="AI15">
        <f>Tabel242[[#This Row],[Stand Gekoeld liter einde maand]]</f>
        <v>196.6</v>
      </c>
      <c r="AJ15">
        <f>Tabel2425[[#This Row],[Stand Gekoeld liter einde maand]]-Tabel2425[[#This Row],[Stand Gekoeld liter vorige maand]]</f>
        <v>54.800000000000011</v>
      </c>
      <c r="AK15" s="2">
        <f>Tabel2425[[#This Row],[Verbruik Gekoeld liter deze maand]]/0.15</f>
        <v>365.33333333333343</v>
      </c>
      <c r="AL15" s="25">
        <v>364.5</v>
      </c>
      <c r="AM15">
        <f>Tabel242[[#This Row],[Stand Bruisend liter einde maand]]</f>
        <v>295.39999999999998</v>
      </c>
      <c r="AN15">
        <f>Tabel2425[[#This Row],[Stand Bruisend liter einde maand]]-Tabel2425[[#This Row],[Stand Bruisend liter vorige maand]]</f>
        <v>69.100000000000023</v>
      </c>
      <c r="AO15" s="2">
        <f>Tabel2425[[#This Row],[Verbruik Bruisend liter deze maand]]/0.15</f>
        <v>460.66666666666686</v>
      </c>
      <c r="AP15" s="25">
        <v>137.9</v>
      </c>
      <c r="AQ15">
        <f>Tabel242[[#This Row],[Stand licht bruisend liter einde maand]]</f>
        <v>109.6</v>
      </c>
      <c r="AR15">
        <f>Tabel2425[[#This Row],[Stand licht bruisend liter einde maand]]-Tabel2425[[#This Row],[Stand licht bruisend liter vorige maand]]</f>
        <v>28.300000000000011</v>
      </c>
      <c r="AS15" s="2">
        <f>Tabel2425[[#This Row],[Verbruik licht bruisend liter deze maand]]/0.15</f>
        <v>188.66666666666674</v>
      </c>
      <c r="AT15" s="25">
        <v>1213.8</v>
      </c>
      <c r="AU15">
        <f>Tabel242[[#This Row],[Stand heet water liter einde maand]]</f>
        <v>1000.5</v>
      </c>
      <c r="AV15">
        <f>Tabel2425[[#This Row],[Stand heet water liter einde maand]]-Tabel2425[[#This Row],[Stand heet water liter vorige maand]]</f>
        <v>213.29999999999995</v>
      </c>
      <c r="AW15" s="20">
        <f>Tabel2425[[#This Row],[Verbruik heet Water liter deze maand ]]/0.15</f>
        <v>1421.9999999999998</v>
      </c>
      <c r="AX15" s="4">
        <f>Tabel2425[[#This Row],[Aantal consumpties heet water deze maand]]+Tabel2425[[#This Row],[Aantal consumpties licht bruisend water deze maand]]+Tabel2425[[#This Row],[aantal consumpties Bruisend water deze maand]]+Tabel2425[[#This Row],[Aantal consumpties gekoeld water deze maand]]+Tabel2425[[#This Row],[Aantal consumpties Kamertemp deze maand]]</f>
        <v>2510.666666666667</v>
      </c>
      <c r="AY15" s="4">
        <f>Tabel2425[[#This Row],[Subtotaal waterbar in consumpties]]+Tabel2425[[#This Row],[Subtotaal koffieautomaten]]</f>
        <v>2510.666666666667</v>
      </c>
    </row>
    <row r="16" spans="1:51" x14ac:dyDescent="0.25">
      <c r="A16" t="s">
        <v>56</v>
      </c>
      <c r="B16" t="s">
        <v>57</v>
      </c>
      <c r="C16" t="s">
        <v>31</v>
      </c>
      <c r="E16" s="25">
        <v>3874</v>
      </c>
      <c r="F16">
        <f>Tabel242[[#This Row],[Stand Coffee einde maand]]</f>
        <v>3046</v>
      </c>
      <c r="G16" s="12">
        <f>Tabel2425[[#This Row],[Stand Coffee einde maand]]-Tabel2425[[#This Row],[Coffee vorige maand]]</f>
        <v>828</v>
      </c>
      <c r="H16" s="25">
        <v>913</v>
      </c>
      <c r="I16">
        <f>Tabel242[[#This Row],[Stand Espresso Einde maand]]</f>
        <v>700</v>
      </c>
      <c r="J16" s="12">
        <f>Tabel2425[[#This Row],[Stand Espresso Einde maand]]-Tabel2425[[#This Row],[Espresso vorige maand]]</f>
        <v>213</v>
      </c>
      <c r="K16" s="25">
        <v>125</v>
      </c>
      <c r="L16">
        <f>Tabel242[[#This Row],[Stand Latte Macchiato einde maand]]</f>
        <v>105</v>
      </c>
      <c r="M16">
        <f>Tabel2425[[#This Row],[Stand Latte Macchiato einde maand]]-Tabel2425[[#This Row],[Latte Macchiato vorige maand]]</f>
        <v>20</v>
      </c>
      <c r="N16" s="25">
        <v>259</v>
      </c>
      <c r="O16">
        <f>Tabel242[[#This Row],[Stand Coffee Latte einde maand]]</f>
        <v>187</v>
      </c>
      <c r="P16">
        <f>Tabel2425[[#This Row],[Stand Coffee Latte einde maand]]-Tabel2425[[#This Row],[Coffee Latte vorige maand]]</f>
        <v>72</v>
      </c>
      <c r="Q16" s="25">
        <v>5681</v>
      </c>
      <c r="R16">
        <f>Tabel242[[#This Row],[Stand Hot Water einde maand]]</f>
        <v>4461</v>
      </c>
      <c r="S16">
        <f>Tabel2425[[#This Row],[Stand Hot Water einde maand]]-Tabel2425[[#This Row],[Hot Water vorige maand]]</f>
        <v>1220</v>
      </c>
      <c r="T16" s="25">
        <v>1931</v>
      </c>
      <c r="U16">
        <f>Tabel242[[#This Row],[Stand Cappucino einde maand]]</f>
        <v>1509</v>
      </c>
      <c r="V16">
        <f>Tabel2425[[#This Row],[Stand Cappucino einde maand]]-Tabel2425[[#This Row],[Stand Cappucino vorige maand]]</f>
        <v>422</v>
      </c>
      <c r="W16" s="25">
        <v>662</v>
      </c>
      <c r="X16">
        <f>Tabel242[[#This Row],[Stand Cappucino Plantaardig einde maand]]</f>
        <v>533</v>
      </c>
      <c r="Y16">
        <f>Tabel2425[[#This Row],[Stand Cappucino Plantaardig einde maand]]-Tabel2425[[#This Row],[Stand Cappucino Plantaardig vorige maand]]</f>
        <v>129</v>
      </c>
      <c r="Z16" s="25">
        <v>205</v>
      </c>
      <c r="AA16">
        <f>Tabel242[[#This Row],[Stand Latte Macchiato Plantaardig einde maand]]</f>
        <v>177</v>
      </c>
      <c r="AB16" s="12">
        <f>Tabel2425[[#This Row],[Stand Latte Macchiato Plantaardig einde maand]]-Tabel2425[[#This Row],[Stand Latte Macchiato Plantaardig vorige maand]]</f>
        <v>28</v>
      </c>
      <c r="AC16" s="3">
        <f>Tabel2425[[#This Row],[Verbruik Stand Latte Macchiato Plantaardig deze maand]]+Tabel2425[[#This Row],[Verbruik  Cappucino Plantaardig deze maand]]+Tabel2425[[#This Row],[Verbruik Cappucino deze maand]]+Tabel2425[[#This Row],[Verbruik Hot Water deze maand]]+Tabel2425[[#This Row],[Verbruik Coffee Latte deze maand]]+Tabel2425[[#This Row],[Verbruik Latte Macchiato deze maand]]+Tabel2425[[#This Row],[Verbruik Espresso deze maand]]+Tabel2425[[#This Row],[Verbruik Coffee deze maand]]</f>
        <v>2932</v>
      </c>
      <c r="AD16" s="26"/>
      <c r="AE16" s="5"/>
      <c r="AF16" s="5"/>
      <c r="AG16" s="7"/>
      <c r="AH16" s="26"/>
      <c r="AI16" s="5"/>
      <c r="AJ16" s="5"/>
      <c r="AK16" s="7"/>
      <c r="AL16" s="26"/>
      <c r="AM16" s="5"/>
      <c r="AN16" s="5"/>
      <c r="AO16" s="5"/>
      <c r="AP16" s="26"/>
      <c r="AQ16" s="5"/>
      <c r="AR16" s="5"/>
      <c r="AS16" s="7"/>
      <c r="AT16" s="26"/>
      <c r="AU16" s="5"/>
      <c r="AV16" s="5"/>
      <c r="AW16" s="21"/>
      <c r="AX16" s="8"/>
      <c r="AY16" s="4">
        <f>Tabel2425[[#This Row],[Subtotaal waterbar in consumpties]]+Tabel2425[[#This Row],[Subtotaal koffieautomaten]]</f>
        <v>2932</v>
      </c>
    </row>
    <row r="17" spans="1:51" x14ac:dyDescent="0.25">
      <c r="A17" t="s">
        <v>58</v>
      </c>
      <c r="B17" t="s">
        <v>59</v>
      </c>
      <c r="C17" t="s">
        <v>47</v>
      </c>
      <c r="E17" s="25">
        <v>3165</v>
      </c>
      <c r="F17">
        <f>Tabel242[[#This Row],[Stand Coffee einde maand]]</f>
        <v>2478</v>
      </c>
      <c r="G17" s="12">
        <f>Tabel2425[[#This Row],[Stand Coffee einde maand]]-Tabel2425[[#This Row],[Coffee vorige maand]]</f>
        <v>687</v>
      </c>
      <c r="H17" s="25">
        <v>571</v>
      </c>
      <c r="I17">
        <f>Tabel242[[#This Row],[Stand Espresso Einde maand]]</f>
        <v>421</v>
      </c>
      <c r="J17" s="12">
        <f>Tabel2425[[#This Row],[Stand Espresso Einde maand]]-Tabel2425[[#This Row],[Espresso vorige maand]]</f>
        <v>150</v>
      </c>
      <c r="K17" s="25">
        <v>278</v>
      </c>
      <c r="L17">
        <f>Tabel242[[#This Row],[Stand Latte Macchiato einde maand]]</f>
        <v>227</v>
      </c>
      <c r="M17">
        <f>Tabel2425[[#This Row],[Stand Latte Macchiato einde maand]]-Tabel2425[[#This Row],[Latte Macchiato vorige maand]]</f>
        <v>51</v>
      </c>
      <c r="N17" s="25">
        <v>118</v>
      </c>
      <c r="O17">
        <f>Tabel242[[#This Row],[Stand Coffee Latte einde maand]]</f>
        <v>92</v>
      </c>
      <c r="P17">
        <f>Tabel2425[[#This Row],[Stand Coffee Latte einde maand]]-Tabel2425[[#This Row],[Coffee Latte vorige maand]]</f>
        <v>26</v>
      </c>
      <c r="Q17" s="25">
        <v>1</v>
      </c>
      <c r="R17">
        <f>Tabel242[[#This Row],[Stand Hot Water einde maand]]</f>
        <v>0</v>
      </c>
      <c r="S17">
        <f>Tabel2425[[#This Row],[Stand Hot Water einde maand]]-Tabel2425[[#This Row],[Hot Water vorige maand]]</f>
        <v>1</v>
      </c>
      <c r="T17" s="25">
        <v>1291</v>
      </c>
      <c r="U17">
        <f>Tabel242[[#This Row],[Stand Cappucino einde maand]]</f>
        <v>1014</v>
      </c>
      <c r="V17">
        <f>Tabel2425[[#This Row],[Stand Cappucino einde maand]]-Tabel2425[[#This Row],[Stand Cappucino vorige maand]]</f>
        <v>277</v>
      </c>
      <c r="W17" s="25">
        <v>892</v>
      </c>
      <c r="X17">
        <f>Tabel242[[#This Row],[Stand Cappucino Plantaardig einde maand]]</f>
        <v>740</v>
      </c>
      <c r="Y17">
        <f>Tabel2425[[#This Row],[Stand Cappucino Plantaardig einde maand]]-Tabel2425[[#This Row],[Stand Cappucino Plantaardig vorige maand]]</f>
        <v>152</v>
      </c>
      <c r="Z17" s="25">
        <v>99</v>
      </c>
      <c r="AA17">
        <f>Tabel242[[#This Row],[Stand Latte Macchiato Plantaardig einde maand]]</f>
        <v>63</v>
      </c>
      <c r="AB17" s="12">
        <f>Tabel2425[[#This Row],[Stand Latte Macchiato Plantaardig einde maand]]-Tabel2425[[#This Row],[Stand Latte Macchiato Plantaardig vorige maand]]</f>
        <v>36</v>
      </c>
      <c r="AC17" s="3">
        <f>Tabel2425[[#This Row],[Verbruik Stand Latte Macchiato Plantaardig deze maand]]+Tabel2425[[#This Row],[Verbruik  Cappucino Plantaardig deze maand]]+Tabel2425[[#This Row],[Verbruik Cappucino deze maand]]+Tabel2425[[#This Row],[Verbruik Hot Water deze maand]]+Tabel2425[[#This Row],[Verbruik Coffee Latte deze maand]]+Tabel2425[[#This Row],[Verbruik Latte Macchiato deze maand]]+Tabel2425[[#This Row],[Verbruik Espresso deze maand]]+Tabel2425[[#This Row],[Verbruik Coffee deze maand]]</f>
        <v>1380</v>
      </c>
      <c r="AD17" s="25">
        <v>112.5</v>
      </c>
      <c r="AE17">
        <f>Tabel242[[#This Row],[Stand Kamertemp liter einde maand]]</f>
        <v>98.6</v>
      </c>
      <c r="AF17">
        <f>Tabel2425[[#This Row],[Stand Kamertemp liter einde maand]]-Tabel2425[[#This Row],[Stand Kamertemp liter vorige maand]]</f>
        <v>13.900000000000006</v>
      </c>
      <c r="AG17" s="2">
        <f>Tabel2425[[#This Row],[Verbruik Kamertemp liter deze maand]]/0.15</f>
        <v>92.666666666666714</v>
      </c>
      <c r="AH17" s="25">
        <v>455.3</v>
      </c>
      <c r="AI17">
        <f>Tabel242[[#This Row],[Stand Gekoeld liter einde maand]]</f>
        <v>359.9</v>
      </c>
      <c r="AJ17">
        <f>Tabel2425[[#This Row],[Stand Gekoeld liter einde maand]]-Tabel2425[[#This Row],[Stand Gekoeld liter vorige maand]]</f>
        <v>95.400000000000034</v>
      </c>
      <c r="AK17" s="2">
        <f>Tabel2425[[#This Row],[Verbruik Gekoeld liter deze maand]]/0.15</f>
        <v>636.00000000000023</v>
      </c>
      <c r="AL17" s="25">
        <v>536.20000000000005</v>
      </c>
      <c r="AM17">
        <f>Tabel242[[#This Row],[Stand Bruisend liter einde maand]]</f>
        <v>422.2</v>
      </c>
      <c r="AN17">
        <f>Tabel2425[[#This Row],[Stand Bruisend liter einde maand]]-Tabel2425[[#This Row],[Stand Bruisend liter vorige maand]]</f>
        <v>114.00000000000006</v>
      </c>
      <c r="AO17" s="2">
        <f>Tabel2425[[#This Row],[Verbruik Bruisend liter deze maand]]/0.15</f>
        <v>760.00000000000045</v>
      </c>
      <c r="AP17" s="25">
        <v>173.9</v>
      </c>
      <c r="AQ17">
        <f>Tabel242[[#This Row],[Stand licht bruisend liter einde maand]]</f>
        <v>144.30000000000001</v>
      </c>
      <c r="AR17">
        <f>Tabel2425[[#This Row],[Stand licht bruisend liter einde maand]]-Tabel2425[[#This Row],[Stand licht bruisend liter vorige maand]]</f>
        <v>29.599999999999994</v>
      </c>
      <c r="AS17" s="2">
        <f>Tabel2425[[#This Row],[Verbruik licht bruisend liter deze maand]]/0.15</f>
        <v>197.33333333333331</v>
      </c>
      <c r="AT17" s="25">
        <v>1488.2</v>
      </c>
      <c r="AU17">
        <f>Tabel242[[#This Row],[Stand heet water liter einde maand]]</f>
        <v>1224.4000000000001</v>
      </c>
      <c r="AV17">
        <f>Tabel2425[[#This Row],[Stand heet water liter einde maand]]-Tabel2425[[#This Row],[Stand heet water liter vorige maand]]</f>
        <v>263.79999999999995</v>
      </c>
      <c r="AW17" s="20">
        <f>Tabel2425[[#This Row],[Verbruik heet Water liter deze maand ]]/0.15</f>
        <v>1758.6666666666665</v>
      </c>
      <c r="AX17" s="4">
        <f>Tabel2425[[#This Row],[Aantal consumpties heet water deze maand]]+Tabel2425[[#This Row],[Aantal consumpties licht bruisend water deze maand]]+Tabel2425[[#This Row],[aantal consumpties Bruisend water deze maand]]+Tabel2425[[#This Row],[Aantal consumpties gekoeld water deze maand]]+Tabel2425[[#This Row],[Aantal consumpties Kamertemp deze maand]]</f>
        <v>3444.6666666666665</v>
      </c>
      <c r="AY17" s="4">
        <f>Tabel2425[[#This Row],[Subtotaal waterbar in consumpties]]+Tabel2425[[#This Row],[Subtotaal koffieautomaten]]</f>
        <v>4824.6666666666661</v>
      </c>
    </row>
    <row r="18" spans="1:51" x14ac:dyDescent="0.25">
      <c r="A18" t="s">
        <v>60</v>
      </c>
      <c r="B18" t="s">
        <v>61</v>
      </c>
      <c r="C18" t="s">
        <v>31</v>
      </c>
      <c r="E18" s="25">
        <v>2512</v>
      </c>
      <c r="F18">
        <f>Tabel242[[#This Row],[Stand Coffee einde maand]]</f>
        <v>2413</v>
      </c>
      <c r="G18" s="12">
        <f>Tabel2425[[#This Row],[Stand Coffee einde maand]]-Tabel2425[[#This Row],[Coffee vorige maand]]</f>
        <v>99</v>
      </c>
      <c r="H18" s="25">
        <v>521</v>
      </c>
      <c r="I18">
        <f>Tabel242[[#This Row],[Stand Espresso Einde maand]]</f>
        <v>437</v>
      </c>
      <c r="J18" s="12">
        <f>Tabel2425[[#This Row],[Stand Espresso Einde maand]]-Tabel2425[[#This Row],[Espresso vorige maand]]</f>
        <v>84</v>
      </c>
      <c r="K18" s="25">
        <v>227</v>
      </c>
      <c r="L18">
        <f>Tabel242[[#This Row],[Stand Latte Macchiato einde maand]]</f>
        <v>207</v>
      </c>
      <c r="M18">
        <f>Tabel2425[[#This Row],[Stand Latte Macchiato einde maand]]-Tabel2425[[#This Row],[Latte Macchiato vorige maand]]</f>
        <v>20</v>
      </c>
      <c r="N18" s="25">
        <v>102</v>
      </c>
      <c r="O18">
        <f>Tabel242[[#This Row],[Stand Coffee Latte einde maand]]</f>
        <v>81</v>
      </c>
      <c r="P18">
        <f>Tabel2425[[#This Row],[Stand Coffee Latte einde maand]]-Tabel2425[[#This Row],[Coffee Latte vorige maand]]</f>
        <v>21</v>
      </c>
      <c r="Q18" s="25">
        <v>5343</v>
      </c>
      <c r="R18">
        <f>Tabel242[[#This Row],[Stand Hot Water einde maand]]</f>
        <v>4280</v>
      </c>
      <c r="S18">
        <f>Tabel2425[[#This Row],[Stand Hot Water einde maand]]-Tabel2425[[#This Row],[Hot Water vorige maand]]</f>
        <v>1063</v>
      </c>
      <c r="T18" s="25">
        <v>1799</v>
      </c>
      <c r="U18">
        <f>Tabel242[[#This Row],[Stand Cappucino einde maand]]</f>
        <v>1412</v>
      </c>
      <c r="V18">
        <f>Tabel2425[[#This Row],[Stand Cappucino einde maand]]-Tabel2425[[#This Row],[Stand Cappucino vorige maand]]</f>
        <v>387</v>
      </c>
      <c r="W18" s="25">
        <v>402</v>
      </c>
      <c r="X18">
        <f>Tabel242[[#This Row],[Stand Cappucino Plantaardig einde maand]]</f>
        <v>338</v>
      </c>
      <c r="Y18">
        <f>Tabel2425[[#This Row],[Stand Cappucino Plantaardig einde maand]]-Tabel2425[[#This Row],[Stand Cappucino Plantaardig vorige maand]]</f>
        <v>64</v>
      </c>
      <c r="Z18" s="25">
        <v>128</v>
      </c>
      <c r="AA18">
        <f>Tabel242[[#This Row],[Stand Latte Macchiato Plantaardig einde maand]]</f>
        <v>99</v>
      </c>
      <c r="AB18" s="12">
        <f>Tabel2425[[#This Row],[Stand Latte Macchiato Plantaardig einde maand]]-Tabel2425[[#This Row],[Stand Latte Macchiato Plantaardig vorige maand]]</f>
        <v>29</v>
      </c>
      <c r="AC18" s="3">
        <f>Tabel2425[[#This Row],[Verbruik Stand Latte Macchiato Plantaardig deze maand]]+Tabel2425[[#This Row],[Verbruik  Cappucino Plantaardig deze maand]]+Tabel2425[[#This Row],[Verbruik Cappucino deze maand]]+Tabel2425[[#This Row],[Verbruik Hot Water deze maand]]+Tabel2425[[#This Row],[Verbruik Coffee Latte deze maand]]+Tabel2425[[#This Row],[Verbruik Latte Macchiato deze maand]]+Tabel2425[[#This Row],[Verbruik Espresso deze maand]]+Tabel2425[[#This Row],[Verbruik Coffee deze maand]]</f>
        <v>1767</v>
      </c>
      <c r="AD18" s="26"/>
      <c r="AE18" s="5"/>
      <c r="AF18" s="5"/>
      <c r="AG18" s="7"/>
      <c r="AH18" s="26"/>
      <c r="AI18" s="5"/>
      <c r="AJ18" s="5"/>
      <c r="AK18" s="7"/>
      <c r="AL18" s="26"/>
      <c r="AM18" s="5"/>
      <c r="AN18" s="5"/>
      <c r="AO18" s="5"/>
      <c r="AP18" s="26"/>
      <c r="AQ18" s="5"/>
      <c r="AR18" s="5"/>
      <c r="AS18" s="7"/>
      <c r="AT18" s="26"/>
      <c r="AU18" s="5"/>
      <c r="AV18" s="5"/>
      <c r="AW18" s="21"/>
      <c r="AX18" s="8"/>
      <c r="AY18" s="4">
        <f>Tabel2425[[#This Row],[Subtotaal waterbar in consumpties]]+Tabel2425[[#This Row],[Subtotaal koffieautomaten]]</f>
        <v>1767</v>
      </c>
    </row>
    <row r="19" spans="1:51" x14ac:dyDescent="0.25">
      <c r="A19" t="s">
        <v>62</v>
      </c>
      <c r="B19" t="s">
        <v>63</v>
      </c>
      <c r="C19" t="s">
        <v>36</v>
      </c>
      <c r="E19" s="36"/>
      <c r="F19" s="37"/>
      <c r="G19" s="38"/>
      <c r="H19" s="36"/>
      <c r="I19" s="37"/>
      <c r="J19" s="38"/>
      <c r="K19" s="36"/>
      <c r="L19" s="37"/>
      <c r="M19" s="37"/>
      <c r="N19" s="36"/>
      <c r="O19" s="37"/>
      <c r="P19" s="37"/>
      <c r="Q19" s="36"/>
      <c r="R19" s="37"/>
      <c r="S19" s="37"/>
      <c r="T19" s="36"/>
      <c r="U19" s="37"/>
      <c r="V19" s="37"/>
      <c r="W19" s="36"/>
      <c r="X19" s="37"/>
      <c r="Y19" s="37"/>
      <c r="Z19" s="36"/>
      <c r="AA19" s="37"/>
      <c r="AB19" s="38"/>
      <c r="AC19" s="39"/>
      <c r="AD19" s="25">
        <v>36.200000000000003</v>
      </c>
      <c r="AE19">
        <f>Tabel242[[#This Row],[Stand Kamertemp liter einde maand]]</f>
        <v>29.7</v>
      </c>
      <c r="AF19">
        <f>Tabel2425[[#This Row],[Stand Kamertemp liter einde maand]]-Tabel2425[[#This Row],[Stand Kamertemp liter vorige maand]]</f>
        <v>6.5000000000000036</v>
      </c>
      <c r="AG19" s="2">
        <f>Tabel2425[[#This Row],[Verbruik Kamertemp liter deze maand]]/0.15</f>
        <v>43.333333333333357</v>
      </c>
      <c r="AH19" s="25">
        <v>197.5</v>
      </c>
      <c r="AI19">
        <f>Tabel242[[#This Row],[Stand Gekoeld liter einde maand]]</f>
        <v>141.19999999999999</v>
      </c>
      <c r="AJ19">
        <f>Tabel2425[[#This Row],[Stand Gekoeld liter einde maand]]-Tabel2425[[#This Row],[Stand Gekoeld liter vorige maand]]</f>
        <v>56.300000000000011</v>
      </c>
      <c r="AK19" s="2">
        <f>Tabel2425[[#This Row],[Verbruik Gekoeld liter deze maand]]/0.15</f>
        <v>375.33333333333343</v>
      </c>
      <c r="AL19" s="25">
        <v>302.5</v>
      </c>
      <c r="AM19">
        <f>Tabel242[[#This Row],[Stand Bruisend liter einde maand]]</f>
        <v>239.5</v>
      </c>
      <c r="AN19">
        <f>Tabel2425[[#This Row],[Stand Bruisend liter einde maand]]-Tabel2425[[#This Row],[Stand Bruisend liter vorige maand]]</f>
        <v>63</v>
      </c>
      <c r="AO19" s="2">
        <f>Tabel2425[[#This Row],[Verbruik Bruisend liter deze maand]]/0.15</f>
        <v>420</v>
      </c>
      <c r="AP19" s="25">
        <v>63.6</v>
      </c>
      <c r="AQ19">
        <f>Tabel242[[#This Row],[Stand licht bruisend liter einde maand]]</f>
        <v>154.5</v>
      </c>
      <c r="AR19">
        <f>Tabel2425[[#This Row],[Stand licht bruisend liter einde maand]]-Tabel2425[[#This Row],[Stand licht bruisend liter vorige maand]]</f>
        <v>-90.9</v>
      </c>
      <c r="AS19" s="2">
        <f>Tabel2425[[#This Row],[Verbruik licht bruisend liter deze maand]]/0.15</f>
        <v>-606.00000000000011</v>
      </c>
      <c r="AT19" s="25">
        <v>244.6</v>
      </c>
      <c r="AU19">
        <f>Tabel242[[#This Row],[Stand heet water liter einde maand]]</f>
        <v>612.70000000000005</v>
      </c>
      <c r="AV19">
        <f>Tabel2425[[#This Row],[Stand heet water liter einde maand]]-Tabel2425[[#This Row],[Stand heet water liter vorige maand]]</f>
        <v>-368.1</v>
      </c>
      <c r="AW19" s="20">
        <f>Tabel2425[[#This Row],[Verbruik heet Water liter deze maand ]]/0.15</f>
        <v>-2454.0000000000005</v>
      </c>
      <c r="AX19" s="4">
        <f>Tabel2425[[#This Row],[Aantal consumpties heet water deze maand]]+Tabel2425[[#This Row],[Aantal consumpties licht bruisend water deze maand]]+Tabel2425[[#This Row],[aantal consumpties Bruisend water deze maand]]+Tabel2425[[#This Row],[Aantal consumpties gekoeld water deze maand]]+Tabel2425[[#This Row],[Aantal consumpties Kamertemp deze maand]]</f>
        <v>-2221.3333333333335</v>
      </c>
      <c r="AY19" s="4">
        <f>Tabel2425[[#This Row],[Subtotaal waterbar in consumpties]]+Tabel2425[[#This Row],[Subtotaal koffieautomaten]]</f>
        <v>-2221.3333333333335</v>
      </c>
    </row>
    <row r="20" spans="1:51" x14ac:dyDescent="0.25">
      <c r="A20" t="s">
        <v>64</v>
      </c>
      <c r="B20" t="s">
        <v>65</v>
      </c>
      <c r="C20" t="s">
        <v>31</v>
      </c>
      <c r="E20" s="25">
        <v>2883</v>
      </c>
      <c r="F20">
        <f>Tabel242[[#This Row],[Stand Coffee einde maand]]</f>
        <v>2306</v>
      </c>
      <c r="G20" s="12">
        <f>Tabel2425[[#This Row],[Stand Coffee einde maand]]-Tabel2425[[#This Row],[Coffee vorige maand]]</f>
        <v>577</v>
      </c>
      <c r="H20" s="25">
        <v>932</v>
      </c>
      <c r="I20">
        <f>Tabel242[[#This Row],[Stand Espresso Einde maand]]</f>
        <v>748</v>
      </c>
      <c r="J20" s="12">
        <f>Tabel2425[[#This Row],[Stand Espresso Einde maand]]-Tabel2425[[#This Row],[Espresso vorige maand]]</f>
        <v>184</v>
      </c>
      <c r="K20" s="25">
        <v>386</v>
      </c>
      <c r="L20">
        <f>Tabel242[[#This Row],[Stand Latte Macchiato einde maand]]</f>
        <v>316</v>
      </c>
      <c r="M20">
        <f>Tabel2425[[#This Row],[Stand Latte Macchiato einde maand]]-Tabel2425[[#This Row],[Latte Macchiato vorige maand]]</f>
        <v>70</v>
      </c>
      <c r="N20" s="25">
        <v>163</v>
      </c>
      <c r="O20">
        <f>Tabel242[[#This Row],[Stand Coffee Latte einde maand]]</f>
        <v>140</v>
      </c>
      <c r="P20">
        <f>Tabel2425[[#This Row],[Stand Coffee Latte einde maand]]-Tabel2425[[#This Row],[Coffee Latte vorige maand]]</f>
        <v>23</v>
      </c>
      <c r="Q20" s="25">
        <v>6349</v>
      </c>
      <c r="R20">
        <f>Tabel242[[#This Row],[Stand Hot Water einde maand]]</f>
        <v>5169</v>
      </c>
      <c r="S20">
        <f>Tabel2425[[#This Row],[Stand Hot Water einde maand]]-Tabel2425[[#This Row],[Hot Water vorige maand]]</f>
        <v>1180</v>
      </c>
      <c r="T20" s="25">
        <v>1884</v>
      </c>
      <c r="U20">
        <f>Tabel242[[#This Row],[Stand Cappucino einde maand]]</f>
        <v>1462</v>
      </c>
      <c r="V20">
        <f>Tabel2425[[#This Row],[Stand Cappucino einde maand]]-Tabel2425[[#This Row],[Stand Cappucino vorige maand]]</f>
        <v>422</v>
      </c>
      <c r="W20" s="25">
        <v>470</v>
      </c>
      <c r="X20">
        <f>Tabel242[[#This Row],[Stand Cappucino Plantaardig einde maand]]</f>
        <v>393</v>
      </c>
      <c r="Y20">
        <f>Tabel2425[[#This Row],[Stand Cappucino Plantaardig einde maand]]-Tabel2425[[#This Row],[Stand Cappucino Plantaardig vorige maand]]</f>
        <v>77</v>
      </c>
      <c r="Z20" s="25">
        <v>99</v>
      </c>
      <c r="AA20">
        <f>Tabel242[[#This Row],[Stand Latte Macchiato Plantaardig einde maand]]</f>
        <v>91</v>
      </c>
      <c r="AB20" s="12">
        <f>Tabel2425[[#This Row],[Stand Latte Macchiato Plantaardig einde maand]]-Tabel2425[[#This Row],[Stand Latte Macchiato Plantaardig vorige maand]]</f>
        <v>8</v>
      </c>
      <c r="AC20" s="3">
        <f>Tabel2425[[#This Row],[Verbruik Stand Latte Macchiato Plantaardig deze maand]]+Tabel2425[[#This Row],[Verbruik  Cappucino Plantaardig deze maand]]+Tabel2425[[#This Row],[Verbruik Cappucino deze maand]]+Tabel2425[[#This Row],[Verbruik Hot Water deze maand]]+Tabel2425[[#This Row],[Verbruik Coffee Latte deze maand]]+Tabel2425[[#This Row],[Verbruik Latte Macchiato deze maand]]+Tabel2425[[#This Row],[Verbruik Espresso deze maand]]+Tabel2425[[#This Row],[Verbruik Coffee deze maand]]</f>
        <v>2541</v>
      </c>
      <c r="AD20" s="26"/>
      <c r="AE20" s="5"/>
      <c r="AF20" s="5"/>
      <c r="AG20" s="7"/>
      <c r="AH20" s="26"/>
      <c r="AI20" s="5"/>
      <c r="AJ20" s="5"/>
      <c r="AK20" s="7"/>
      <c r="AL20" s="26"/>
      <c r="AM20" s="5"/>
      <c r="AN20" s="5"/>
      <c r="AO20" s="5"/>
      <c r="AP20" s="26"/>
      <c r="AQ20" s="5"/>
      <c r="AR20" s="5"/>
      <c r="AS20" s="7"/>
      <c r="AT20" s="26"/>
      <c r="AU20" s="5"/>
      <c r="AV20" s="5"/>
      <c r="AW20" s="21"/>
      <c r="AX20" s="8"/>
      <c r="AY20" s="4">
        <f>Tabel2425[[#This Row],[Subtotaal waterbar in consumpties]]+Tabel2425[[#This Row],[Subtotaal koffieautomaten]]</f>
        <v>2541</v>
      </c>
    </row>
    <row r="21" spans="1:51" x14ac:dyDescent="0.25">
      <c r="A21" t="s">
        <v>66</v>
      </c>
      <c r="B21" t="s">
        <v>67</v>
      </c>
      <c r="C21" t="s">
        <v>31</v>
      </c>
      <c r="E21" s="25">
        <v>4043</v>
      </c>
      <c r="F21">
        <f>Tabel242[[#This Row],[Stand Coffee einde maand]]</f>
        <v>3261</v>
      </c>
      <c r="G21" s="12">
        <f>Tabel2425[[#This Row],[Stand Coffee einde maand]]-Tabel2425[[#This Row],[Coffee vorige maand]]</f>
        <v>782</v>
      </c>
      <c r="H21" s="25">
        <v>628</v>
      </c>
      <c r="I21">
        <f>Tabel242[[#This Row],[Stand Espresso Einde maand]]</f>
        <v>525</v>
      </c>
      <c r="J21" s="12">
        <f>Tabel2425[[#This Row],[Stand Espresso Einde maand]]-Tabel2425[[#This Row],[Espresso vorige maand]]</f>
        <v>103</v>
      </c>
      <c r="K21" s="25">
        <v>468</v>
      </c>
      <c r="L21">
        <f>Tabel242[[#This Row],[Stand Latte Macchiato einde maand]]</f>
        <v>388</v>
      </c>
      <c r="M21">
        <f>Tabel2425[[#This Row],[Stand Latte Macchiato einde maand]]-Tabel2425[[#This Row],[Latte Macchiato vorige maand]]</f>
        <v>80</v>
      </c>
      <c r="N21" s="25">
        <v>113</v>
      </c>
      <c r="O21">
        <f>Tabel242[[#This Row],[Stand Coffee Latte einde maand]]</f>
        <v>74</v>
      </c>
      <c r="P21">
        <f>Tabel2425[[#This Row],[Stand Coffee Latte einde maand]]-Tabel2425[[#This Row],[Coffee Latte vorige maand]]</f>
        <v>39</v>
      </c>
      <c r="Q21" s="25">
        <v>6462</v>
      </c>
      <c r="R21">
        <f>Tabel242[[#This Row],[Stand Hot Water einde maand]]</f>
        <v>5134</v>
      </c>
      <c r="S21">
        <f>Tabel2425[[#This Row],[Stand Hot Water einde maand]]-Tabel2425[[#This Row],[Hot Water vorige maand]]</f>
        <v>1328</v>
      </c>
      <c r="T21" s="25">
        <v>1822</v>
      </c>
      <c r="U21">
        <f>Tabel242[[#This Row],[Stand Cappucino einde maand]]</f>
        <v>1401</v>
      </c>
      <c r="V21">
        <f>Tabel2425[[#This Row],[Stand Cappucino einde maand]]-Tabel2425[[#This Row],[Stand Cappucino vorige maand]]</f>
        <v>421</v>
      </c>
      <c r="W21" s="25">
        <v>716</v>
      </c>
      <c r="X21">
        <f>Tabel242[[#This Row],[Stand Cappucino Plantaardig einde maand]]</f>
        <v>590</v>
      </c>
      <c r="Y21">
        <f>Tabel2425[[#This Row],[Stand Cappucino Plantaardig einde maand]]-Tabel2425[[#This Row],[Stand Cappucino Plantaardig vorige maand]]</f>
        <v>126</v>
      </c>
      <c r="Z21" s="25">
        <v>235</v>
      </c>
      <c r="AA21">
        <f>Tabel242[[#This Row],[Stand Latte Macchiato Plantaardig einde maand]]</f>
        <v>197</v>
      </c>
      <c r="AB21" s="12">
        <f>Tabel2425[[#This Row],[Stand Latte Macchiato Plantaardig einde maand]]-Tabel2425[[#This Row],[Stand Latte Macchiato Plantaardig vorige maand]]</f>
        <v>38</v>
      </c>
      <c r="AC21" s="3">
        <f>Tabel2425[[#This Row],[Verbruik Stand Latte Macchiato Plantaardig deze maand]]+Tabel2425[[#This Row],[Verbruik  Cappucino Plantaardig deze maand]]+Tabel2425[[#This Row],[Verbruik Cappucino deze maand]]+Tabel2425[[#This Row],[Verbruik Hot Water deze maand]]+Tabel2425[[#This Row],[Verbruik Coffee Latte deze maand]]+Tabel2425[[#This Row],[Verbruik Latte Macchiato deze maand]]+Tabel2425[[#This Row],[Verbruik Espresso deze maand]]+Tabel2425[[#This Row],[Verbruik Coffee deze maand]]</f>
        <v>2917</v>
      </c>
      <c r="AD21" s="26"/>
      <c r="AE21" s="5"/>
      <c r="AF21" s="5"/>
      <c r="AG21" s="7"/>
      <c r="AH21" s="26"/>
      <c r="AI21" s="5"/>
      <c r="AJ21" s="5"/>
      <c r="AK21" s="7"/>
      <c r="AL21" s="26"/>
      <c r="AM21" s="5"/>
      <c r="AN21" s="5"/>
      <c r="AO21" s="5"/>
      <c r="AP21" s="26"/>
      <c r="AQ21" s="5"/>
      <c r="AR21" s="5"/>
      <c r="AS21" s="7"/>
      <c r="AT21" s="26"/>
      <c r="AU21" s="5"/>
      <c r="AV21" s="5"/>
      <c r="AW21" s="21"/>
      <c r="AX21" s="8"/>
      <c r="AY21" s="4">
        <f>Tabel2425[[#This Row],[Subtotaal waterbar in consumpties]]+Tabel2425[[#This Row],[Subtotaal koffieautomaten]]</f>
        <v>2917</v>
      </c>
    </row>
    <row r="22" spans="1:51" x14ac:dyDescent="0.25">
      <c r="A22" t="s">
        <v>68</v>
      </c>
      <c r="B22" t="s">
        <v>69</v>
      </c>
      <c r="C22" t="s">
        <v>47</v>
      </c>
      <c r="E22" s="25">
        <v>1848</v>
      </c>
      <c r="F22">
        <f>Tabel242[[#This Row],[Stand Coffee einde maand]]</f>
        <v>1428</v>
      </c>
      <c r="G22" s="12">
        <f>Tabel2425[[#This Row],[Stand Coffee einde maand]]-Tabel2425[[#This Row],[Coffee vorige maand]]</f>
        <v>420</v>
      </c>
      <c r="H22" s="25">
        <v>582</v>
      </c>
      <c r="I22">
        <f>Tabel242[[#This Row],[Stand Espresso Einde maand]]</f>
        <v>443</v>
      </c>
      <c r="J22" s="12">
        <f>Tabel2425[[#This Row],[Stand Espresso Einde maand]]-Tabel2425[[#This Row],[Espresso vorige maand]]</f>
        <v>139</v>
      </c>
      <c r="K22" s="25">
        <v>808</v>
      </c>
      <c r="L22">
        <f>Tabel242[[#This Row],[Stand Latte Macchiato einde maand]]</f>
        <v>644</v>
      </c>
      <c r="M22">
        <f>Tabel2425[[#This Row],[Stand Latte Macchiato einde maand]]-Tabel2425[[#This Row],[Latte Macchiato vorige maand]]</f>
        <v>164</v>
      </c>
      <c r="N22" s="25">
        <v>129</v>
      </c>
      <c r="O22">
        <f>Tabel242[[#This Row],[Stand Coffee Latte einde maand]]</f>
        <v>90</v>
      </c>
      <c r="P22">
        <f>Tabel2425[[#This Row],[Stand Coffee Latte einde maand]]-Tabel2425[[#This Row],[Coffee Latte vorige maand]]</f>
        <v>39</v>
      </c>
      <c r="Q22" s="25">
        <v>1</v>
      </c>
      <c r="R22">
        <f>Tabel242[[#This Row],[Stand Hot Water einde maand]]</f>
        <v>0</v>
      </c>
      <c r="S22">
        <f>Tabel2425[[#This Row],[Stand Hot Water einde maand]]-Tabel2425[[#This Row],[Hot Water vorige maand]]</f>
        <v>1</v>
      </c>
      <c r="T22" s="25">
        <v>2354</v>
      </c>
      <c r="U22">
        <f>Tabel242[[#This Row],[Stand Cappucino einde maand]]</f>
        <v>1862</v>
      </c>
      <c r="V22">
        <f>Tabel2425[[#This Row],[Stand Cappucino einde maand]]-Tabel2425[[#This Row],[Stand Cappucino vorige maand]]</f>
        <v>492</v>
      </c>
      <c r="W22" s="25">
        <v>401</v>
      </c>
      <c r="X22">
        <f>Tabel242[[#This Row],[Stand Cappucino Plantaardig einde maand]]</f>
        <v>340</v>
      </c>
      <c r="Y22">
        <f>Tabel2425[[#This Row],[Stand Cappucino Plantaardig einde maand]]-Tabel2425[[#This Row],[Stand Cappucino Plantaardig vorige maand]]</f>
        <v>61</v>
      </c>
      <c r="Z22" s="25">
        <v>134</v>
      </c>
      <c r="AA22">
        <f>Tabel242[[#This Row],[Stand Latte Macchiato Plantaardig einde maand]]</f>
        <v>102</v>
      </c>
      <c r="AB22" s="12">
        <f>Tabel2425[[#This Row],[Stand Latte Macchiato Plantaardig einde maand]]-Tabel2425[[#This Row],[Stand Latte Macchiato Plantaardig vorige maand]]</f>
        <v>32</v>
      </c>
      <c r="AC22" s="3">
        <f>Tabel2425[[#This Row],[Verbruik Stand Latte Macchiato Plantaardig deze maand]]+Tabel2425[[#This Row],[Verbruik  Cappucino Plantaardig deze maand]]+Tabel2425[[#This Row],[Verbruik Cappucino deze maand]]+Tabel2425[[#This Row],[Verbruik Hot Water deze maand]]+Tabel2425[[#This Row],[Verbruik Coffee Latte deze maand]]+Tabel2425[[#This Row],[Verbruik Latte Macchiato deze maand]]+Tabel2425[[#This Row],[Verbruik Espresso deze maand]]+Tabel2425[[#This Row],[Verbruik Coffee deze maand]]</f>
        <v>1348</v>
      </c>
      <c r="AD22" s="25">
        <v>51.7</v>
      </c>
      <c r="AE22">
        <f>Tabel242[[#This Row],[Stand Kamertemp liter einde maand]]</f>
        <v>40</v>
      </c>
      <c r="AF22">
        <f>Tabel2425[[#This Row],[Stand Kamertemp liter einde maand]]-Tabel2425[[#This Row],[Stand Kamertemp liter vorige maand]]</f>
        <v>11.700000000000003</v>
      </c>
      <c r="AG22" s="2">
        <f>Tabel2425[[#This Row],[Verbruik Kamertemp liter deze maand]]/0.15</f>
        <v>78.000000000000028</v>
      </c>
      <c r="AH22" s="25">
        <v>583.5</v>
      </c>
      <c r="AI22">
        <f>Tabel242[[#This Row],[Stand Gekoeld liter einde maand]]</f>
        <v>439.1</v>
      </c>
      <c r="AJ22">
        <f>Tabel2425[[#This Row],[Stand Gekoeld liter einde maand]]-Tabel2425[[#This Row],[Stand Gekoeld liter vorige maand]]</f>
        <v>144.39999999999998</v>
      </c>
      <c r="AK22" s="2">
        <f>Tabel2425[[#This Row],[Verbruik Gekoeld liter deze maand]]/0.15</f>
        <v>962.66666666666652</v>
      </c>
      <c r="AL22" s="25">
        <v>601.20000000000005</v>
      </c>
      <c r="AM22">
        <f>Tabel242[[#This Row],[Stand Bruisend liter einde maand]]</f>
        <v>470.7</v>
      </c>
      <c r="AN22">
        <f>Tabel2425[[#This Row],[Stand Bruisend liter einde maand]]-Tabel2425[[#This Row],[Stand Bruisend liter vorige maand]]</f>
        <v>130.50000000000006</v>
      </c>
      <c r="AO22" s="2">
        <f>Tabel2425[[#This Row],[Verbruik Bruisend liter deze maand]]/0.15</f>
        <v>870.00000000000045</v>
      </c>
      <c r="AP22" s="25">
        <v>283.3</v>
      </c>
      <c r="AQ22">
        <f>Tabel242[[#This Row],[Stand licht bruisend liter einde maand]]</f>
        <v>219.1</v>
      </c>
      <c r="AR22">
        <f>Tabel2425[[#This Row],[Stand licht bruisend liter einde maand]]-Tabel2425[[#This Row],[Stand licht bruisend liter vorige maand]]</f>
        <v>64.200000000000017</v>
      </c>
      <c r="AS22" s="2">
        <f>Tabel2425[[#This Row],[Verbruik licht bruisend liter deze maand]]/0.15</f>
        <v>428.00000000000011</v>
      </c>
      <c r="AT22" s="25">
        <v>2041.2</v>
      </c>
      <c r="AU22">
        <f>Tabel242[[#This Row],[Stand heet water liter einde maand]]</f>
        <v>1634.5</v>
      </c>
      <c r="AV22">
        <f>Tabel2425[[#This Row],[Stand heet water liter einde maand]]-Tabel2425[[#This Row],[Stand heet water liter vorige maand]]</f>
        <v>406.70000000000005</v>
      </c>
      <c r="AW22" s="20">
        <f>Tabel2425[[#This Row],[Verbruik heet Water liter deze maand ]]/0.15</f>
        <v>2711.3333333333339</v>
      </c>
      <c r="AX22" s="4">
        <f>Tabel2425[[#This Row],[Aantal consumpties heet water deze maand]]+Tabel2425[[#This Row],[Aantal consumpties licht bruisend water deze maand]]+Tabel2425[[#This Row],[aantal consumpties Bruisend water deze maand]]+Tabel2425[[#This Row],[Aantal consumpties gekoeld water deze maand]]+Tabel2425[[#This Row],[Aantal consumpties Kamertemp deze maand]]</f>
        <v>5050.0000000000009</v>
      </c>
      <c r="AY22" s="4">
        <f>Tabel2425[[#This Row],[Subtotaal waterbar in consumpties]]+Tabel2425[[#This Row],[Subtotaal koffieautomaten]]</f>
        <v>6398.0000000000009</v>
      </c>
    </row>
    <row r="23" spans="1:51" x14ac:dyDescent="0.25">
      <c r="A23" t="s">
        <v>70</v>
      </c>
      <c r="B23" t="s">
        <v>71</v>
      </c>
      <c r="C23" t="s">
        <v>31</v>
      </c>
      <c r="E23" s="25">
        <v>2601</v>
      </c>
      <c r="F23">
        <f>Tabel242[[#This Row],[Stand Coffee einde maand]]</f>
        <v>2060</v>
      </c>
      <c r="G23" s="12">
        <f>Tabel2425[[#This Row],[Stand Coffee einde maand]]-Tabel2425[[#This Row],[Coffee vorige maand]]</f>
        <v>541</v>
      </c>
      <c r="H23" s="25">
        <v>236</v>
      </c>
      <c r="I23">
        <f>Tabel242[[#This Row],[Stand Espresso Einde maand]]</f>
        <v>168</v>
      </c>
      <c r="J23" s="12">
        <f>Tabel2425[[#This Row],[Stand Espresso Einde maand]]-Tabel2425[[#This Row],[Espresso vorige maand]]</f>
        <v>68</v>
      </c>
      <c r="K23" s="25">
        <v>220</v>
      </c>
      <c r="L23">
        <f>Tabel242[[#This Row],[Stand Latte Macchiato einde maand]]</f>
        <v>172</v>
      </c>
      <c r="M23">
        <f>Tabel2425[[#This Row],[Stand Latte Macchiato einde maand]]-Tabel2425[[#This Row],[Latte Macchiato vorige maand]]</f>
        <v>48</v>
      </c>
      <c r="N23" s="25">
        <v>181</v>
      </c>
      <c r="O23">
        <f>Tabel242[[#This Row],[Stand Coffee Latte einde maand]]</f>
        <v>137</v>
      </c>
      <c r="P23">
        <f>Tabel2425[[#This Row],[Stand Coffee Latte einde maand]]-Tabel2425[[#This Row],[Coffee Latte vorige maand]]</f>
        <v>44</v>
      </c>
      <c r="Q23" s="25">
        <v>4372</v>
      </c>
      <c r="R23">
        <f>Tabel242[[#This Row],[Stand Hot Water einde maand]]</f>
        <v>3420</v>
      </c>
      <c r="S23">
        <f>Tabel2425[[#This Row],[Stand Hot Water einde maand]]-Tabel2425[[#This Row],[Hot Water vorige maand]]</f>
        <v>952</v>
      </c>
      <c r="T23" s="25">
        <v>1092</v>
      </c>
      <c r="U23">
        <f>Tabel242[[#This Row],[Stand Cappucino einde maand]]</f>
        <v>946</v>
      </c>
      <c r="V23">
        <f>Tabel2425[[#This Row],[Stand Cappucino einde maand]]-Tabel2425[[#This Row],[Stand Cappucino vorige maand]]</f>
        <v>146</v>
      </c>
      <c r="W23" s="25">
        <v>259</v>
      </c>
      <c r="X23">
        <f>Tabel242[[#This Row],[Stand Cappucino Plantaardig einde maand]]</f>
        <v>217</v>
      </c>
      <c r="Y23">
        <f>Tabel2425[[#This Row],[Stand Cappucino Plantaardig einde maand]]-Tabel2425[[#This Row],[Stand Cappucino Plantaardig vorige maand]]</f>
        <v>42</v>
      </c>
      <c r="Z23" s="25">
        <v>230</v>
      </c>
      <c r="AA23">
        <f>Tabel242[[#This Row],[Stand Latte Macchiato Plantaardig einde maand]]</f>
        <v>179</v>
      </c>
      <c r="AB23" s="12">
        <f>Tabel2425[[#This Row],[Stand Latte Macchiato Plantaardig einde maand]]-Tabel2425[[#This Row],[Stand Latte Macchiato Plantaardig vorige maand]]</f>
        <v>51</v>
      </c>
      <c r="AC23" s="3">
        <f>Tabel2425[[#This Row],[Verbruik Stand Latte Macchiato Plantaardig deze maand]]+Tabel2425[[#This Row],[Verbruik  Cappucino Plantaardig deze maand]]+Tabel2425[[#This Row],[Verbruik Cappucino deze maand]]+Tabel2425[[#This Row],[Verbruik Hot Water deze maand]]+Tabel2425[[#This Row],[Verbruik Coffee Latte deze maand]]+Tabel2425[[#This Row],[Verbruik Latte Macchiato deze maand]]+Tabel2425[[#This Row],[Verbruik Espresso deze maand]]+Tabel2425[[#This Row],[Verbruik Coffee deze maand]]</f>
        <v>1892</v>
      </c>
      <c r="AD23" s="26"/>
      <c r="AE23" s="5"/>
      <c r="AF23" s="5"/>
      <c r="AG23" s="7"/>
      <c r="AH23" s="26"/>
      <c r="AI23" s="5"/>
      <c r="AJ23" s="5"/>
      <c r="AK23" s="7"/>
      <c r="AL23" s="26"/>
      <c r="AM23" s="5"/>
      <c r="AN23" s="5"/>
      <c r="AO23" s="5"/>
      <c r="AP23" s="26"/>
      <c r="AQ23" s="5"/>
      <c r="AR23" s="5"/>
      <c r="AS23" s="7"/>
      <c r="AT23" s="26"/>
      <c r="AU23" s="5"/>
      <c r="AV23" s="5"/>
      <c r="AW23" s="21"/>
      <c r="AX23" s="8"/>
      <c r="AY23" s="4">
        <f>Tabel2425[[#This Row],[Subtotaal waterbar in consumpties]]+Tabel2425[[#This Row],[Subtotaal koffieautomaten]]</f>
        <v>1892</v>
      </c>
    </row>
    <row r="24" spans="1:51" x14ac:dyDescent="0.25">
      <c r="A24" t="s">
        <v>72</v>
      </c>
      <c r="B24" t="s">
        <v>73</v>
      </c>
      <c r="C24" t="s">
        <v>47</v>
      </c>
      <c r="E24" s="25">
        <v>2149</v>
      </c>
      <c r="F24">
        <f>Tabel242[[#This Row],[Stand Coffee einde maand]]</f>
        <v>1753</v>
      </c>
      <c r="G24" s="12">
        <f>Tabel2425[[#This Row],[Stand Coffee einde maand]]-Tabel2425[[#This Row],[Coffee vorige maand]]</f>
        <v>396</v>
      </c>
      <c r="H24" s="25">
        <v>702</v>
      </c>
      <c r="I24">
        <f>Tabel242[[#This Row],[Stand Espresso Einde maand]]</f>
        <v>569</v>
      </c>
      <c r="J24" s="12">
        <f>Tabel2425[[#This Row],[Stand Espresso Einde maand]]-Tabel2425[[#This Row],[Espresso vorige maand]]</f>
        <v>133</v>
      </c>
      <c r="K24" s="25">
        <v>391</v>
      </c>
      <c r="L24">
        <f>Tabel242[[#This Row],[Stand Latte Macchiato einde maand]]</f>
        <v>334</v>
      </c>
      <c r="M24">
        <f>Tabel2425[[#This Row],[Stand Latte Macchiato einde maand]]-Tabel2425[[#This Row],[Latte Macchiato vorige maand]]</f>
        <v>57</v>
      </c>
      <c r="N24" s="25">
        <v>159</v>
      </c>
      <c r="O24">
        <f>Tabel242[[#This Row],[Stand Coffee Latte einde maand]]</f>
        <v>127</v>
      </c>
      <c r="P24">
        <f>Tabel2425[[#This Row],[Stand Coffee Latte einde maand]]-Tabel2425[[#This Row],[Coffee Latte vorige maand]]</f>
        <v>32</v>
      </c>
      <c r="Q24" s="25">
        <v>1</v>
      </c>
      <c r="R24">
        <f>Tabel242[[#This Row],[Stand Hot Water einde maand]]</f>
        <v>0</v>
      </c>
      <c r="S24">
        <f>Tabel2425[[#This Row],[Stand Hot Water einde maand]]-Tabel2425[[#This Row],[Hot Water vorige maand]]</f>
        <v>1</v>
      </c>
      <c r="T24" s="25">
        <v>1526</v>
      </c>
      <c r="U24">
        <f>Tabel242[[#This Row],[Stand Cappucino einde maand]]</f>
        <v>1256</v>
      </c>
      <c r="V24">
        <f>Tabel2425[[#This Row],[Stand Cappucino einde maand]]-Tabel2425[[#This Row],[Stand Cappucino vorige maand]]</f>
        <v>270</v>
      </c>
      <c r="W24" s="25">
        <v>326</v>
      </c>
      <c r="X24">
        <f>Tabel242[[#This Row],[Stand Cappucino Plantaardig einde maand]]</f>
        <v>252</v>
      </c>
      <c r="Y24">
        <f>Tabel2425[[#This Row],[Stand Cappucino Plantaardig einde maand]]-Tabel2425[[#This Row],[Stand Cappucino Plantaardig vorige maand]]</f>
        <v>74</v>
      </c>
      <c r="Z24" s="25">
        <v>93</v>
      </c>
      <c r="AA24">
        <f>Tabel242[[#This Row],[Stand Latte Macchiato Plantaardig einde maand]]</f>
        <v>72</v>
      </c>
      <c r="AB24" s="12">
        <f>Tabel2425[[#This Row],[Stand Latte Macchiato Plantaardig einde maand]]-Tabel2425[[#This Row],[Stand Latte Macchiato Plantaardig vorige maand]]</f>
        <v>21</v>
      </c>
      <c r="AC24" s="3">
        <f>Tabel2425[[#This Row],[Verbruik Stand Latte Macchiato Plantaardig deze maand]]+Tabel2425[[#This Row],[Verbruik  Cappucino Plantaardig deze maand]]+Tabel2425[[#This Row],[Verbruik Cappucino deze maand]]+Tabel2425[[#This Row],[Verbruik Hot Water deze maand]]+Tabel2425[[#This Row],[Verbruik Coffee Latte deze maand]]+Tabel2425[[#This Row],[Verbruik Latte Macchiato deze maand]]+Tabel2425[[#This Row],[Verbruik Espresso deze maand]]+Tabel2425[[#This Row],[Verbruik Coffee deze maand]]</f>
        <v>984</v>
      </c>
      <c r="AD24" s="25">
        <v>61.5</v>
      </c>
      <c r="AE24">
        <f>Tabel242[[#This Row],[Stand Kamertemp liter einde maand]]</f>
        <v>52.3</v>
      </c>
      <c r="AF24">
        <f>Tabel2425[[#This Row],[Stand Kamertemp liter einde maand]]-Tabel2425[[#This Row],[Stand Kamertemp liter vorige maand]]</f>
        <v>9.2000000000000028</v>
      </c>
      <c r="AG24" s="2">
        <f>Tabel2425[[#This Row],[Verbruik Kamertemp liter deze maand]]/0.15</f>
        <v>61.333333333333357</v>
      </c>
      <c r="AH24" s="25">
        <v>314</v>
      </c>
      <c r="AI24">
        <f>Tabel242[[#This Row],[Stand Gekoeld liter einde maand]]</f>
        <v>253.5</v>
      </c>
      <c r="AJ24">
        <f>Tabel2425[[#This Row],[Stand Gekoeld liter einde maand]]-Tabel2425[[#This Row],[Stand Gekoeld liter vorige maand]]</f>
        <v>60.5</v>
      </c>
      <c r="AK24" s="2">
        <f>Tabel2425[[#This Row],[Verbruik Gekoeld liter deze maand]]/0.15</f>
        <v>403.33333333333337</v>
      </c>
      <c r="AL24" s="25">
        <v>313.7</v>
      </c>
      <c r="AM24">
        <f>Tabel242[[#This Row],[Stand Bruisend liter einde maand]]</f>
        <v>248.1</v>
      </c>
      <c r="AN24">
        <f>Tabel2425[[#This Row],[Stand Bruisend liter einde maand]]-Tabel2425[[#This Row],[Stand Bruisend liter vorige maand]]</f>
        <v>65.599999999999994</v>
      </c>
      <c r="AO24" s="2">
        <f>Tabel2425[[#This Row],[Verbruik Bruisend liter deze maand]]/0.15</f>
        <v>437.33333333333331</v>
      </c>
      <c r="AP24" s="25">
        <v>133.5</v>
      </c>
      <c r="AQ24">
        <f>Tabel242[[#This Row],[Stand licht bruisend liter einde maand]]</f>
        <v>98.7</v>
      </c>
      <c r="AR24">
        <f>Tabel2425[[#This Row],[Stand licht bruisend liter einde maand]]-Tabel2425[[#This Row],[Stand licht bruisend liter vorige maand]]</f>
        <v>34.799999999999997</v>
      </c>
      <c r="AS24" s="2">
        <f>Tabel2425[[#This Row],[Verbruik licht bruisend liter deze maand]]/0.15</f>
        <v>232</v>
      </c>
      <c r="AT24" s="25">
        <v>573.5</v>
      </c>
      <c r="AU24">
        <f>Tabel242[[#This Row],[Stand heet water liter einde maand]]</f>
        <v>474.2</v>
      </c>
      <c r="AV24">
        <f>Tabel2425[[#This Row],[Stand heet water liter einde maand]]-Tabel2425[[#This Row],[Stand heet water liter vorige maand]]</f>
        <v>99.300000000000011</v>
      </c>
      <c r="AW24" s="20">
        <f>Tabel2425[[#This Row],[Verbruik heet Water liter deze maand ]]/0.15</f>
        <v>662.00000000000011</v>
      </c>
      <c r="AX24" s="4">
        <f>Tabel2425[[#This Row],[Aantal consumpties heet water deze maand]]+Tabel2425[[#This Row],[Aantal consumpties licht bruisend water deze maand]]+Tabel2425[[#This Row],[aantal consumpties Bruisend water deze maand]]+Tabel2425[[#This Row],[Aantal consumpties gekoeld water deze maand]]+Tabel2425[[#This Row],[Aantal consumpties Kamertemp deze maand]]</f>
        <v>1796.0000000000002</v>
      </c>
      <c r="AY24" s="4">
        <f>Tabel2425[[#This Row],[Subtotaal waterbar in consumpties]]+Tabel2425[[#This Row],[Subtotaal koffieautomaten]]</f>
        <v>2780</v>
      </c>
    </row>
    <row r="25" spans="1:51" x14ac:dyDescent="0.25">
      <c r="A25" s="3" t="s">
        <v>74</v>
      </c>
      <c r="E25" s="25"/>
      <c r="F25">
        <f>Tabel242[[#This Row],[Stand Coffee einde maand]]</f>
        <v>0</v>
      </c>
      <c r="G25" s="12">
        <f>Tabel2425[[#This Row],[Stand Coffee einde maand]]-Tabel2425[[#This Row],[Coffee vorige maand]]</f>
        <v>0</v>
      </c>
      <c r="H25" s="25"/>
      <c r="I25">
        <f>Tabel242[[#This Row],[Stand Espresso Einde maand]]</f>
        <v>0</v>
      </c>
      <c r="J25" s="12">
        <f>Tabel2425[[#This Row],[Stand Espresso Einde maand]]-Tabel2425[[#This Row],[Espresso vorige maand]]</f>
        <v>0</v>
      </c>
      <c r="K25" s="25"/>
      <c r="L25">
        <f>Tabel242[[#This Row],[Stand Latte Macchiato einde maand]]</f>
        <v>0</v>
      </c>
      <c r="M25">
        <f>Tabel2425[[#This Row],[Stand Latte Macchiato einde maand]]-Tabel2425[[#This Row],[Latte Macchiato vorige maand]]</f>
        <v>0</v>
      </c>
      <c r="N25" s="25"/>
      <c r="O25">
        <f>Tabel242[[#This Row],[Stand Coffee Latte einde maand]]</f>
        <v>0</v>
      </c>
      <c r="P25">
        <f>Tabel2425[[#This Row],[Stand Coffee Latte einde maand]]-Tabel2425[[#This Row],[Coffee Latte vorige maand]]</f>
        <v>0</v>
      </c>
      <c r="Q25" s="25"/>
      <c r="R25">
        <f>Tabel242[[#This Row],[Stand Hot Water einde maand]]</f>
        <v>0</v>
      </c>
      <c r="S25">
        <f>Tabel2425[[#This Row],[Stand Hot Water einde maand]]-Tabel2425[[#This Row],[Hot Water vorige maand]]</f>
        <v>0</v>
      </c>
      <c r="T25" s="25"/>
      <c r="U25">
        <f>Tabel242[[#This Row],[Stand Cappucino einde maand]]</f>
        <v>0</v>
      </c>
      <c r="V25">
        <f>Tabel2425[[#This Row],[Stand Cappucino einde maand]]-Tabel2425[[#This Row],[Stand Cappucino vorige maand]]</f>
        <v>0</v>
      </c>
      <c r="W25" s="25"/>
      <c r="X25">
        <f>Tabel242[[#This Row],[Stand Cappucino Plantaardig einde maand]]</f>
        <v>0</v>
      </c>
      <c r="Y25">
        <f>Tabel2425[[#This Row],[Stand Cappucino Plantaardig einde maand]]-Tabel2425[[#This Row],[Stand Cappucino Plantaardig vorige maand]]</f>
        <v>0</v>
      </c>
      <c r="Z25" s="25"/>
      <c r="AA25">
        <f>Tabel242[[#This Row],[Stand Latte Macchiato Plantaardig einde maand]]</f>
        <v>0</v>
      </c>
      <c r="AB25" s="12">
        <f>Tabel2425[[#This Row],[Stand Latte Macchiato Plantaardig einde maand]]-Tabel2425[[#This Row],[Stand Latte Macchiato Plantaardig vorige maand]]</f>
        <v>0</v>
      </c>
      <c r="AC25" s="3">
        <f>Tabel2425[[#This Row],[Verbruik Stand Latte Macchiato Plantaardig deze maand]]+Tabel2425[[#This Row],[Verbruik  Cappucino Plantaardig deze maand]]+Tabel2425[[#This Row],[Verbruik Cappucino deze maand]]+Tabel2425[[#This Row],[Verbruik Hot Water deze maand]]+Tabel2425[[#This Row],[Verbruik Coffee Latte deze maand]]+Tabel2425[[#This Row],[Verbruik Latte Macchiato deze maand]]+Tabel2425[[#This Row],[Verbruik Espresso deze maand]]+Tabel2425[[#This Row],[Verbruik Coffee deze maand]]</f>
        <v>0</v>
      </c>
      <c r="AD25" s="25"/>
      <c r="AG25" s="2"/>
      <c r="AH25" s="25"/>
      <c r="AK25" s="2"/>
      <c r="AL25" s="25"/>
      <c r="AO25" s="2"/>
      <c r="AP25" s="25"/>
      <c r="AS25" s="2"/>
      <c r="AT25" s="25"/>
      <c r="AW25" s="20"/>
      <c r="AX25" s="3"/>
      <c r="AY25" s="4">
        <f>Tabel2425[[#This Row],[Subtotaal waterbar in consumpties]]+Tabel2425[[#This Row],[Subtotaal koffieautomaten]]</f>
        <v>0</v>
      </c>
    </row>
    <row r="26" spans="1:51" x14ac:dyDescent="0.25">
      <c r="A26" t="s">
        <v>32</v>
      </c>
      <c r="B26" t="s">
        <v>75</v>
      </c>
      <c r="C26" t="s">
        <v>47</v>
      </c>
      <c r="E26" s="25">
        <v>1198</v>
      </c>
      <c r="F26">
        <f>Tabel242[[#This Row],[Stand Coffee einde maand]]</f>
        <v>934</v>
      </c>
      <c r="G26" s="12">
        <f>Tabel2425[[#This Row],[Stand Coffee einde maand]]-Tabel2425[[#This Row],[Coffee vorige maand]]</f>
        <v>264</v>
      </c>
      <c r="H26" s="25">
        <v>152</v>
      </c>
      <c r="I26">
        <f>Tabel242[[#This Row],[Stand Espresso Einde maand]]</f>
        <v>115</v>
      </c>
      <c r="J26" s="12">
        <f>Tabel2425[[#This Row],[Stand Espresso Einde maand]]-Tabel2425[[#This Row],[Espresso vorige maand]]</f>
        <v>37</v>
      </c>
      <c r="K26" s="25">
        <v>457</v>
      </c>
      <c r="L26">
        <f>Tabel242[[#This Row],[Stand Latte Macchiato einde maand]]</f>
        <v>280</v>
      </c>
      <c r="M26">
        <f>Tabel2425[[#This Row],[Stand Latte Macchiato einde maand]]-Tabel2425[[#This Row],[Latte Macchiato vorige maand]]</f>
        <v>177</v>
      </c>
      <c r="N26" s="25">
        <v>175</v>
      </c>
      <c r="O26">
        <f>Tabel242[[#This Row],[Stand Coffee Latte einde maand]]</f>
        <v>142</v>
      </c>
      <c r="P26">
        <f>Tabel2425[[#This Row],[Stand Coffee Latte einde maand]]-Tabel2425[[#This Row],[Coffee Latte vorige maand]]</f>
        <v>33</v>
      </c>
      <c r="Q26" s="25">
        <v>1</v>
      </c>
      <c r="R26">
        <f>Tabel242[[#This Row],[Stand Hot Water einde maand]]</f>
        <v>0</v>
      </c>
      <c r="S26">
        <f>Tabel2425[[#This Row],[Stand Hot Water einde maand]]-Tabel2425[[#This Row],[Hot Water vorige maand]]</f>
        <v>1</v>
      </c>
      <c r="T26" s="25">
        <v>817</v>
      </c>
      <c r="U26">
        <f>Tabel242[[#This Row],[Stand Cappucino einde maand]]</f>
        <v>639</v>
      </c>
      <c r="V26">
        <f>Tabel2425[[#This Row],[Stand Cappucino einde maand]]-Tabel2425[[#This Row],[Stand Cappucino vorige maand]]</f>
        <v>178</v>
      </c>
      <c r="W26" s="25">
        <v>87</v>
      </c>
      <c r="X26">
        <f>Tabel242[[#This Row],[Stand Cappucino Plantaardig einde maand]]</f>
        <v>78</v>
      </c>
      <c r="Y26">
        <f>Tabel2425[[#This Row],[Stand Cappucino Plantaardig einde maand]]-Tabel2425[[#This Row],[Stand Cappucino Plantaardig vorige maand]]</f>
        <v>9</v>
      </c>
      <c r="Z26" s="25">
        <v>149</v>
      </c>
      <c r="AA26">
        <f>Tabel242[[#This Row],[Stand Latte Macchiato Plantaardig einde maand]]</f>
        <v>127</v>
      </c>
      <c r="AB26" s="12">
        <f>Tabel2425[[#This Row],[Stand Latte Macchiato Plantaardig einde maand]]-Tabel2425[[#This Row],[Stand Latte Macchiato Plantaardig vorige maand]]</f>
        <v>22</v>
      </c>
      <c r="AC26" s="3">
        <f>Tabel2425[[#This Row],[Verbruik Stand Latte Macchiato Plantaardig deze maand]]+Tabel2425[[#This Row],[Verbruik  Cappucino Plantaardig deze maand]]+Tabel2425[[#This Row],[Verbruik Cappucino deze maand]]+Tabel2425[[#This Row],[Verbruik Hot Water deze maand]]+Tabel2425[[#This Row],[Verbruik Coffee Latte deze maand]]+Tabel2425[[#This Row],[Verbruik Latte Macchiato deze maand]]+Tabel2425[[#This Row],[Verbruik Espresso deze maand]]+Tabel2425[[#This Row],[Verbruik Coffee deze maand]]</f>
        <v>721</v>
      </c>
      <c r="AD26" s="25">
        <v>44</v>
      </c>
      <c r="AE26">
        <f>Tabel242[[#This Row],[Stand Kamertemp liter einde maand]]</f>
        <v>32.799999999999997</v>
      </c>
      <c r="AF26">
        <f>Tabel2425[[#This Row],[Stand Kamertemp liter einde maand]]-Tabel2425[[#This Row],[Stand Kamertemp liter vorige maand]]</f>
        <v>11.200000000000003</v>
      </c>
      <c r="AG26" s="2">
        <f>Tabel2425[[#This Row],[Verbruik Kamertemp liter deze maand]]/0.15</f>
        <v>74.666666666666686</v>
      </c>
      <c r="AH26" s="25">
        <v>153.9</v>
      </c>
      <c r="AI26">
        <f>Tabel242[[#This Row],[Stand Gekoeld liter einde maand]]</f>
        <v>120.9</v>
      </c>
      <c r="AJ26">
        <f>Tabel2425[[#This Row],[Stand Gekoeld liter einde maand]]-Tabel2425[[#This Row],[Stand Gekoeld liter vorige maand]]</f>
        <v>33</v>
      </c>
      <c r="AK26" s="2">
        <f>Tabel2425[[#This Row],[Verbruik Gekoeld liter deze maand]]/0.15</f>
        <v>220</v>
      </c>
      <c r="AL26" s="25">
        <v>141.30000000000001</v>
      </c>
      <c r="AM26">
        <f>Tabel242[[#This Row],[Stand Bruisend liter einde maand]]</f>
        <v>111.2</v>
      </c>
      <c r="AN26">
        <f>Tabel2425[[#This Row],[Stand Bruisend liter einde maand]]-Tabel2425[[#This Row],[Stand Bruisend liter vorige maand]]</f>
        <v>30.100000000000009</v>
      </c>
      <c r="AO26" s="2">
        <f>Tabel2425[[#This Row],[Verbruik Bruisend liter deze maand]]/0.15</f>
        <v>200.66666666666674</v>
      </c>
      <c r="AP26" s="25">
        <v>87.7</v>
      </c>
      <c r="AQ26">
        <f>Tabel242[[#This Row],[Stand licht bruisend liter einde maand]]</f>
        <v>69.599999999999994</v>
      </c>
      <c r="AR26">
        <f>Tabel2425[[#This Row],[Stand licht bruisend liter einde maand]]-Tabel2425[[#This Row],[Stand licht bruisend liter vorige maand]]</f>
        <v>18.100000000000009</v>
      </c>
      <c r="AS26" s="2">
        <f>Tabel2425[[#This Row],[Verbruik licht bruisend liter deze maand]]/0.15</f>
        <v>120.66666666666673</v>
      </c>
      <c r="AT26" s="25">
        <v>788</v>
      </c>
      <c r="AU26">
        <f>Tabel242[[#This Row],[Stand heet water liter einde maand]]</f>
        <v>579.79999999999995</v>
      </c>
      <c r="AV26">
        <f>Tabel2425[[#This Row],[Stand heet water liter einde maand]]-Tabel2425[[#This Row],[Stand heet water liter vorige maand]]</f>
        <v>208.20000000000005</v>
      </c>
      <c r="AW26" s="20">
        <f>Tabel2425[[#This Row],[Verbruik heet Water liter deze maand ]]/0.15</f>
        <v>1388.0000000000005</v>
      </c>
      <c r="AX26" s="4">
        <f>Tabel2425[[#This Row],[Aantal consumpties heet water deze maand]]+Tabel2425[[#This Row],[Aantal consumpties licht bruisend water deze maand]]+Tabel2425[[#This Row],[aantal consumpties Bruisend water deze maand]]+Tabel2425[[#This Row],[Aantal consumpties gekoeld water deze maand]]+Tabel2425[[#This Row],[Aantal consumpties Kamertemp deze maand]]</f>
        <v>2004.0000000000007</v>
      </c>
      <c r="AY26" s="4">
        <f>Tabel2425[[#This Row],[Subtotaal waterbar in consumpties]]+Tabel2425[[#This Row],[Subtotaal koffieautomaten]]</f>
        <v>2725.0000000000009</v>
      </c>
    </row>
    <row r="27" spans="1:51" x14ac:dyDescent="0.25">
      <c r="A27" t="s">
        <v>39</v>
      </c>
      <c r="B27" t="s">
        <v>76</v>
      </c>
      <c r="C27" t="s">
        <v>31</v>
      </c>
      <c r="E27" s="25">
        <v>5682</v>
      </c>
      <c r="F27">
        <f>Tabel242[[#This Row],[Stand Coffee einde maand]]</f>
        <v>4597</v>
      </c>
      <c r="G27" s="12">
        <f>Tabel2425[[#This Row],[Stand Coffee einde maand]]-Tabel2425[[#This Row],[Coffee vorige maand]]</f>
        <v>1085</v>
      </c>
      <c r="H27" s="25">
        <v>1337</v>
      </c>
      <c r="I27">
        <f>Tabel242[[#This Row],[Stand Espresso Einde maand]]</f>
        <v>1113</v>
      </c>
      <c r="J27" s="12">
        <f>Tabel2425[[#This Row],[Stand Espresso Einde maand]]-Tabel2425[[#This Row],[Espresso vorige maand]]</f>
        <v>224</v>
      </c>
      <c r="K27" s="25">
        <v>678</v>
      </c>
      <c r="L27">
        <f>Tabel242[[#This Row],[Stand Latte Macchiato einde maand]]</f>
        <v>555</v>
      </c>
      <c r="M27">
        <f>Tabel2425[[#This Row],[Stand Latte Macchiato einde maand]]-Tabel2425[[#This Row],[Latte Macchiato vorige maand]]</f>
        <v>123</v>
      </c>
      <c r="N27" s="25">
        <v>321</v>
      </c>
      <c r="O27">
        <f>Tabel242[[#This Row],[Stand Coffee Latte einde maand]]</f>
        <v>251</v>
      </c>
      <c r="P27">
        <f>Tabel2425[[#This Row],[Stand Coffee Latte einde maand]]-Tabel2425[[#This Row],[Coffee Latte vorige maand]]</f>
        <v>70</v>
      </c>
      <c r="Q27" s="25">
        <v>4656</v>
      </c>
      <c r="R27">
        <f>Tabel242[[#This Row],[Stand Hot Water einde maand]]</f>
        <v>3910</v>
      </c>
      <c r="S27">
        <f>Tabel2425[[#This Row],[Stand Hot Water einde maand]]-Tabel2425[[#This Row],[Hot Water vorige maand]]</f>
        <v>746</v>
      </c>
      <c r="T27" s="25">
        <v>3814</v>
      </c>
      <c r="U27">
        <f>Tabel242[[#This Row],[Stand Cappucino einde maand]]</f>
        <v>3106</v>
      </c>
      <c r="V27">
        <f>Tabel2425[[#This Row],[Stand Cappucino einde maand]]-Tabel2425[[#This Row],[Stand Cappucino vorige maand]]</f>
        <v>708</v>
      </c>
      <c r="W27" s="25">
        <v>616</v>
      </c>
      <c r="X27">
        <f>Tabel242[[#This Row],[Stand Cappucino Plantaardig einde maand]]</f>
        <v>520</v>
      </c>
      <c r="Y27">
        <f>Tabel2425[[#This Row],[Stand Cappucino Plantaardig einde maand]]-Tabel2425[[#This Row],[Stand Cappucino Plantaardig vorige maand]]</f>
        <v>96</v>
      </c>
      <c r="Z27" s="25">
        <v>188</v>
      </c>
      <c r="AA27">
        <f>Tabel242[[#This Row],[Stand Latte Macchiato Plantaardig einde maand]]</f>
        <v>162</v>
      </c>
      <c r="AB27" s="12">
        <f>Tabel2425[[#This Row],[Stand Latte Macchiato Plantaardig einde maand]]-Tabel2425[[#This Row],[Stand Latte Macchiato Plantaardig vorige maand]]</f>
        <v>26</v>
      </c>
      <c r="AC27" s="3">
        <f>Tabel2425[[#This Row],[Verbruik Stand Latte Macchiato Plantaardig deze maand]]+Tabel2425[[#This Row],[Verbruik  Cappucino Plantaardig deze maand]]+Tabel2425[[#This Row],[Verbruik Cappucino deze maand]]+Tabel2425[[#This Row],[Verbruik Hot Water deze maand]]+Tabel2425[[#This Row],[Verbruik Coffee Latte deze maand]]+Tabel2425[[#This Row],[Verbruik Latte Macchiato deze maand]]+Tabel2425[[#This Row],[Verbruik Espresso deze maand]]+Tabel2425[[#This Row],[Verbruik Coffee deze maand]]</f>
        <v>3078</v>
      </c>
      <c r="AD27" s="26"/>
      <c r="AE27" s="5"/>
      <c r="AF27" s="5"/>
      <c r="AG27" s="7"/>
      <c r="AH27" s="26"/>
      <c r="AI27" s="5"/>
      <c r="AJ27" s="5"/>
      <c r="AK27" s="7"/>
      <c r="AL27" s="26"/>
      <c r="AM27" s="5"/>
      <c r="AN27" s="5"/>
      <c r="AO27" s="7"/>
      <c r="AP27" s="26"/>
      <c r="AQ27" s="5"/>
      <c r="AR27" s="5"/>
      <c r="AS27" s="7"/>
      <c r="AT27" s="26"/>
      <c r="AU27" s="5">
        <f>Tabel242[[#This Row],[Stand heet water liter einde maand]]</f>
        <v>0</v>
      </c>
      <c r="AV27" s="5"/>
      <c r="AW27" s="21"/>
      <c r="AX27" s="8"/>
      <c r="AY27" s="4">
        <f>Tabel2425[[#This Row],[Subtotaal waterbar in consumpties]]+Tabel2425[[#This Row],[Subtotaal koffieautomaten]]</f>
        <v>3078</v>
      </c>
    </row>
    <row r="28" spans="1:51" x14ac:dyDescent="0.25">
      <c r="A28" t="s">
        <v>39</v>
      </c>
      <c r="B28" t="s">
        <v>77</v>
      </c>
      <c r="C28" t="s">
        <v>36</v>
      </c>
      <c r="E28" s="36"/>
      <c r="F28" s="37"/>
      <c r="G28" s="38"/>
      <c r="H28" s="36"/>
      <c r="I28" s="37"/>
      <c r="J28" s="38"/>
      <c r="K28" s="36"/>
      <c r="L28" s="37"/>
      <c r="M28" s="37"/>
      <c r="N28" s="36"/>
      <c r="O28" s="37"/>
      <c r="P28" s="37"/>
      <c r="Q28" s="36"/>
      <c r="R28" s="37"/>
      <c r="S28" s="37"/>
      <c r="T28" s="36"/>
      <c r="U28" s="37"/>
      <c r="V28" s="37"/>
      <c r="W28" s="36"/>
      <c r="X28" s="37"/>
      <c r="Y28" s="37"/>
      <c r="Z28" s="36"/>
      <c r="AA28" s="37"/>
      <c r="AB28" s="38"/>
      <c r="AC28" s="39"/>
      <c r="AD28" s="25">
        <v>27.6</v>
      </c>
      <c r="AE28">
        <f>Tabel242[[#This Row],[Stand Kamertemp liter einde maand]]</f>
        <v>18.5</v>
      </c>
      <c r="AF28">
        <f>Tabel2425[[#This Row],[Stand Kamertemp liter einde maand]]-Tabel2425[[#This Row],[Stand Kamertemp liter vorige maand]]</f>
        <v>9.1000000000000014</v>
      </c>
      <c r="AG28" s="2">
        <f>Tabel2425[[#This Row],[Verbruik Kamertemp liter deze maand]]/0.15</f>
        <v>60.666666666666679</v>
      </c>
      <c r="AH28" s="25">
        <v>243.2</v>
      </c>
      <c r="AI28">
        <f>Tabel242[[#This Row],[Stand Gekoeld liter einde maand]]</f>
        <v>168.5</v>
      </c>
      <c r="AJ28">
        <f>Tabel2425[[#This Row],[Stand Gekoeld liter einde maand]]-Tabel2425[[#This Row],[Stand Gekoeld liter vorige maand]]</f>
        <v>74.699999999999989</v>
      </c>
      <c r="AK28" s="2">
        <f>Tabel2425[[#This Row],[Verbruik Gekoeld liter deze maand]]/0.15</f>
        <v>497.99999999999994</v>
      </c>
      <c r="AL28" s="25">
        <v>102.5</v>
      </c>
      <c r="AM28">
        <f>Tabel242[[#This Row],[Stand Bruisend liter einde maand]]</f>
        <v>69.599999999999994</v>
      </c>
      <c r="AN28">
        <f>Tabel2425[[#This Row],[Stand Bruisend liter einde maand]]-Tabel2425[[#This Row],[Stand Bruisend liter vorige maand]]</f>
        <v>32.900000000000006</v>
      </c>
      <c r="AO28" s="2">
        <f>Tabel2425[[#This Row],[Verbruik Bruisend liter deze maand]]/0.15</f>
        <v>219.33333333333337</v>
      </c>
      <c r="AP28" s="25">
        <v>63.8</v>
      </c>
      <c r="AQ28">
        <f>Tabel242[[#This Row],[Stand licht bruisend liter einde maand]]</f>
        <v>85</v>
      </c>
      <c r="AR28">
        <f>Tabel2425[[#This Row],[Stand licht bruisend liter einde maand]]-Tabel2425[[#This Row],[Stand licht bruisend liter vorige maand]]</f>
        <v>-21.200000000000003</v>
      </c>
      <c r="AS28" s="2">
        <f>Tabel2425[[#This Row],[Verbruik licht bruisend liter deze maand]]/0.15</f>
        <v>-141.33333333333337</v>
      </c>
      <c r="AT28" s="25">
        <v>197.2</v>
      </c>
      <c r="AU28">
        <f>Tabel242[[#This Row],[Stand heet water liter einde maand]]</f>
        <v>805.7</v>
      </c>
      <c r="AV28">
        <f>Tabel2425[[#This Row],[Stand heet water liter einde maand]]-Tabel2425[[#This Row],[Stand heet water liter vorige maand]]</f>
        <v>-608.5</v>
      </c>
      <c r="AW28" s="20">
        <f>Tabel2425[[#This Row],[Verbruik heet Water liter deze maand ]]/0.15</f>
        <v>-4056.666666666667</v>
      </c>
      <c r="AX28" s="4">
        <f>Tabel2425[[#This Row],[Aantal consumpties heet water deze maand]]+Tabel2425[[#This Row],[Aantal consumpties licht bruisend water deze maand]]+Tabel2425[[#This Row],[aantal consumpties Bruisend water deze maand]]+Tabel2425[[#This Row],[Aantal consumpties gekoeld water deze maand]]+Tabel2425[[#This Row],[Aantal consumpties Kamertemp deze maand]]</f>
        <v>-3420</v>
      </c>
      <c r="AY28" s="4">
        <f>Tabel2425[[#This Row],[Subtotaal waterbar in consumpties]]+Tabel2425[[#This Row],[Subtotaal koffieautomaten]]</f>
        <v>-3420</v>
      </c>
    </row>
    <row r="29" spans="1:51" x14ac:dyDescent="0.25">
      <c r="A29" t="s">
        <v>41</v>
      </c>
      <c r="B29" t="s">
        <v>78</v>
      </c>
      <c r="C29" t="s">
        <v>47</v>
      </c>
      <c r="E29" s="25">
        <v>1074</v>
      </c>
      <c r="F29">
        <f>Tabel242[[#This Row],[Stand Coffee einde maand]]</f>
        <v>868</v>
      </c>
      <c r="G29" s="12">
        <f>Tabel2425[[#This Row],[Stand Coffee einde maand]]-Tabel2425[[#This Row],[Coffee vorige maand]]</f>
        <v>206</v>
      </c>
      <c r="H29" s="25">
        <v>516</v>
      </c>
      <c r="I29">
        <f>Tabel242[[#This Row],[Stand Espresso Einde maand]]</f>
        <v>397</v>
      </c>
      <c r="J29" s="12">
        <f>Tabel2425[[#This Row],[Stand Espresso Einde maand]]-Tabel2425[[#This Row],[Espresso vorige maand]]</f>
        <v>119</v>
      </c>
      <c r="K29" s="25">
        <v>39</v>
      </c>
      <c r="L29">
        <f>Tabel242[[#This Row],[Stand Latte Macchiato einde maand]]</f>
        <v>21</v>
      </c>
      <c r="M29">
        <f>Tabel2425[[#This Row],[Stand Latte Macchiato einde maand]]-Tabel2425[[#This Row],[Latte Macchiato vorige maand]]</f>
        <v>18</v>
      </c>
      <c r="N29" s="25">
        <v>93</v>
      </c>
      <c r="O29">
        <f>Tabel242[[#This Row],[Stand Coffee Latte einde maand]]</f>
        <v>87</v>
      </c>
      <c r="P29">
        <f>Tabel2425[[#This Row],[Stand Coffee Latte einde maand]]-Tabel2425[[#This Row],[Coffee Latte vorige maand]]</f>
        <v>6</v>
      </c>
      <c r="Q29" s="25">
        <v>1</v>
      </c>
      <c r="R29">
        <f>Tabel242[[#This Row],[Stand Hot Water einde maand]]</f>
        <v>0</v>
      </c>
      <c r="S29">
        <f>Tabel2425[[#This Row],[Stand Hot Water einde maand]]-Tabel2425[[#This Row],[Hot Water vorige maand]]</f>
        <v>1</v>
      </c>
      <c r="T29" s="25">
        <v>559</v>
      </c>
      <c r="U29">
        <f>Tabel242[[#This Row],[Stand Cappucino einde maand]]</f>
        <v>479</v>
      </c>
      <c r="V29">
        <f>Tabel2425[[#This Row],[Stand Cappucino einde maand]]-Tabel2425[[#This Row],[Stand Cappucino vorige maand]]</f>
        <v>80</v>
      </c>
      <c r="W29" s="25">
        <v>418</v>
      </c>
      <c r="X29">
        <f>Tabel242[[#This Row],[Stand Cappucino Plantaardig einde maand]]</f>
        <v>326</v>
      </c>
      <c r="Y29">
        <f>Tabel2425[[#This Row],[Stand Cappucino Plantaardig einde maand]]-Tabel2425[[#This Row],[Stand Cappucino Plantaardig vorige maand]]</f>
        <v>92</v>
      </c>
      <c r="Z29" s="25">
        <v>152</v>
      </c>
      <c r="AA29">
        <f>Tabel242[[#This Row],[Stand Latte Macchiato Plantaardig einde maand]]</f>
        <v>133</v>
      </c>
      <c r="AB29" s="12">
        <f>Tabel2425[[#This Row],[Stand Latte Macchiato Plantaardig einde maand]]-Tabel2425[[#This Row],[Stand Latte Macchiato Plantaardig vorige maand]]</f>
        <v>19</v>
      </c>
      <c r="AC29" s="3">
        <f>Tabel2425[[#This Row],[Verbruik Stand Latte Macchiato Plantaardig deze maand]]+Tabel2425[[#This Row],[Verbruik  Cappucino Plantaardig deze maand]]+Tabel2425[[#This Row],[Verbruik Cappucino deze maand]]+Tabel2425[[#This Row],[Verbruik Hot Water deze maand]]+Tabel2425[[#This Row],[Verbruik Coffee Latte deze maand]]+Tabel2425[[#This Row],[Verbruik Latte Macchiato deze maand]]+Tabel2425[[#This Row],[Verbruik Espresso deze maand]]+Tabel2425[[#This Row],[Verbruik Coffee deze maand]]</f>
        <v>541</v>
      </c>
      <c r="AD29" s="11">
        <v>34.299999999999997</v>
      </c>
      <c r="AE29">
        <f>Tabel242[[#This Row],[Stand Kamertemp liter einde maand]]</f>
        <v>27.8</v>
      </c>
      <c r="AF29">
        <f>Tabel2425[[#This Row],[Stand Kamertemp liter einde maand]]-Tabel2425[[#This Row],[Stand Kamertemp liter vorige maand]]</f>
        <v>6.4999999999999964</v>
      </c>
      <c r="AG29" s="2">
        <f>Tabel2425[[#This Row],[Verbruik Kamertemp liter deze maand]]/0.15</f>
        <v>43.333333333333314</v>
      </c>
      <c r="AH29" s="11">
        <v>219.5</v>
      </c>
      <c r="AI29">
        <f>Tabel242[[#This Row],[Stand Gekoeld liter einde maand]]</f>
        <v>175.7</v>
      </c>
      <c r="AJ29">
        <f>Tabel2425[[#This Row],[Stand Gekoeld liter einde maand]]-Tabel2425[[#This Row],[Stand Gekoeld liter vorige maand]]</f>
        <v>43.800000000000011</v>
      </c>
      <c r="AK29" s="2">
        <f>Tabel2425[[#This Row],[Verbruik Gekoeld liter deze maand]]/0.15</f>
        <v>292.00000000000011</v>
      </c>
      <c r="AL29" s="11">
        <v>362</v>
      </c>
      <c r="AM29">
        <f>Tabel242[[#This Row],[Stand Bruisend liter einde maand]]</f>
        <v>287.39999999999998</v>
      </c>
      <c r="AN29">
        <f>Tabel2425[[#This Row],[Stand Bruisend liter einde maand]]-Tabel2425[[#This Row],[Stand Bruisend liter vorige maand]]</f>
        <v>74.600000000000023</v>
      </c>
      <c r="AO29" s="2">
        <f>Tabel2425[[#This Row],[Verbruik Bruisend liter deze maand]]/0.15</f>
        <v>497.33333333333348</v>
      </c>
      <c r="AP29" s="11">
        <v>288.10000000000002</v>
      </c>
      <c r="AQ29">
        <f>Tabel242[[#This Row],[Stand licht bruisend liter einde maand]]</f>
        <v>39.200000000000003</v>
      </c>
      <c r="AR29">
        <f>Tabel2425[[#This Row],[Stand licht bruisend liter einde maand]]-Tabel2425[[#This Row],[Stand licht bruisend liter vorige maand]]</f>
        <v>248.90000000000003</v>
      </c>
      <c r="AS29" s="2">
        <f>Tabel2425[[#This Row],[Verbruik licht bruisend liter deze maand]]/0.15</f>
        <v>1659.3333333333337</v>
      </c>
      <c r="AT29" s="11">
        <v>1242.0999999999999</v>
      </c>
      <c r="AU29">
        <f>Tabel242[[#This Row],[Stand heet water liter einde maand]]</f>
        <v>151.9</v>
      </c>
      <c r="AV29">
        <f>Tabel2425[[#This Row],[Stand heet water liter einde maand]]-Tabel2425[[#This Row],[Stand heet water liter vorige maand]]</f>
        <v>1090.1999999999998</v>
      </c>
      <c r="AW29" s="20">
        <f>Tabel2425[[#This Row],[Verbruik heet Water liter deze maand ]]/0.15</f>
        <v>7267.9999999999991</v>
      </c>
      <c r="AX29" s="4">
        <f>Tabel2425[[#This Row],[Aantal consumpties heet water deze maand]]+Tabel2425[[#This Row],[Aantal consumpties licht bruisend water deze maand]]+Tabel2425[[#This Row],[aantal consumpties Bruisend water deze maand]]+Tabel2425[[#This Row],[Aantal consumpties gekoeld water deze maand]]+Tabel2425[[#This Row],[Aantal consumpties Kamertemp deze maand]]</f>
        <v>9760</v>
      </c>
      <c r="AY29" s="4">
        <f>Tabel2425[[#This Row],[Subtotaal waterbar in consumpties]]+Tabel2425[[#This Row],[Subtotaal koffieautomaten]]</f>
        <v>10301</v>
      </c>
    </row>
    <row r="30" spans="1:51" x14ac:dyDescent="0.25">
      <c r="A30" t="s">
        <v>43</v>
      </c>
      <c r="B30" t="s">
        <v>79</v>
      </c>
      <c r="C30" t="s">
        <v>31</v>
      </c>
      <c r="E30" s="25">
        <v>1754</v>
      </c>
      <c r="F30">
        <f>Tabel242[[#This Row],[Stand Coffee einde maand]]</f>
        <v>1387</v>
      </c>
      <c r="G30" s="12">
        <f>Tabel2425[[#This Row],[Stand Coffee einde maand]]-Tabel2425[[#This Row],[Coffee vorige maand]]</f>
        <v>367</v>
      </c>
      <c r="H30" s="25">
        <v>678</v>
      </c>
      <c r="I30">
        <f>Tabel242[[#This Row],[Stand Espresso Einde maand]]</f>
        <v>558</v>
      </c>
      <c r="J30" s="12">
        <f>Tabel2425[[#This Row],[Stand Espresso Einde maand]]-Tabel2425[[#This Row],[Espresso vorige maand]]</f>
        <v>120</v>
      </c>
      <c r="K30" s="25">
        <v>45</v>
      </c>
      <c r="L30">
        <f>Tabel242[[#This Row],[Stand Latte Macchiato einde maand]]</f>
        <v>40</v>
      </c>
      <c r="M30">
        <f>Tabel2425[[#This Row],[Stand Latte Macchiato einde maand]]-Tabel2425[[#This Row],[Latte Macchiato vorige maand]]</f>
        <v>5</v>
      </c>
      <c r="N30" s="25">
        <v>25</v>
      </c>
      <c r="O30">
        <f>Tabel242[[#This Row],[Stand Coffee Latte einde maand]]</f>
        <v>21</v>
      </c>
      <c r="P30">
        <f>Tabel2425[[#This Row],[Stand Coffee Latte einde maand]]-Tabel2425[[#This Row],[Coffee Latte vorige maand]]</f>
        <v>4</v>
      </c>
      <c r="Q30" s="25">
        <v>1593</v>
      </c>
      <c r="R30">
        <f>Tabel242[[#This Row],[Stand Hot Water einde maand]]</f>
        <v>1230</v>
      </c>
      <c r="S30">
        <f>Tabel2425[[#This Row],[Stand Hot Water einde maand]]-Tabel2425[[#This Row],[Hot Water vorige maand]]</f>
        <v>363</v>
      </c>
      <c r="T30" s="25">
        <v>859</v>
      </c>
      <c r="U30">
        <f>Tabel242[[#This Row],[Stand Cappucino einde maand]]</f>
        <v>675</v>
      </c>
      <c r="V30">
        <f>Tabel2425[[#This Row],[Stand Cappucino einde maand]]-Tabel2425[[#This Row],[Stand Cappucino vorige maand]]</f>
        <v>184</v>
      </c>
      <c r="W30" s="25">
        <v>63</v>
      </c>
      <c r="X30">
        <f>Tabel242[[#This Row],[Stand Cappucino Plantaardig einde maand]]</f>
        <v>52</v>
      </c>
      <c r="Y30">
        <f>Tabel2425[[#This Row],[Stand Cappucino Plantaardig einde maand]]-Tabel2425[[#This Row],[Stand Cappucino Plantaardig vorige maand]]</f>
        <v>11</v>
      </c>
      <c r="Z30" s="25">
        <v>11</v>
      </c>
      <c r="AA30">
        <f>Tabel242[[#This Row],[Stand Latte Macchiato Plantaardig einde maand]]</f>
        <v>10</v>
      </c>
      <c r="AB30" s="12">
        <f>Tabel2425[[#This Row],[Stand Latte Macchiato Plantaardig einde maand]]-Tabel2425[[#This Row],[Stand Latte Macchiato Plantaardig vorige maand]]</f>
        <v>1</v>
      </c>
      <c r="AC30" s="3">
        <f>Tabel2425[[#This Row],[Verbruik Stand Latte Macchiato Plantaardig deze maand]]+Tabel2425[[#This Row],[Verbruik  Cappucino Plantaardig deze maand]]+Tabel2425[[#This Row],[Verbruik Cappucino deze maand]]+Tabel2425[[#This Row],[Verbruik Hot Water deze maand]]+Tabel2425[[#This Row],[Verbruik Coffee Latte deze maand]]+Tabel2425[[#This Row],[Verbruik Latte Macchiato deze maand]]+Tabel2425[[#This Row],[Verbruik Espresso deze maand]]+Tabel2425[[#This Row],[Verbruik Coffee deze maand]]</f>
        <v>1055</v>
      </c>
      <c r="AD30" s="26"/>
      <c r="AE30" s="5"/>
      <c r="AF30" s="5"/>
      <c r="AG30" s="5"/>
      <c r="AH30" s="26"/>
      <c r="AI30" s="5"/>
      <c r="AJ30" s="5"/>
      <c r="AK30" s="7"/>
      <c r="AL30" s="26"/>
      <c r="AM30" s="5"/>
      <c r="AN30" s="5"/>
      <c r="AO30" s="7"/>
      <c r="AP30" s="26"/>
      <c r="AQ30" s="5"/>
      <c r="AR30" s="5"/>
      <c r="AS30" s="7"/>
      <c r="AT30" s="26"/>
      <c r="AU30" s="5">
        <f>Tabel242[[#This Row],[Stand heet water liter einde maand]]</f>
        <v>0</v>
      </c>
      <c r="AV30" s="5"/>
      <c r="AW30" s="21"/>
      <c r="AX30" s="8"/>
      <c r="AY30" s="4">
        <f>Tabel2425[[#This Row],[Subtotaal waterbar in consumpties]]+Tabel2425[[#This Row],[Subtotaal koffieautomaten]]</f>
        <v>1055</v>
      </c>
    </row>
    <row r="31" spans="1:51" x14ac:dyDescent="0.25">
      <c r="A31" t="s">
        <v>45</v>
      </c>
      <c r="B31" t="s">
        <v>80</v>
      </c>
      <c r="C31" t="s">
        <v>36</v>
      </c>
      <c r="E31" s="36"/>
      <c r="F31" s="37"/>
      <c r="G31" s="38"/>
      <c r="H31" s="36"/>
      <c r="I31" s="37"/>
      <c r="J31" s="38"/>
      <c r="K31" s="36"/>
      <c r="L31" s="37"/>
      <c r="M31" s="37"/>
      <c r="N31" s="36"/>
      <c r="O31" s="37"/>
      <c r="P31" s="37"/>
      <c r="Q31" s="36"/>
      <c r="R31" s="37"/>
      <c r="S31" s="37"/>
      <c r="T31" s="36"/>
      <c r="U31" s="37"/>
      <c r="V31" s="37"/>
      <c r="W31" s="36"/>
      <c r="X31" s="37"/>
      <c r="Y31" s="37"/>
      <c r="Z31" s="36"/>
      <c r="AA31" s="37"/>
      <c r="AB31" s="38"/>
      <c r="AC31" s="39"/>
      <c r="AD31" s="25">
        <v>17.7</v>
      </c>
      <c r="AE31">
        <f>Tabel242[[#This Row],[Stand Kamertemp liter einde maand]]</f>
        <v>17.7</v>
      </c>
      <c r="AF31">
        <f>Tabel2425[[#This Row],[Stand Kamertemp liter einde maand]]-Tabel2425[[#This Row],[Stand Kamertemp liter vorige maand]]</f>
        <v>0</v>
      </c>
      <c r="AG31" s="2">
        <f>Tabel2425[[#This Row],[Verbruik Kamertemp liter deze maand]]/0.15</f>
        <v>0</v>
      </c>
      <c r="AH31" s="25">
        <v>80</v>
      </c>
      <c r="AI31">
        <f>Tabel242[[#This Row],[Stand Gekoeld liter einde maand]]</f>
        <v>80</v>
      </c>
      <c r="AJ31">
        <f>Tabel2425[[#This Row],[Stand Gekoeld liter einde maand]]-Tabel2425[[#This Row],[Stand Gekoeld liter vorige maand]]</f>
        <v>0</v>
      </c>
      <c r="AK31" s="2">
        <f>Tabel2425[[#This Row],[Verbruik Gekoeld liter deze maand]]/0.15</f>
        <v>0</v>
      </c>
      <c r="AL31" s="25">
        <v>124.5</v>
      </c>
      <c r="AM31">
        <f>Tabel242[[#This Row],[Stand Bruisend liter einde maand]]</f>
        <v>124.5</v>
      </c>
      <c r="AN31">
        <f>Tabel2425[[#This Row],[Stand Bruisend liter einde maand]]-Tabel2425[[#This Row],[Stand Bruisend liter vorige maand]]</f>
        <v>0</v>
      </c>
      <c r="AO31" s="2">
        <f>Tabel2425[[#This Row],[Verbruik Bruisend liter deze maand]]/0.15</f>
        <v>0</v>
      </c>
      <c r="AP31" s="25">
        <v>89</v>
      </c>
      <c r="AQ31">
        <f>Tabel242[[#This Row],[Stand licht bruisend liter einde maand]]</f>
        <v>89</v>
      </c>
      <c r="AR31">
        <f>Tabel2425[[#This Row],[Stand licht bruisend liter einde maand]]-Tabel2425[[#This Row],[Stand licht bruisend liter vorige maand]]</f>
        <v>0</v>
      </c>
      <c r="AS31" s="2">
        <f>Tabel2425[[#This Row],[Verbruik licht bruisend liter deze maand]]/0.15</f>
        <v>0</v>
      </c>
      <c r="AT31" s="25">
        <v>482</v>
      </c>
      <c r="AU31">
        <f>Tabel242[[#This Row],[Stand heet water liter einde maand]]</f>
        <v>482</v>
      </c>
      <c r="AV31">
        <f>Tabel2425[[#This Row],[Stand heet water liter einde maand]]-Tabel2425[[#This Row],[Stand heet water liter vorige maand]]</f>
        <v>0</v>
      </c>
      <c r="AW31" s="20">
        <f>Tabel2425[[#This Row],[Verbruik heet Water liter deze maand ]]/0.15</f>
        <v>0</v>
      </c>
      <c r="AX31" s="4">
        <f>Tabel2425[[#This Row],[Aantal consumpties heet water deze maand]]+Tabel2425[[#This Row],[Aantal consumpties licht bruisend water deze maand]]+Tabel2425[[#This Row],[aantal consumpties Bruisend water deze maand]]+Tabel2425[[#This Row],[Aantal consumpties gekoeld water deze maand]]+Tabel2425[[#This Row],[Aantal consumpties Kamertemp deze maand]]</f>
        <v>0</v>
      </c>
      <c r="AY31" s="4">
        <f>Tabel2425[[#This Row],[Subtotaal waterbar in consumpties]]+Tabel2425[[#This Row],[Subtotaal koffieautomaten]]</f>
        <v>0</v>
      </c>
    </row>
    <row r="32" spans="1:51" x14ac:dyDescent="0.25">
      <c r="A32" t="s">
        <v>48</v>
      </c>
      <c r="B32" t="s">
        <v>81</v>
      </c>
      <c r="C32" t="s">
        <v>31</v>
      </c>
      <c r="E32" s="25">
        <v>1473</v>
      </c>
      <c r="F32">
        <f>Tabel242[[#This Row],[Stand Coffee einde maand]]</f>
        <v>1159</v>
      </c>
      <c r="G32" s="12">
        <f>Tabel2425[[#This Row],[Stand Coffee einde maand]]-Tabel2425[[#This Row],[Coffee vorige maand]]</f>
        <v>314</v>
      </c>
      <c r="H32" s="25">
        <v>150</v>
      </c>
      <c r="I32">
        <f>Tabel242[[#This Row],[Stand Espresso Einde maand]]</f>
        <v>135</v>
      </c>
      <c r="J32" s="12">
        <f>Tabel2425[[#This Row],[Stand Espresso Einde maand]]-Tabel2425[[#This Row],[Espresso vorige maand]]</f>
        <v>15</v>
      </c>
      <c r="K32" s="25">
        <v>65</v>
      </c>
      <c r="L32">
        <f>Tabel242[[#This Row],[Stand Latte Macchiato einde maand]]</f>
        <v>33</v>
      </c>
      <c r="M32">
        <f>Tabel2425[[#This Row],[Stand Latte Macchiato einde maand]]-Tabel2425[[#This Row],[Latte Macchiato vorige maand]]</f>
        <v>32</v>
      </c>
      <c r="N32" s="25">
        <v>53</v>
      </c>
      <c r="O32">
        <f>Tabel242[[#This Row],[Stand Coffee Latte einde maand]]</f>
        <v>47</v>
      </c>
      <c r="P32">
        <f>Tabel2425[[#This Row],[Stand Coffee Latte einde maand]]-Tabel2425[[#This Row],[Coffee Latte vorige maand]]</f>
        <v>6</v>
      </c>
      <c r="Q32" s="25">
        <v>2991</v>
      </c>
      <c r="R32">
        <f>Tabel242[[#This Row],[Stand Hot Water einde maand]]</f>
        <v>2349</v>
      </c>
      <c r="S32">
        <f>Tabel2425[[#This Row],[Stand Hot Water einde maand]]-Tabel2425[[#This Row],[Hot Water vorige maand]]</f>
        <v>642</v>
      </c>
      <c r="T32" s="25">
        <v>594</v>
      </c>
      <c r="U32">
        <f>Tabel242[[#This Row],[Stand Cappucino einde maand]]</f>
        <v>434</v>
      </c>
      <c r="V32">
        <f>Tabel2425[[#This Row],[Stand Cappucino einde maand]]-Tabel2425[[#This Row],[Stand Cappucino vorige maand]]</f>
        <v>160</v>
      </c>
      <c r="W32" s="25">
        <v>52</v>
      </c>
      <c r="X32">
        <f>Tabel242[[#This Row],[Stand Cappucino Plantaardig einde maand]]</f>
        <v>52</v>
      </c>
      <c r="Y32">
        <f>Tabel2425[[#This Row],[Stand Cappucino Plantaardig einde maand]]-Tabel2425[[#This Row],[Stand Cappucino Plantaardig vorige maand]]</f>
        <v>0</v>
      </c>
      <c r="Z32" s="25">
        <v>8</v>
      </c>
      <c r="AA32">
        <f>Tabel242[[#This Row],[Stand Latte Macchiato Plantaardig einde maand]]</f>
        <v>8</v>
      </c>
      <c r="AB32" s="12">
        <f>Tabel2425[[#This Row],[Stand Latte Macchiato Plantaardig einde maand]]-Tabel2425[[#This Row],[Stand Latte Macchiato Plantaardig vorige maand]]</f>
        <v>0</v>
      </c>
      <c r="AC32" s="3">
        <f>Tabel2425[[#This Row],[Verbruik Stand Latte Macchiato Plantaardig deze maand]]+Tabel2425[[#This Row],[Verbruik  Cappucino Plantaardig deze maand]]+Tabel2425[[#This Row],[Verbruik Cappucino deze maand]]+Tabel2425[[#This Row],[Verbruik Hot Water deze maand]]+Tabel2425[[#This Row],[Verbruik Coffee Latte deze maand]]+Tabel2425[[#This Row],[Verbruik Latte Macchiato deze maand]]+Tabel2425[[#This Row],[Verbruik Espresso deze maand]]+Tabel2425[[#This Row],[Verbruik Coffee deze maand]]</f>
        <v>1169</v>
      </c>
      <c r="AD32" s="26"/>
      <c r="AE32" s="5"/>
      <c r="AF32" s="5"/>
      <c r="AG32" s="5"/>
      <c r="AH32" s="26"/>
      <c r="AI32" s="5"/>
      <c r="AJ32" s="5"/>
      <c r="AK32" s="7"/>
      <c r="AL32" s="26"/>
      <c r="AM32" s="5"/>
      <c r="AN32" s="5"/>
      <c r="AO32" s="7"/>
      <c r="AP32" s="26"/>
      <c r="AQ32" s="5"/>
      <c r="AR32" s="5"/>
      <c r="AS32" s="7"/>
      <c r="AT32" s="26"/>
      <c r="AU32" s="5"/>
      <c r="AV32" s="5"/>
      <c r="AW32" s="21"/>
      <c r="AX32" s="8"/>
      <c r="AY32" s="4">
        <f>Tabel2425[[#This Row],[Subtotaal waterbar in consumpties]]+Tabel2425[[#This Row],[Subtotaal koffieautomaten]]</f>
        <v>1169</v>
      </c>
    </row>
    <row r="33" spans="1:51" x14ac:dyDescent="0.25">
      <c r="A33" t="s">
        <v>50</v>
      </c>
      <c r="B33" t="s">
        <v>82</v>
      </c>
      <c r="C33" t="s">
        <v>47</v>
      </c>
      <c r="E33" s="11">
        <v>978</v>
      </c>
      <c r="F33">
        <f>Tabel242[[#This Row],[Stand Coffee einde maand]]</f>
        <v>765</v>
      </c>
      <c r="G33" s="12">
        <f>Tabel2425[[#This Row],[Stand Coffee einde maand]]-Tabel2425[[#This Row],[Coffee vorige maand]]</f>
        <v>213</v>
      </c>
      <c r="H33" s="11">
        <v>101</v>
      </c>
      <c r="I33">
        <f>Tabel242[[#This Row],[Stand Espresso Einde maand]]</f>
        <v>72</v>
      </c>
      <c r="J33" s="12">
        <f>Tabel2425[[#This Row],[Stand Espresso Einde maand]]-Tabel2425[[#This Row],[Espresso vorige maand]]</f>
        <v>29</v>
      </c>
      <c r="K33" s="11">
        <v>230</v>
      </c>
      <c r="L33">
        <f>Tabel242[[#This Row],[Stand Latte Macchiato einde maand]]</f>
        <v>186</v>
      </c>
      <c r="M33">
        <f>Tabel2425[[#This Row],[Stand Latte Macchiato einde maand]]-Tabel2425[[#This Row],[Latte Macchiato vorige maand]]</f>
        <v>44</v>
      </c>
      <c r="N33" s="11">
        <v>123</v>
      </c>
      <c r="O33">
        <f>Tabel242[[#This Row],[Stand Coffee Latte einde maand]]</f>
        <v>84</v>
      </c>
      <c r="P33">
        <f>Tabel2425[[#This Row],[Stand Coffee Latte einde maand]]-Tabel2425[[#This Row],[Coffee Latte vorige maand]]</f>
        <v>39</v>
      </c>
      <c r="Q33" s="11">
        <v>1</v>
      </c>
      <c r="R33">
        <f>Tabel242[[#This Row],[Stand Hot Water einde maand]]</f>
        <v>0</v>
      </c>
      <c r="S33">
        <f>Tabel2425[[#This Row],[Stand Hot Water einde maand]]-Tabel2425[[#This Row],[Hot Water vorige maand]]</f>
        <v>1</v>
      </c>
      <c r="T33" s="11">
        <v>620</v>
      </c>
      <c r="U33">
        <f>Tabel242[[#This Row],[Stand Cappucino einde maand]]</f>
        <v>488</v>
      </c>
      <c r="V33">
        <f>Tabel2425[[#This Row],[Stand Cappucino einde maand]]-Tabel2425[[#This Row],[Stand Cappucino vorige maand]]</f>
        <v>132</v>
      </c>
      <c r="W33" s="11">
        <v>101</v>
      </c>
      <c r="X33">
        <f>Tabel242[[#This Row],[Stand Cappucino Plantaardig einde maand]]</f>
        <v>91</v>
      </c>
      <c r="Y33">
        <f>Tabel2425[[#This Row],[Stand Cappucino Plantaardig einde maand]]-Tabel2425[[#This Row],[Stand Cappucino Plantaardig vorige maand]]</f>
        <v>10</v>
      </c>
      <c r="Z33" s="11">
        <v>14</v>
      </c>
      <c r="AA33">
        <f>Tabel242[[#This Row],[Stand Latte Macchiato Plantaardig einde maand]]</f>
        <v>10</v>
      </c>
      <c r="AB33" s="12">
        <f>Tabel2425[[#This Row],[Stand Latte Macchiato Plantaardig einde maand]]-Tabel2425[[#This Row],[Stand Latte Macchiato Plantaardig vorige maand]]</f>
        <v>4</v>
      </c>
      <c r="AC33" s="3">
        <f>Tabel2425[[#This Row],[Verbruik Stand Latte Macchiato Plantaardig deze maand]]+Tabel2425[[#This Row],[Verbruik  Cappucino Plantaardig deze maand]]+Tabel2425[[#This Row],[Verbruik Cappucino deze maand]]+Tabel2425[[#This Row],[Verbruik Hot Water deze maand]]+Tabel2425[[#This Row],[Verbruik Coffee Latte deze maand]]+Tabel2425[[#This Row],[Verbruik Latte Macchiato deze maand]]+Tabel2425[[#This Row],[Verbruik Espresso deze maand]]+Tabel2425[[#This Row],[Verbruik Coffee deze maand]]</f>
        <v>472</v>
      </c>
      <c r="AD33" s="25">
        <v>24.1</v>
      </c>
      <c r="AE33">
        <f>Tabel242[[#This Row],[Stand Kamertemp liter einde maand]]</f>
        <v>21.5</v>
      </c>
      <c r="AF33">
        <f>Tabel2425[[#This Row],[Stand Kamertemp liter einde maand]]-Tabel2425[[#This Row],[Stand Kamertemp liter vorige maand]]</f>
        <v>2.6000000000000014</v>
      </c>
      <c r="AG33" s="2">
        <f>Tabel2425[[#This Row],[Verbruik Kamertemp liter deze maand]]/0.15</f>
        <v>17.333333333333343</v>
      </c>
      <c r="AH33" s="25">
        <v>116.3</v>
      </c>
      <c r="AI33">
        <f>Tabel242[[#This Row],[Stand Gekoeld liter einde maand]]</f>
        <v>93.9</v>
      </c>
      <c r="AJ33">
        <f>Tabel2425[[#This Row],[Stand Gekoeld liter einde maand]]-Tabel2425[[#This Row],[Stand Gekoeld liter vorige maand]]</f>
        <v>22.399999999999991</v>
      </c>
      <c r="AK33" s="2">
        <f>Tabel2425[[#This Row],[Verbruik Gekoeld liter deze maand]]/0.15</f>
        <v>149.33333333333329</v>
      </c>
      <c r="AL33" s="25">
        <v>153</v>
      </c>
      <c r="AM33">
        <f>Tabel242[[#This Row],[Stand Bruisend liter einde maand]]</f>
        <v>121.3</v>
      </c>
      <c r="AN33">
        <f>Tabel2425[[#This Row],[Stand Bruisend liter einde maand]]-Tabel2425[[#This Row],[Stand Bruisend liter vorige maand]]</f>
        <v>31.700000000000003</v>
      </c>
      <c r="AO33" s="2">
        <f>Tabel2425[[#This Row],[Verbruik Bruisend liter deze maand]]/0.15</f>
        <v>211.33333333333337</v>
      </c>
      <c r="AP33" s="25">
        <v>34.700000000000003</v>
      </c>
      <c r="AQ33">
        <f>Tabel242[[#This Row],[Stand licht bruisend liter einde maand]]</f>
        <v>26.1</v>
      </c>
      <c r="AR33">
        <f>Tabel2425[[#This Row],[Stand licht bruisend liter einde maand]]-Tabel2425[[#This Row],[Stand licht bruisend liter vorige maand]]</f>
        <v>8.6000000000000014</v>
      </c>
      <c r="AS33" s="2">
        <f>Tabel2425[[#This Row],[Verbruik licht bruisend liter deze maand]]/0.15</f>
        <v>57.333333333333343</v>
      </c>
      <c r="AT33" s="25">
        <v>511.6</v>
      </c>
      <c r="AU33">
        <f>Tabel242[[#This Row],[Stand heet water liter einde maand]]</f>
        <v>418.1</v>
      </c>
      <c r="AV33">
        <f>Tabel2425[[#This Row],[Stand heet water liter einde maand]]-Tabel2425[[#This Row],[Stand heet water liter vorige maand]]</f>
        <v>93.5</v>
      </c>
      <c r="AW33" s="20">
        <f>Tabel2425[[#This Row],[Verbruik heet Water liter deze maand ]]/0.15</f>
        <v>623.33333333333337</v>
      </c>
      <c r="AX33" s="4">
        <f>Tabel2425[[#This Row],[Aantal consumpties heet water deze maand]]+Tabel2425[[#This Row],[Aantal consumpties licht bruisend water deze maand]]+Tabel2425[[#This Row],[aantal consumpties Bruisend water deze maand]]+Tabel2425[[#This Row],[Aantal consumpties gekoeld water deze maand]]+Tabel2425[[#This Row],[Aantal consumpties Kamertemp deze maand]]</f>
        <v>1058.6666666666667</v>
      </c>
      <c r="AY33" s="4">
        <f>Tabel2425[[#This Row],[Subtotaal waterbar in consumpties]]+Tabel2425[[#This Row],[Subtotaal koffieautomaten]]</f>
        <v>1530.6666666666667</v>
      </c>
    </row>
    <row r="34" spans="1:51" x14ac:dyDescent="0.25">
      <c r="A34" t="s">
        <v>52</v>
      </c>
      <c r="B34" t="s">
        <v>83</v>
      </c>
      <c r="C34" t="s">
        <v>47</v>
      </c>
      <c r="E34" s="25">
        <v>1221</v>
      </c>
      <c r="F34">
        <f>Tabel242[[#This Row],[Stand Coffee einde maand]]</f>
        <v>939</v>
      </c>
      <c r="G34" s="12">
        <f>Tabel2425[[#This Row],[Stand Coffee einde maand]]-Tabel2425[[#This Row],[Coffee vorige maand]]</f>
        <v>282</v>
      </c>
      <c r="H34" s="25">
        <v>335</v>
      </c>
      <c r="I34">
        <f>Tabel242[[#This Row],[Stand Espresso Einde maand]]</f>
        <v>281</v>
      </c>
      <c r="J34" s="12">
        <f>Tabel2425[[#This Row],[Stand Espresso Einde maand]]-Tabel2425[[#This Row],[Espresso vorige maand]]</f>
        <v>54</v>
      </c>
      <c r="K34" s="25">
        <v>185</v>
      </c>
      <c r="L34">
        <f>Tabel242[[#This Row],[Stand Latte Macchiato einde maand]]</f>
        <v>150</v>
      </c>
      <c r="M34">
        <f>Tabel2425[[#This Row],[Stand Latte Macchiato einde maand]]-Tabel2425[[#This Row],[Latte Macchiato vorige maand]]</f>
        <v>35</v>
      </c>
      <c r="N34" s="25">
        <v>74</v>
      </c>
      <c r="O34">
        <f>Tabel242[[#This Row],[Stand Coffee Latte einde maand]]</f>
        <v>49</v>
      </c>
      <c r="P34">
        <f>Tabel2425[[#This Row],[Stand Coffee Latte einde maand]]-Tabel2425[[#This Row],[Coffee Latte vorige maand]]</f>
        <v>25</v>
      </c>
      <c r="Q34" s="25">
        <v>1</v>
      </c>
      <c r="R34">
        <f>Tabel242[[#This Row],[Stand Hot Water einde maand]]</f>
        <v>0</v>
      </c>
      <c r="S34">
        <f>Tabel2425[[#This Row],[Stand Hot Water einde maand]]-Tabel2425[[#This Row],[Hot Water vorige maand]]</f>
        <v>1</v>
      </c>
      <c r="T34" s="25">
        <v>421</v>
      </c>
      <c r="U34">
        <f>Tabel242[[#This Row],[Stand Cappucino einde maand]]</f>
        <v>403</v>
      </c>
      <c r="V34">
        <f>Tabel2425[[#This Row],[Stand Cappucino einde maand]]-Tabel2425[[#This Row],[Stand Cappucino vorige maand]]</f>
        <v>18</v>
      </c>
      <c r="W34" s="25">
        <v>176</v>
      </c>
      <c r="X34">
        <f>Tabel242[[#This Row],[Stand Cappucino Plantaardig einde maand]]</f>
        <v>148</v>
      </c>
      <c r="Y34">
        <f>Tabel2425[[#This Row],[Stand Cappucino Plantaardig einde maand]]-Tabel2425[[#This Row],[Stand Cappucino Plantaardig vorige maand]]</f>
        <v>28</v>
      </c>
      <c r="Z34" s="25">
        <v>198</v>
      </c>
      <c r="AA34">
        <f>Tabel242[[#This Row],[Stand Latte Macchiato Plantaardig einde maand]]</f>
        <v>169</v>
      </c>
      <c r="AB34" s="12">
        <f>Tabel2425[[#This Row],[Stand Latte Macchiato Plantaardig einde maand]]-Tabel2425[[#This Row],[Stand Latte Macchiato Plantaardig vorige maand]]</f>
        <v>29</v>
      </c>
      <c r="AC34" s="3">
        <f>Tabel2425[[#This Row],[Verbruik Stand Latte Macchiato Plantaardig deze maand]]+Tabel2425[[#This Row],[Verbruik  Cappucino Plantaardig deze maand]]+Tabel2425[[#This Row],[Verbruik Cappucino deze maand]]+Tabel2425[[#This Row],[Verbruik Hot Water deze maand]]+Tabel2425[[#This Row],[Verbruik Coffee Latte deze maand]]+Tabel2425[[#This Row],[Verbruik Latte Macchiato deze maand]]+Tabel2425[[#This Row],[Verbruik Espresso deze maand]]+Tabel2425[[#This Row],[Verbruik Coffee deze maand]]</f>
        <v>472</v>
      </c>
      <c r="AD34" s="25">
        <v>26</v>
      </c>
      <c r="AE34">
        <f>Tabel242[[#This Row],[Stand Kamertemp liter einde maand]]</f>
        <v>23.3</v>
      </c>
      <c r="AF34">
        <f>Tabel2425[[#This Row],[Stand Kamertemp liter einde maand]]-Tabel2425[[#This Row],[Stand Kamertemp liter vorige maand]]</f>
        <v>2.6999999999999993</v>
      </c>
      <c r="AG34" s="2">
        <f>Tabel2425[[#This Row],[Verbruik Kamertemp liter deze maand]]/0.15</f>
        <v>17.999999999999996</v>
      </c>
      <c r="AH34" s="25">
        <v>135.5</v>
      </c>
      <c r="AI34">
        <f>Tabel242[[#This Row],[Stand Gekoeld liter einde maand]]</f>
        <v>99.5</v>
      </c>
      <c r="AJ34">
        <f>Tabel2425[[#This Row],[Stand Gekoeld liter einde maand]]-Tabel2425[[#This Row],[Stand Gekoeld liter vorige maand]]</f>
        <v>36</v>
      </c>
      <c r="AK34" s="2">
        <f>Tabel2425[[#This Row],[Verbruik Gekoeld liter deze maand]]/0.15</f>
        <v>240</v>
      </c>
      <c r="AL34" s="25">
        <v>108.9</v>
      </c>
      <c r="AM34">
        <f>Tabel242[[#This Row],[Stand Bruisend liter einde maand]]</f>
        <v>83.8</v>
      </c>
      <c r="AN34">
        <f>Tabel2425[[#This Row],[Stand Bruisend liter einde maand]]-Tabel2425[[#This Row],[Stand Bruisend liter vorige maand]]</f>
        <v>25.100000000000009</v>
      </c>
      <c r="AO34" s="2">
        <f>Tabel2425[[#This Row],[Verbruik Bruisend liter deze maand]]/0.15</f>
        <v>167.3333333333334</v>
      </c>
      <c r="AP34" s="25">
        <v>51.9</v>
      </c>
      <c r="AQ34">
        <f>Tabel242[[#This Row],[Stand licht bruisend liter einde maand]]</f>
        <v>44.5</v>
      </c>
      <c r="AR34">
        <f>Tabel2425[[#This Row],[Stand licht bruisend liter einde maand]]-Tabel2425[[#This Row],[Stand licht bruisend liter vorige maand]]</f>
        <v>7.3999999999999986</v>
      </c>
      <c r="AS34" s="2">
        <f>Tabel2425[[#This Row],[Verbruik licht bruisend liter deze maand]]/0.15</f>
        <v>49.333333333333329</v>
      </c>
      <c r="AT34" s="25">
        <v>947.8</v>
      </c>
      <c r="AU34">
        <f>Tabel242[[#This Row],[Stand heet water liter einde maand]]</f>
        <v>747.1</v>
      </c>
      <c r="AV34">
        <f>Tabel2425[[#This Row],[Stand heet water liter einde maand]]-Tabel2425[[#This Row],[Stand heet water liter vorige maand]]</f>
        <v>200.69999999999993</v>
      </c>
      <c r="AW34" s="20">
        <f>Tabel2425[[#This Row],[Verbruik heet Water liter deze maand ]]/0.15</f>
        <v>1337.9999999999995</v>
      </c>
      <c r="AX34" s="4">
        <f>Tabel2425[[#This Row],[Aantal consumpties heet water deze maand]]+Tabel2425[[#This Row],[Aantal consumpties licht bruisend water deze maand]]+Tabel2425[[#This Row],[aantal consumpties Bruisend water deze maand]]+Tabel2425[[#This Row],[Aantal consumpties gekoeld water deze maand]]+Tabel2425[[#This Row],[Aantal consumpties Kamertemp deze maand]]</f>
        <v>1812.6666666666663</v>
      </c>
      <c r="AY34" s="4">
        <f>Tabel2425[[#This Row],[Subtotaal waterbar in consumpties]]+Tabel2425[[#This Row],[Subtotaal koffieautomaten]]</f>
        <v>2284.6666666666661</v>
      </c>
    </row>
    <row r="35" spans="1:51" x14ac:dyDescent="0.25">
      <c r="A35" t="s">
        <v>54</v>
      </c>
      <c r="B35" t="s">
        <v>84</v>
      </c>
      <c r="C35" t="s">
        <v>31</v>
      </c>
      <c r="E35" s="25">
        <v>1356</v>
      </c>
      <c r="F35">
        <f>Tabel242[[#This Row],[Stand Coffee einde maand]]</f>
        <v>1088</v>
      </c>
      <c r="G35" s="12">
        <f>Tabel2425[[#This Row],[Stand Coffee einde maand]]-Tabel2425[[#This Row],[Coffee vorige maand]]</f>
        <v>268</v>
      </c>
      <c r="H35" s="25">
        <v>222</v>
      </c>
      <c r="I35">
        <f>Tabel242[[#This Row],[Stand Espresso Einde maand]]</f>
        <v>152</v>
      </c>
      <c r="J35" s="12">
        <f>Tabel2425[[#This Row],[Stand Espresso Einde maand]]-Tabel2425[[#This Row],[Espresso vorige maand]]</f>
        <v>70</v>
      </c>
      <c r="K35" s="25">
        <v>190</v>
      </c>
      <c r="L35">
        <f>Tabel242[[#This Row],[Stand Latte Macchiato einde maand]]</f>
        <v>140</v>
      </c>
      <c r="M35">
        <f>Tabel2425[[#This Row],[Stand Latte Macchiato einde maand]]-Tabel2425[[#This Row],[Latte Macchiato vorige maand]]</f>
        <v>50</v>
      </c>
      <c r="N35" s="25">
        <v>53</v>
      </c>
      <c r="O35">
        <f>Tabel242[[#This Row],[Stand Coffee Latte einde maand]]</f>
        <v>42</v>
      </c>
      <c r="P35">
        <f>Tabel2425[[#This Row],[Stand Coffee Latte einde maand]]-Tabel2425[[#This Row],[Coffee Latte vorige maand]]</f>
        <v>11</v>
      </c>
      <c r="Q35" s="25">
        <v>1855</v>
      </c>
      <c r="R35">
        <f>Tabel242[[#This Row],[Stand Hot Water einde maand]]</f>
        <v>1542</v>
      </c>
      <c r="S35">
        <f>Tabel2425[[#This Row],[Stand Hot Water einde maand]]-Tabel2425[[#This Row],[Hot Water vorige maand]]</f>
        <v>313</v>
      </c>
      <c r="T35" s="25">
        <v>535</v>
      </c>
      <c r="U35">
        <f>Tabel242[[#This Row],[Stand Cappucino einde maand]]</f>
        <v>414</v>
      </c>
      <c r="V35">
        <f>Tabel2425[[#This Row],[Stand Cappucino einde maand]]-Tabel2425[[#This Row],[Stand Cappucino vorige maand]]</f>
        <v>121</v>
      </c>
      <c r="W35" s="25">
        <v>58</v>
      </c>
      <c r="X35">
        <f>Tabel242[[#This Row],[Stand Cappucino Plantaardig einde maand]]</f>
        <v>48</v>
      </c>
      <c r="Y35">
        <f>Tabel2425[[#This Row],[Stand Cappucino Plantaardig einde maand]]-Tabel2425[[#This Row],[Stand Cappucino Plantaardig vorige maand]]</f>
        <v>10</v>
      </c>
      <c r="Z35" s="25">
        <v>115</v>
      </c>
      <c r="AA35">
        <f>Tabel242[[#This Row],[Stand Latte Macchiato Plantaardig einde maand]]</f>
        <v>93</v>
      </c>
      <c r="AB35" s="12">
        <f>Tabel2425[[#This Row],[Stand Latte Macchiato Plantaardig einde maand]]-Tabel2425[[#This Row],[Stand Latte Macchiato Plantaardig vorige maand]]</f>
        <v>22</v>
      </c>
      <c r="AC35" s="3">
        <f>Tabel2425[[#This Row],[Verbruik Stand Latte Macchiato Plantaardig deze maand]]+Tabel2425[[#This Row],[Verbruik  Cappucino Plantaardig deze maand]]+Tabel2425[[#This Row],[Verbruik Cappucino deze maand]]+Tabel2425[[#This Row],[Verbruik Hot Water deze maand]]+Tabel2425[[#This Row],[Verbruik Coffee Latte deze maand]]+Tabel2425[[#This Row],[Verbruik Latte Macchiato deze maand]]+Tabel2425[[#This Row],[Verbruik Espresso deze maand]]+Tabel2425[[#This Row],[Verbruik Coffee deze maand]]</f>
        <v>865</v>
      </c>
      <c r="AD35" s="26"/>
      <c r="AE35" s="5"/>
      <c r="AF35" s="5"/>
      <c r="AG35" s="5"/>
      <c r="AH35" s="26"/>
      <c r="AI35" s="5"/>
      <c r="AJ35" s="5"/>
      <c r="AK35" s="5"/>
      <c r="AL35" s="26"/>
      <c r="AM35" s="5"/>
      <c r="AN35" s="5"/>
      <c r="AO35" s="7"/>
      <c r="AP35" s="26"/>
      <c r="AQ35" s="5"/>
      <c r="AR35" s="5"/>
      <c r="AS35" s="7"/>
      <c r="AT35" s="26"/>
      <c r="AU35" s="5"/>
      <c r="AV35" s="5"/>
      <c r="AW35" s="21"/>
      <c r="AX35" s="8"/>
      <c r="AY35" s="4">
        <f>Tabel2425[[#This Row],[Subtotaal waterbar in consumpties]]+Tabel2425[[#This Row],[Subtotaal koffieautomaten]]</f>
        <v>865</v>
      </c>
    </row>
    <row r="36" spans="1:51" x14ac:dyDescent="0.25">
      <c r="A36" t="s">
        <v>56</v>
      </c>
      <c r="B36" t="s">
        <v>85</v>
      </c>
      <c r="C36" t="s">
        <v>36</v>
      </c>
      <c r="E36" s="36"/>
      <c r="F36" s="37"/>
      <c r="G36" s="38"/>
      <c r="H36" s="36"/>
      <c r="I36" s="37"/>
      <c r="J36" s="38"/>
      <c r="K36" s="36"/>
      <c r="L36" s="37"/>
      <c r="M36" s="37"/>
      <c r="N36" s="36"/>
      <c r="O36" s="37"/>
      <c r="P36" s="37"/>
      <c r="Q36" s="36"/>
      <c r="R36" s="37"/>
      <c r="S36" s="37"/>
      <c r="T36" s="36"/>
      <c r="U36" s="37"/>
      <c r="V36" s="37"/>
      <c r="W36" s="36"/>
      <c r="X36" s="37"/>
      <c r="Y36" s="37"/>
      <c r="Z36" s="36"/>
      <c r="AA36" s="37"/>
      <c r="AB36" s="38"/>
      <c r="AC36" s="39"/>
      <c r="AD36" s="25">
        <v>13.4</v>
      </c>
      <c r="AE36">
        <f>Tabel242[[#This Row],[Stand Kamertemp liter einde maand]]</f>
        <v>11.6</v>
      </c>
      <c r="AF36">
        <f>Tabel2425[[#This Row],[Stand Kamertemp liter einde maand]]-Tabel2425[[#This Row],[Stand Kamertemp liter vorige maand]]</f>
        <v>1.8000000000000007</v>
      </c>
      <c r="AG36" s="2">
        <f>Tabel2425[[#This Row],[Verbruik Kamertemp liter deze maand]]/0.15</f>
        <v>12.000000000000005</v>
      </c>
      <c r="AH36" s="25">
        <v>200.7</v>
      </c>
      <c r="AI36">
        <f>Tabel242[[#This Row],[Stand Gekoeld liter einde maand]]</f>
        <v>158.1</v>
      </c>
      <c r="AJ36">
        <f>Tabel2425[[#This Row],[Stand Gekoeld liter einde maand]]-Tabel2425[[#This Row],[Stand Gekoeld liter vorige maand]]</f>
        <v>42.599999999999994</v>
      </c>
      <c r="AK36" s="2">
        <f>Tabel2425[[#This Row],[Verbruik Gekoeld liter deze maand]]/0.15</f>
        <v>284</v>
      </c>
      <c r="AL36" s="25">
        <v>73</v>
      </c>
      <c r="AM36">
        <f>Tabel242[[#This Row],[Stand Bruisend liter einde maand]]</f>
        <v>57</v>
      </c>
      <c r="AN36">
        <f>Tabel2425[[#This Row],[Stand Bruisend liter einde maand]]-Tabel2425[[#This Row],[Stand Bruisend liter vorige maand]]</f>
        <v>16</v>
      </c>
      <c r="AO36" s="2">
        <f>Tabel2425[[#This Row],[Verbruik Bruisend liter deze maand]]/0.15</f>
        <v>106.66666666666667</v>
      </c>
      <c r="AP36" s="25">
        <v>81.7</v>
      </c>
      <c r="AQ36">
        <f>Tabel242[[#This Row],[Stand licht bruisend liter einde maand]]</f>
        <v>59.9</v>
      </c>
      <c r="AR36">
        <f>Tabel2425[[#This Row],[Stand licht bruisend liter einde maand]]-Tabel2425[[#This Row],[Stand licht bruisend liter vorige maand]]</f>
        <v>21.800000000000004</v>
      </c>
      <c r="AS36" s="2">
        <f>Tabel2425[[#This Row],[Verbruik licht bruisend liter deze maand]]/0.15</f>
        <v>145.33333333333337</v>
      </c>
      <c r="AT36" s="25">
        <v>748.8</v>
      </c>
      <c r="AU36">
        <f>Tabel242[[#This Row],[Stand heet water liter einde maand]]</f>
        <v>624.4</v>
      </c>
      <c r="AV36">
        <f>Tabel2425[[#This Row],[Stand heet water liter einde maand]]-Tabel2425[[#This Row],[Stand heet water liter vorige maand]]</f>
        <v>124.39999999999998</v>
      </c>
      <c r="AW36" s="20">
        <f>Tabel2425[[#This Row],[Verbruik heet Water liter deze maand ]]/0.15</f>
        <v>829.33333333333326</v>
      </c>
      <c r="AX36" s="4">
        <f>Tabel2425[[#This Row],[Aantal consumpties heet water deze maand]]+Tabel2425[[#This Row],[Aantal consumpties licht bruisend water deze maand]]+Tabel2425[[#This Row],[aantal consumpties Bruisend water deze maand]]+Tabel2425[[#This Row],[Aantal consumpties gekoeld water deze maand]]+Tabel2425[[#This Row],[Aantal consumpties Kamertemp deze maand]]</f>
        <v>1377.3333333333333</v>
      </c>
      <c r="AY36" s="4">
        <f>Tabel2425[[#This Row],[Subtotaal waterbar in consumpties]]+Tabel2425[[#This Row],[Subtotaal koffieautomaten]]</f>
        <v>1377.3333333333333</v>
      </c>
    </row>
    <row r="37" spans="1:51" x14ac:dyDescent="0.25">
      <c r="A37" t="s">
        <v>58</v>
      </c>
      <c r="B37" t="s">
        <v>86</v>
      </c>
      <c r="C37" t="s">
        <v>47</v>
      </c>
      <c r="E37" s="25">
        <v>1900</v>
      </c>
      <c r="F37">
        <f>Tabel242[[#This Row],[Stand Coffee einde maand]]</f>
        <v>1515</v>
      </c>
      <c r="G37" s="12">
        <f>Tabel2425[[#This Row],[Stand Coffee einde maand]]-Tabel2425[[#This Row],[Coffee vorige maand]]</f>
        <v>385</v>
      </c>
      <c r="H37" s="25">
        <v>481</v>
      </c>
      <c r="I37">
        <f>Tabel242[[#This Row],[Stand Espresso Einde maand]]</f>
        <v>397</v>
      </c>
      <c r="J37" s="12">
        <f>Tabel2425[[#This Row],[Stand Espresso Einde maand]]-Tabel2425[[#This Row],[Espresso vorige maand]]</f>
        <v>84</v>
      </c>
      <c r="K37" s="25">
        <v>229</v>
      </c>
      <c r="L37">
        <f>Tabel242[[#This Row],[Stand Latte Macchiato einde maand]]</f>
        <v>193</v>
      </c>
      <c r="M37">
        <f>Tabel2425[[#This Row],[Stand Latte Macchiato einde maand]]-Tabel2425[[#This Row],[Latte Macchiato vorige maand]]</f>
        <v>36</v>
      </c>
      <c r="N37" s="25">
        <v>114</v>
      </c>
      <c r="O37">
        <f>Tabel242[[#This Row],[Stand Coffee Latte einde maand]]</f>
        <v>84</v>
      </c>
      <c r="P37">
        <f>Tabel2425[[#This Row],[Stand Coffee Latte einde maand]]-Tabel2425[[#This Row],[Coffee Latte vorige maand]]</f>
        <v>30</v>
      </c>
      <c r="Q37" s="25">
        <v>1</v>
      </c>
      <c r="R37">
        <f>Tabel242[[#This Row],[Stand Hot Water einde maand]]</f>
        <v>0</v>
      </c>
      <c r="S37">
        <f>Tabel2425[[#This Row],[Stand Hot Water einde maand]]-Tabel2425[[#This Row],[Hot Water vorige maand]]</f>
        <v>1</v>
      </c>
      <c r="T37" s="25">
        <v>890</v>
      </c>
      <c r="U37">
        <f>Tabel242[[#This Row],[Stand Cappucino einde maand]]</f>
        <v>705</v>
      </c>
      <c r="V37">
        <f>Tabel2425[[#This Row],[Stand Cappucino einde maand]]-Tabel2425[[#This Row],[Stand Cappucino vorige maand]]</f>
        <v>185</v>
      </c>
      <c r="W37" s="25">
        <v>168</v>
      </c>
      <c r="X37">
        <f>Tabel242[[#This Row],[Stand Cappucino Plantaardig einde maand]]</f>
        <v>134</v>
      </c>
      <c r="Y37">
        <f>Tabel2425[[#This Row],[Stand Cappucino Plantaardig einde maand]]-Tabel2425[[#This Row],[Stand Cappucino Plantaardig vorige maand]]</f>
        <v>34</v>
      </c>
      <c r="Z37" s="25">
        <v>107</v>
      </c>
      <c r="AA37">
        <f>Tabel242[[#This Row],[Stand Latte Macchiato Plantaardig einde maand]]</f>
        <v>88</v>
      </c>
      <c r="AB37" s="12">
        <f>Tabel2425[[#This Row],[Stand Latte Macchiato Plantaardig einde maand]]-Tabel2425[[#This Row],[Stand Latte Macchiato Plantaardig vorige maand]]</f>
        <v>19</v>
      </c>
      <c r="AC37" s="3">
        <f>Tabel2425[[#This Row],[Verbruik Stand Latte Macchiato Plantaardig deze maand]]+Tabel2425[[#This Row],[Verbruik  Cappucino Plantaardig deze maand]]+Tabel2425[[#This Row],[Verbruik Cappucino deze maand]]+Tabel2425[[#This Row],[Verbruik Hot Water deze maand]]+Tabel2425[[#This Row],[Verbruik Coffee Latte deze maand]]+Tabel2425[[#This Row],[Verbruik Latte Macchiato deze maand]]+Tabel2425[[#This Row],[Verbruik Espresso deze maand]]+Tabel2425[[#This Row],[Verbruik Coffee deze maand]]</f>
        <v>774</v>
      </c>
      <c r="AD37" s="25">
        <v>45.6</v>
      </c>
      <c r="AE37">
        <f>Tabel242[[#This Row],[Stand Kamertemp liter einde maand]]</f>
        <v>34.5</v>
      </c>
      <c r="AF37">
        <f>Tabel2425[[#This Row],[Stand Kamertemp liter einde maand]]-Tabel2425[[#This Row],[Stand Kamertemp liter vorige maand]]</f>
        <v>11.100000000000001</v>
      </c>
      <c r="AG37" s="2">
        <f>Tabel2425[[#This Row],[Verbruik Kamertemp liter deze maand]]/0.15</f>
        <v>74.000000000000014</v>
      </c>
      <c r="AH37" s="25">
        <v>200.6</v>
      </c>
      <c r="AI37">
        <f>Tabel242[[#This Row],[Stand Gekoeld liter einde maand]]</f>
        <v>158.69999999999999</v>
      </c>
      <c r="AJ37">
        <f>Tabel2425[[#This Row],[Stand Gekoeld liter einde maand]]-Tabel2425[[#This Row],[Stand Gekoeld liter vorige maand]]</f>
        <v>41.900000000000006</v>
      </c>
      <c r="AK37" s="2">
        <f>Tabel2425[[#This Row],[Verbruik Gekoeld liter deze maand]]/0.15</f>
        <v>279.33333333333337</v>
      </c>
      <c r="AL37" s="25">
        <v>101.7</v>
      </c>
      <c r="AM37">
        <f>Tabel242[[#This Row],[Stand Bruisend liter einde maand]]</f>
        <v>79.2</v>
      </c>
      <c r="AN37">
        <f>Tabel2425[[#This Row],[Stand Bruisend liter einde maand]]-Tabel2425[[#This Row],[Stand Bruisend liter vorige maand]]</f>
        <v>22.5</v>
      </c>
      <c r="AO37" s="2">
        <f>Tabel2425[[#This Row],[Verbruik Bruisend liter deze maand]]/0.15</f>
        <v>150</v>
      </c>
      <c r="AP37" s="25">
        <v>47.6</v>
      </c>
      <c r="AQ37">
        <f>Tabel242[[#This Row],[Stand licht bruisend liter einde maand]]</f>
        <v>42.4</v>
      </c>
      <c r="AR37">
        <f>Tabel2425[[#This Row],[Stand licht bruisend liter einde maand]]-Tabel2425[[#This Row],[Stand licht bruisend liter vorige maand]]</f>
        <v>5.2000000000000028</v>
      </c>
      <c r="AS37" s="2">
        <f>Tabel2425[[#This Row],[Verbruik licht bruisend liter deze maand]]/0.15</f>
        <v>34.666666666666686</v>
      </c>
      <c r="AT37" s="25">
        <v>817.8</v>
      </c>
      <c r="AU37">
        <f>Tabel242[[#This Row],[Stand heet water liter einde maand]]</f>
        <v>666.5</v>
      </c>
      <c r="AV37">
        <f>Tabel2425[[#This Row],[Stand heet water liter einde maand]]-Tabel2425[[#This Row],[Stand heet water liter vorige maand]]</f>
        <v>151.29999999999995</v>
      </c>
      <c r="AW37" s="20">
        <f>Tabel2425[[#This Row],[Verbruik heet Water liter deze maand ]]/0.15</f>
        <v>1008.6666666666664</v>
      </c>
      <c r="AX37" s="4">
        <f>Tabel2425[[#This Row],[Aantal consumpties heet water deze maand]]+Tabel2425[[#This Row],[Aantal consumpties licht bruisend water deze maand]]+Tabel2425[[#This Row],[aantal consumpties Bruisend water deze maand]]+Tabel2425[[#This Row],[Aantal consumpties gekoeld water deze maand]]+Tabel2425[[#This Row],[Aantal consumpties Kamertemp deze maand]]</f>
        <v>1546.6666666666665</v>
      </c>
      <c r="AY37" s="4">
        <f>Tabel2425[[#This Row],[Subtotaal waterbar in consumpties]]+Tabel2425[[#This Row],[Subtotaal koffieautomaten]]</f>
        <v>2320.6666666666665</v>
      </c>
    </row>
    <row r="38" spans="1:51" x14ac:dyDescent="0.25">
      <c r="A38" t="s">
        <v>60</v>
      </c>
      <c r="B38" t="s">
        <v>87</v>
      </c>
      <c r="C38" t="s">
        <v>31</v>
      </c>
      <c r="E38" s="25">
        <v>774</v>
      </c>
      <c r="F38">
        <f>Tabel242[[#This Row],[Stand Coffee einde maand]]</f>
        <v>586</v>
      </c>
      <c r="G38" s="12">
        <f>Tabel2425[[#This Row],[Stand Coffee einde maand]]-Tabel2425[[#This Row],[Coffee vorige maand]]</f>
        <v>188</v>
      </c>
      <c r="H38" s="25">
        <v>150</v>
      </c>
      <c r="I38">
        <f>Tabel242[[#This Row],[Stand Espresso Einde maand]]</f>
        <v>97</v>
      </c>
      <c r="J38" s="12">
        <f>Tabel2425[[#This Row],[Stand Espresso Einde maand]]-Tabel2425[[#This Row],[Espresso vorige maand]]</f>
        <v>53</v>
      </c>
      <c r="K38" s="25">
        <v>225</v>
      </c>
      <c r="L38">
        <f>Tabel242[[#This Row],[Stand Latte Macchiato einde maand]]</f>
        <v>192</v>
      </c>
      <c r="M38">
        <f>Tabel2425[[#This Row],[Stand Latte Macchiato einde maand]]-Tabel2425[[#This Row],[Latte Macchiato vorige maand]]</f>
        <v>33</v>
      </c>
      <c r="N38" s="25">
        <v>170</v>
      </c>
      <c r="O38">
        <f>Tabel242[[#This Row],[Stand Coffee Latte einde maand]]</f>
        <v>146</v>
      </c>
      <c r="P38">
        <f>Tabel2425[[#This Row],[Stand Coffee Latte einde maand]]-Tabel2425[[#This Row],[Coffee Latte vorige maand]]</f>
        <v>24</v>
      </c>
      <c r="Q38" s="25">
        <v>3416</v>
      </c>
      <c r="R38">
        <f>Tabel242[[#This Row],[Stand Hot Water einde maand]]</f>
        <v>2794</v>
      </c>
      <c r="S38">
        <f>Tabel2425[[#This Row],[Stand Hot Water einde maand]]-Tabel2425[[#This Row],[Hot Water vorige maand]]</f>
        <v>622</v>
      </c>
      <c r="T38" s="25">
        <v>655</v>
      </c>
      <c r="U38">
        <f>Tabel242[[#This Row],[Stand Cappucino einde maand]]</f>
        <v>524</v>
      </c>
      <c r="V38">
        <f>Tabel2425[[#This Row],[Stand Cappucino einde maand]]-Tabel2425[[#This Row],[Stand Cappucino vorige maand]]</f>
        <v>131</v>
      </c>
      <c r="W38" s="25">
        <v>145</v>
      </c>
      <c r="X38">
        <f>Tabel242[[#This Row],[Stand Cappucino Plantaardig einde maand]]</f>
        <v>120</v>
      </c>
      <c r="Y38">
        <f>Tabel2425[[#This Row],[Stand Cappucino Plantaardig einde maand]]-Tabel2425[[#This Row],[Stand Cappucino Plantaardig vorige maand]]</f>
        <v>25</v>
      </c>
      <c r="Z38" s="25">
        <v>104</v>
      </c>
      <c r="AA38">
        <f>Tabel242[[#This Row],[Stand Latte Macchiato Plantaardig einde maand]]</f>
        <v>84</v>
      </c>
      <c r="AB38" s="12">
        <f>Tabel2425[[#This Row],[Stand Latte Macchiato Plantaardig einde maand]]-Tabel2425[[#This Row],[Stand Latte Macchiato Plantaardig vorige maand]]</f>
        <v>20</v>
      </c>
      <c r="AC38" s="3">
        <f>Tabel2425[[#This Row],[Verbruik Stand Latte Macchiato Plantaardig deze maand]]+Tabel2425[[#This Row],[Verbruik  Cappucino Plantaardig deze maand]]+Tabel2425[[#This Row],[Verbruik Cappucino deze maand]]+Tabel2425[[#This Row],[Verbruik Hot Water deze maand]]+Tabel2425[[#This Row],[Verbruik Coffee Latte deze maand]]+Tabel2425[[#This Row],[Verbruik Latte Macchiato deze maand]]+Tabel2425[[#This Row],[Verbruik Espresso deze maand]]+Tabel2425[[#This Row],[Verbruik Coffee deze maand]]</f>
        <v>1096</v>
      </c>
      <c r="AD38" s="26"/>
      <c r="AE38" s="5"/>
      <c r="AF38" s="5"/>
      <c r="AG38" s="5"/>
      <c r="AH38" s="26"/>
      <c r="AI38" s="5"/>
      <c r="AJ38" s="5"/>
      <c r="AK38" s="5"/>
      <c r="AL38" s="26"/>
      <c r="AM38" s="5"/>
      <c r="AN38" s="5"/>
      <c r="AO38" s="5"/>
      <c r="AP38" s="26"/>
      <c r="AQ38" s="5"/>
      <c r="AR38" s="5"/>
      <c r="AS38" s="5"/>
      <c r="AT38" s="26"/>
      <c r="AU38" s="5"/>
      <c r="AV38" s="5"/>
      <c r="AW38" s="16"/>
      <c r="AX38" s="6"/>
      <c r="AY38" s="4">
        <f>Tabel2425[[#This Row],[Subtotaal waterbar in consumpties]]+Tabel2425[[#This Row],[Subtotaal koffieautomaten]]</f>
        <v>1096</v>
      </c>
    </row>
    <row r="39" spans="1:51" x14ac:dyDescent="0.25">
      <c r="A39" s="3" t="s">
        <v>88</v>
      </c>
      <c r="E39" s="25"/>
      <c r="F39">
        <f>Tabel242[[#This Row],[Stand Coffee einde maand]]</f>
        <v>0</v>
      </c>
      <c r="G39" s="12">
        <f>Tabel2425[[#This Row],[Stand Coffee einde maand]]-Tabel2425[[#This Row],[Coffee vorige maand]]</f>
        <v>0</v>
      </c>
      <c r="H39" s="25"/>
      <c r="I39">
        <f>Tabel242[[#This Row],[Stand Espresso Einde maand]]</f>
        <v>0</v>
      </c>
      <c r="J39" s="12">
        <f>Tabel2425[[#This Row],[Stand Espresso Einde maand]]-Tabel2425[[#This Row],[Espresso vorige maand]]</f>
        <v>0</v>
      </c>
      <c r="K39" s="25"/>
      <c r="L39">
        <f>Tabel242[[#This Row],[Stand Latte Macchiato einde maand]]</f>
        <v>0</v>
      </c>
      <c r="M39">
        <f>Tabel2425[[#This Row],[Stand Latte Macchiato einde maand]]-Tabel2425[[#This Row],[Latte Macchiato vorige maand]]</f>
        <v>0</v>
      </c>
      <c r="N39" s="25"/>
      <c r="O39">
        <f>Tabel242[[#This Row],[Stand Coffee Latte einde maand]]</f>
        <v>0</v>
      </c>
      <c r="P39">
        <f>Tabel2425[[#This Row],[Stand Coffee Latte einde maand]]-Tabel2425[[#This Row],[Coffee Latte vorige maand]]</f>
        <v>0</v>
      </c>
      <c r="Q39" s="25"/>
      <c r="R39">
        <f>Tabel242[[#This Row],[Stand Hot Water einde maand]]</f>
        <v>0</v>
      </c>
      <c r="S39">
        <f>Tabel2425[[#This Row],[Stand Hot Water einde maand]]-Tabel2425[[#This Row],[Hot Water vorige maand]]</f>
        <v>0</v>
      </c>
      <c r="T39" s="25"/>
      <c r="U39">
        <f>Tabel242[[#This Row],[Stand Cappucino einde maand]]</f>
        <v>0</v>
      </c>
      <c r="V39">
        <f>Tabel2425[[#This Row],[Stand Cappucino einde maand]]-Tabel2425[[#This Row],[Stand Cappucino vorige maand]]</f>
        <v>0</v>
      </c>
      <c r="W39" s="25"/>
      <c r="X39">
        <f>Tabel242[[#This Row],[Stand Cappucino Plantaardig einde maand]]</f>
        <v>0</v>
      </c>
      <c r="Y39">
        <f>Tabel2425[[#This Row],[Stand Cappucino Plantaardig einde maand]]-Tabel2425[[#This Row],[Stand Cappucino Plantaardig vorige maand]]</f>
        <v>0</v>
      </c>
      <c r="Z39" s="25"/>
      <c r="AA39">
        <f>Tabel242[[#This Row],[Stand Latte Macchiato Plantaardig einde maand]]</f>
        <v>0</v>
      </c>
      <c r="AB39" s="12">
        <f>Tabel2425[[#This Row],[Stand Latte Macchiato Plantaardig einde maand]]-Tabel2425[[#This Row],[Stand Latte Macchiato Plantaardig vorige maand]]</f>
        <v>0</v>
      </c>
      <c r="AC39" s="3">
        <f>Tabel2425[[#This Row],[Verbruik Stand Latte Macchiato Plantaardig deze maand]]+Tabel2425[[#This Row],[Verbruik  Cappucino Plantaardig deze maand]]+Tabel2425[[#This Row],[Verbruik Cappucino deze maand]]+Tabel2425[[#This Row],[Verbruik Hot Water deze maand]]+Tabel2425[[#This Row],[Verbruik Coffee Latte deze maand]]+Tabel2425[[#This Row],[Verbruik Latte Macchiato deze maand]]+Tabel2425[[#This Row],[Verbruik Espresso deze maand]]+Tabel2425[[#This Row],[Verbruik Coffee deze maand]]</f>
        <v>0</v>
      </c>
      <c r="AD39" s="25"/>
      <c r="AG39" s="2"/>
      <c r="AH39" s="25"/>
      <c r="AK39" s="2"/>
      <c r="AL39" s="25"/>
      <c r="AO39" s="2"/>
      <c r="AP39" s="25"/>
      <c r="AS39" s="2"/>
      <c r="AT39" s="25"/>
      <c r="AW39" s="20"/>
      <c r="AX39" s="4"/>
      <c r="AY39" s="4">
        <f>Tabel2425[[#This Row],[Subtotaal waterbar in consumpties]]+Tabel2425[[#This Row],[Subtotaal koffieautomaten]]</f>
        <v>0</v>
      </c>
    </row>
    <row r="40" spans="1:51" x14ac:dyDescent="0.25">
      <c r="A40" t="s">
        <v>39</v>
      </c>
      <c r="B40" t="s">
        <v>89</v>
      </c>
      <c r="C40" t="s">
        <v>36</v>
      </c>
      <c r="E40" s="36"/>
      <c r="F40" s="37"/>
      <c r="G40" s="38"/>
      <c r="H40" s="36"/>
      <c r="I40" s="37"/>
      <c r="J40" s="38"/>
      <c r="K40" s="36"/>
      <c r="L40" s="37"/>
      <c r="M40" s="37"/>
      <c r="N40" s="36"/>
      <c r="O40" s="37"/>
      <c r="P40" s="37"/>
      <c r="Q40" s="36"/>
      <c r="R40" s="37"/>
      <c r="S40" s="37"/>
      <c r="T40" s="36"/>
      <c r="U40" s="37"/>
      <c r="V40" s="37"/>
      <c r="W40" s="36"/>
      <c r="X40" s="37"/>
      <c r="Y40" s="37"/>
      <c r="Z40" s="36"/>
      <c r="AA40" s="37"/>
      <c r="AB40" s="38"/>
      <c r="AC40" s="39"/>
      <c r="AD40" s="25">
        <v>63.5</v>
      </c>
      <c r="AE40">
        <f>Tabel242[[#This Row],[Stand Kamertemp liter einde maand]]</f>
        <v>50.8</v>
      </c>
      <c r="AF40">
        <f>Tabel2425[[#This Row],[Stand Kamertemp liter einde maand]]-Tabel2425[[#This Row],[Stand Kamertemp liter vorige maand]]</f>
        <v>12.700000000000003</v>
      </c>
      <c r="AG40" s="2">
        <f>Tabel2425[[#This Row],[Verbruik Kamertemp liter deze maand]]/0.15</f>
        <v>84.666666666666686</v>
      </c>
      <c r="AH40" s="25">
        <v>586.6</v>
      </c>
      <c r="AI40">
        <f>Tabel242[[#This Row],[Stand Gekoeld liter einde maand]]</f>
        <v>496</v>
      </c>
      <c r="AJ40">
        <f>Tabel2425[[#This Row],[Stand Gekoeld liter einde maand]]-Tabel2425[[#This Row],[Stand Gekoeld liter vorige maand]]</f>
        <v>90.600000000000023</v>
      </c>
      <c r="AK40" s="2">
        <f>Tabel2425[[#This Row],[Verbruik Gekoeld liter deze maand]]/0.15</f>
        <v>604.00000000000023</v>
      </c>
      <c r="AL40" s="25">
        <v>281.3</v>
      </c>
      <c r="AM40">
        <f>Tabel242[[#This Row],[Stand Bruisend liter einde maand]]</f>
        <v>232.1</v>
      </c>
      <c r="AN40">
        <f>Tabel2425[[#This Row],[Stand Bruisend liter einde maand]]-Tabel2425[[#This Row],[Stand Bruisend liter vorige maand]]</f>
        <v>49.200000000000017</v>
      </c>
      <c r="AO40" s="2">
        <f>Tabel2425[[#This Row],[Verbruik Bruisend liter deze maand]]/0.15</f>
        <v>328.00000000000011</v>
      </c>
      <c r="AP40" s="25">
        <v>99.6</v>
      </c>
      <c r="AQ40">
        <f>Tabel242[[#This Row],[Stand licht bruisend liter einde maand]]</f>
        <v>80.900000000000006</v>
      </c>
      <c r="AR40">
        <f>Tabel2425[[#This Row],[Stand licht bruisend liter einde maand]]-Tabel2425[[#This Row],[Stand licht bruisend liter vorige maand]]</f>
        <v>18.699999999999989</v>
      </c>
      <c r="AS40" s="2">
        <f>Tabel2425[[#This Row],[Verbruik licht bruisend liter deze maand]]/0.15</f>
        <v>124.6666666666666</v>
      </c>
      <c r="AT40" s="25">
        <v>516.5</v>
      </c>
      <c r="AU40">
        <f>Tabel242[[#This Row],[Stand heet water liter einde maand]]</f>
        <v>421.9</v>
      </c>
      <c r="AV40">
        <f>Tabel2425[[#This Row],[Stand heet water liter einde maand]]-Tabel2425[[#This Row],[Stand heet water liter vorige maand]]</f>
        <v>94.600000000000023</v>
      </c>
      <c r="AW40" s="20">
        <f>Tabel2425[[#This Row],[Verbruik heet Water liter deze maand ]]/0.15</f>
        <v>630.66666666666686</v>
      </c>
      <c r="AX40" s="4">
        <f>Tabel2425[[#This Row],[Aantal consumpties heet water deze maand]]+Tabel2425[[#This Row],[Aantal consumpties licht bruisend water deze maand]]+Tabel2425[[#This Row],[aantal consumpties Bruisend water deze maand]]+Tabel2425[[#This Row],[Aantal consumpties gekoeld water deze maand]]+Tabel2425[[#This Row],[Aantal consumpties Kamertemp deze maand]]</f>
        <v>1772.0000000000005</v>
      </c>
      <c r="AY40" s="4">
        <f>Tabel2425[[#This Row],[Subtotaal waterbar in consumpties]]+Tabel2425[[#This Row],[Subtotaal koffieautomaten]]</f>
        <v>1772.0000000000005</v>
      </c>
    </row>
    <row r="41" spans="1:51" x14ac:dyDescent="0.25">
      <c r="A41" t="s">
        <v>41</v>
      </c>
      <c r="B41" t="s">
        <v>90</v>
      </c>
      <c r="C41" t="s">
        <v>31</v>
      </c>
      <c r="E41" s="25">
        <v>1462</v>
      </c>
      <c r="F41">
        <f>Tabel242[[#This Row],[Stand Coffee einde maand]]</f>
        <v>0</v>
      </c>
      <c r="G41" s="12">
        <f>Tabel2425[[#This Row],[Stand Coffee einde maand]]-Tabel2425[[#This Row],[Coffee vorige maand]]</f>
        <v>1462</v>
      </c>
      <c r="H41" s="25">
        <v>679</v>
      </c>
      <c r="I41">
        <f>Tabel242[[#This Row],[Stand Espresso Einde maand]]</f>
        <v>0</v>
      </c>
      <c r="J41" s="12">
        <f>Tabel2425[[#This Row],[Stand Espresso Einde maand]]-Tabel2425[[#This Row],[Espresso vorige maand]]</f>
        <v>679</v>
      </c>
      <c r="K41" s="25">
        <v>197</v>
      </c>
      <c r="L41">
        <f>Tabel242[[#This Row],[Stand Latte Macchiato einde maand]]</f>
        <v>0</v>
      </c>
      <c r="M41">
        <f>Tabel2425[[#This Row],[Stand Latte Macchiato einde maand]]-Tabel2425[[#This Row],[Latte Macchiato vorige maand]]</f>
        <v>197</v>
      </c>
      <c r="N41" s="25">
        <v>161</v>
      </c>
      <c r="O41">
        <f>Tabel242[[#This Row],[Stand Coffee Latte einde maand]]</f>
        <v>0</v>
      </c>
      <c r="P41">
        <f>Tabel2425[[#This Row],[Stand Coffee Latte einde maand]]-Tabel2425[[#This Row],[Coffee Latte vorige maand]]</f>
        <v>161</v>
      </c>
      <c r="Q41" s="25">
        <v>1274</v>
      </c>
      <c r="R41">
        <f>Tabel242[[#This Row],[Stand Hot Water einde maand]]</f>
        <v>0</v>
      </c>
      <c r="S41">
        <f>Tabel2425[[#This Row],[Stand Hot Water einde maand]]-Tabel2425[[#This Row],[Hot Water vorige maand]]</f>
        <v>1274</v>
      </c>
      <c r="T41" s="25">
        <v>678</v>
      </c>
      <c r="U41">
        <f>Tabel242[[#This Row],[Stand Cappucino einde maand]]</f>
        <v>0</v>
      </c>
      <c r="V41">
        <f>Tabel2425[[#This Row],[Stand Cappucino einde maand]]-Tabel2425[[#This Row],[Stand Cappucino vorige maand]]</f>
        <v>678</v>
      </c>
      <c r="W41" s="25">
        <v>79</v>
      </c>
      <c r="X41">
        <f>Tabel242[[#This Row],[Stand Cappucino Plantaardig einde maand]]</f>
        <v>0</v>
      </c>
      <c r="Y41">
        <f>Tabel2425[[#This Row],[Stand Cappucino Plantaardig einde maand]]-Tabel2425[[#This Row],[Stand Cappucino Plantaardig vorige maand]]</f>
        <v>79</v>
      </c>
      <c r="Z41" s="25">
        <v>35</v>
      </c>
      <c r="AA41">
        <f>Tabel242[[#This Row],[Stand Latte Macchiato Plantaardig einde maand]]</f>
        <v>0</v>
      </c>
      <c r="AB41" s="12">
        <f>Tabel2425[[#This Row],[Stand Latte Macchiato Plantaardig einde maand]]-Tabel2425[[#This Row],[Stand Latte Macchiato Plantaardig vorige maand]]</f>
        <v>35</v>
      </c>
      <c r="AC41" s="3">
        <f>Tabel2425[[#This Row],[Verbruik Stand Latte Macchiato Plantaardig deze maand]]+Tabel2425[[#This Row],[Verbruik  Cappucino Plantaardig deze maand]]+Tabel2425[[#This Row],[Verbruik Cappucino deze maand]]+Tabel2425[[#This Row],[Verbruik Hot Water deze maand]]+Tabel2425[[#This Row],[Verbruik Coffee Latte deze maand]]+Tabel2425[[#This Row],[Verbruik Latte Macchiato deze maand]]+Tabel2425[[#This Row],[Verbruik Espresso deze maand]]+Tabel2425[[#This Row],[Verbruik Coffee deze maand]]</f>
        <v>4565</v>
      </c>
      <c r="AD41" s="26"/>
      <c r="AE41" s="5"/>
      <c r="AF41" s="5"/>
      <c r="AG41" s="5"/>
      <c r="AH41" s="26"/>
      <c r="AI41" s="5"/>
      <c r="AJ41" s="5"/>
      <c r="AK41" s="5"/>
      <c r="AL41" s="26"/>
      <c r="AM41" s="5"/>
      <c r="AN41" s="5"/>
      <c r="AO41" s="5"/>
      <c r="AP41" s="26"/>
      <c r="AQ41" s="5"/>
      <c r="AR41" s="5"/>
      <c r="AS41" s="5"/>
      <c r="AT41" s="26"/>
      <c r="AU41" s="5"/>
      <c r="AV41" s="5"/>
      <c r="AW41" s="16"/>
      <c r="AX41" s="6"/>
      <c r="AY41" s="4">
        <f>Tabel2425[[#This Row],[Subtotaal waterbar in consumpties]]+Tabel2425[[#This Row],[Subtotaal koffieautomaten]]</f>
        <v>4565</v>
      </c>
    </row>
    <row r="42" spans="1:51" x14ac:dyDescent="0.25">
      <c r="A42" t="s">
        <v>43</v>
      </c>
      <c r="B42" t="s">
        <v>91</v>
      </c>
      <c r="C42" t="s">
        <v>47</v>
      </c>
      <c r="E42" s="25">
        <v>2126</v>
      </c>
      <c r="F42">
        <f>Tabel242[[#This Row],[Stand Coffee einde maand]]</f>
        <v>1777</v>
      </c>
      <c r="G42" s="12">
        <f>Tabel2425[[#This Row],[Stand Coffee einde maand]]-Tabel2425[[#This Row],[Coffee vorige maand]]</f>
        <v>349</v>
      </c>
      <c r="H42" s="25">
        <v>753</v>
      </c>
      <c r="I42">
        <f>Tabel242[[#This Row],[Stand Espresso Einde maand]]</f>
        <v>653</v>
      </c>
      <c r="J42" s="12">
        <f>Tabel2425[[#This Row],[Stand Espresso Einde maand]]-Tabel2425[[#This Row],[Espresso vorige maand]]</f>
        <v>100</v>
      </c>
      <c r="K42" s="25">
        <v>175</v>
      </c>
      <c r="L42">
        <f>Tabel242[[#This Row],[Stand Latte Macchiato einde maand]]</f>
        <v>165</v>
      </c>
      <c r="M42">
        <f>Tabel2425[[#This Row],[Stand Latte Macchiato einde maand]]-Tabel2425[[#This Row],[Latte Macchiato vorige maand]]</f>
        <v>10</v>
      </c>
      <c r="N42" s="25">
        <v>120</v>
      </c>
      <c r="O42">
        <f>Tabel242[[#This Row],[Stand Coffee Latte einde maand]]</f>
        <v>98</v>
      </c>
      <c r="P42">
        <f>Tabel2425[[#This Row],[Stand Coffee Latte einde maand]]-Tabel2425[[#This Row],[Coffee Latte vorige maand]]</f>
        <v>22</v>
      </c>
      <c r="Q42" s="25">
        <v>126</v>
      </c>
      <c r="R42">
        <f>Tabel242[[#This Row],[Stand Hot Water einde maand]]</f>
        <v>113</v>
      </c>
      <c r="S42">
        <f>Tabel2425[[#This Row],[Stand Hot Water einde maand]]-Tabel2425[[#This Row],[Hot Water vorige maand]]</f>
        <v>13</v>
      </c>
      <c r="T42" s="25">
        <v>749</v>
      </c>
      <c r="U42">
        <f>Tabel242[[#This Row],[Stand Cappucino einde maand]]</f>
        <v>617</v>
      </c>
      <c r="V42">
        <f>Tabel2425[[#This Row],[Stand Cappucino einde maand]]-Tabel2425[[#This Row],[Stand Cappucino vorige maand]]</f>
        <v>132</v>
      </c>
      <c r="W42" s="25">
        <v>774</v>
      </c>
      <c r="X42">
        <f>Tabel242[[#This Row],[Stand Cappucino Plantaardig einde maand]]</f>
        <v>647</v>
      </c>
      <c r="Y42">
        <f>Tabel2425[[#This Row],[Stand Cappucino Plantaardig einde maand]]-Tabel2425[[#This Row],[Stand Cappucino Plantaardig vorige maand]]</f>
        <v>127</v>
      </c>
      <c r="Z42" s="25">
        <v>48</v>
      </c>
      <c r="AA42">
        <f>Tabel242[[#This Row],[Stand Latte Macchiato Plantaardig einde maand]]</f>
        <v>64</v>
      </c>
      <c r="AB42" s="12">
        <f>Tabel2425[[#This Row],[Stand Latte Macchiato Plantaardig einde maand]]-Tabel2425[[#This Row],[Stand Latte Macchiato Plantaardig vorige maand]]</f>
        <v>-16</v>
      </c>
      <c r="AC42" s="3">
        <f>Tabel2425[[#This Row],[Verbruik Stand Latte Macchiato Plantaardig deze maand]]+Tabel2425[[#This Row],[Verbruik  Cappucino Plantaardig deze maand]]+Tabel2425[[#This Row],[Verbruik Cappucino deze maand]]+Tabel2425[[#This Row],[Verbruik Hot Water deze maand]]+Tabel2425[[#This Row],[Verbruik Coffee Latte deze maand]]+Tabel2425[[#This Row],[Verbruik Latte Macchiato deze maand]]+Tabel2425[[#This Row],[Verbruik Espresso deze maand]]+Tabel2425[[#This Row],[Verbruik Coffee deze maand]]</f>
        <v>737</v>
      </c>
      <c r="AD42" s="25">
        <v>33.9</v>
      </c>
      <c r="AE42">
        <f>Tabel242[[#This Row],[Stand Kamertemp liter einde maand]]</f>
        <v>29.7</v>
      </c>
      <c r="AF42">
        <f>Tabel2425[[#This Row],[Stand Kamertemp liter einde maand]]-Tabel2425[[#This Row],[Stand Kamertemp liter vorige maand]]</f>
        <v>4.1999999999999993</v>
      </c>
      <c r="AG42" s="2">
        <f>Tabel2425[[#This Row],[Verbruik Kamertemp liter deze maand]]/0.15</f>
        <v>27.999999999999996</v>
      </c>
      <c r="AH42" s="25">
        <v>358.9</v>
      </c>
      <c r="AI42">
        <f>Tabel242[[#This Row],[Stand Gekoeld liter einde maand]]</f>
        <v>284</v>
      </c>
      <c r="AJ42">
        <f>Tabel2425[[#This Row],[Stand Gekoeld liter einde maand]]-Tabel2425[[#This Row],[Stand Gekoeld liter vorige maand]]</f>
        <v>74.899999999999977</v>
      </c>
      <c r="AK42" s="2">
        <f>Tabel2425[[#This Row],[Verbruik Gekoeld liter deze maand]]/0.15</f>
        <v>499.3333333333332</v>
      </c>
      <c r="AL42" s="25">
        <v>481.7</v>
      </c>
      <c r="AM42">
        <f>Tabel242[[#This Row],[Stand Bruisend liter einde maand]]</f>
        <v>375.4</v>
      </c>
      <c r="AN42">
        <f>Tabel2425[[#This Row],[Stand Bruisend liter einde maand]]-Tabel2425[[#This Row],[Stand Bruisend liter vorige maand]]</f>
        <v>106.30000000000001</v>
      </c>
      <c r="AO42" s="2">
        <f>Tabel2425[[#This Row],[Verbruik Bruisend liter deze maand]]/0.15</f>
        <v>708.66666666666674</v>
      </c>
      <c r="AP42" s="25">
        <v>373</v>
      </c>
      <c r="AQ42">
        <f>Tabel242[[#This Row],[Stand licht bruisend liter einde maand]]</f>
        <v>298.89999999999998</v>
      </c>
      <c r="AR42">
        <f>Tabel2425[[#This Row],[Stand licht bruisend liter einde maand]]-Tabel2425[[#This Row],[Stand licht bruisend liter vorige maand]]</f>
        <v>74.100000000000023</v>
      </c>
      <c r="AS42" s="2">
        <f>Tabel2425[[#This Row],[Verbruik licht bruisend liter deze maand]]/0.15</f>
        <v>494.00000000000017</v>
      </c>
      <c r="AT42" s="25">
        <v>1903.3</v>
      </c>
      <c r="AU42">
        <f>Tabel242[[#This Row],[Stand heet water liter einde maand]]</f>
        <v>1504</v>
      </c>
      <c r="AV42">
        <f>Tabel2425[[#This Row],[Stand heet water liter einde maand]]-Tabel2425[[#This Row],[Stand heet water liter vorige maand]]</f>
        <v>399.29999999999995</v>
      </c>
      <c r="AW42" s="20">
        <f>Tabel2425[[#This Row],[Verbruik heet Water liter deze maand ]]/0.15</f>
        <v>2662</v>
      </c>
      <c r="AX42" s="4">
        <f>Tabel2425[[#This Row],[Aantal consumpties heet water deze maand]]+Tabel2425[[#This Row],[Aantal consumpties licht bruisend water deze maand]]+Tabel2425[[#This Row],[aantal consumpties Bruisend water deze maand]]+Tabel2425[[#This Row],[Aantal consumpties gekoeld water deze maand]]+Tabel2425[[#This Row],[Aantal consumpties Kamertemp deze maand]]</f>
        <v>4392</v>
      </c>
      <c r="AY42" s="4">
        <f>Tabel2425[[#This Row],[Subtotaal waterbar in consumpties]]+Tabel2425[[#This Row],[Subtotaal koffieautomaten]]</f>
        <v>5129</v>
      </c>
    </row>
    <row r="43" spans="1:51" x14ac:dyDescent="0.25">
      <c r="A43" t="s">
        <v>45</v>
      </c>
      <c r="B43" t="s">
        <v>92</v>
      </c>
      <c r="C43" t="s">
        <v>36</v>
      </c>
      <c r="E43" s="36"/>
      <c r="F43" s="37"/>
      <c r="G43" s="38"/>
      <c r="H43" s="36"/>
      <c r="I43" s="37"/>
      <c r="J43" s="38"/>
      <c r="K43" s="36"/>
      <c r="L43" s="37"/>
      <c r="M43" s="37"/>
      <c r="N43" s="36"/>
      <c r="O43" s="37"/>
      <c r="P43" s="37"/>
      <c r="Q43" s="36"/>
      <c r="R43" s="37"/>
      <c r="S43" s="37"/>
      <c r="T43" s="36"/>
      <c r="U43" s="37"/>
      <c r="V43" s="37"/>
      <c r="W43" s="36"/>
      <c r="X43" s="37"/>
      <c r="Y43" s="37"/>
      <c r="Z43" s="36"/>
      <c r="AA43" s="37"/>
      <c r="AB43" s="38"/>
      <c r="AC43" s="39"/>
      <c r="AD43" s="25">
        <v>25.2</v>
      </c>
      <c r="AE43">
        <f>Tabel242[[#This Row],[Stand Kamertemp liter einde maand]]</f>
        <v>21.4</v>
      </c>
      <c r="AF43">
        <f>Tabel2425[[#This Row],[Stand Kamertemp liter einde maand]]-Tabel2425[[#This Row],[Stand Kamertemp liter vorige maand]]</f>
        <v>3.8000000000000007</v>
      </c>
      <c r="AG43" s="2">
        <f>Tabel2425[[#This Row],[Verbruik Kamertemp liter deze maand]]/0.15</f>
        <v>25.333333333333339</v>
      </c>
      <c r="AH43" s="25">
        <v>168.9</v>
      </c>
      <c r="AI43">
        <f>Tabel242[[#This Row],[Stand Gekoeld liter einde maand]]</f>
        <v>134.30000000000001</v>
      </c>
      <c r="AJ43">
        <f>Tabel2425[[#This Row],[Stand Gekoeld liter einde maand]]-Tabel2425[[#This Row],[Stand Gekoeld liter vorige maand]]</f>
        <v>34.599999999999994</v>
      </c>
      <c r="AK43" s="2">
        <f>Tabel2425[[#This Row],[Verbruik Gekoeld liter deze maand]]/0.15</f>
        <v>230.66666666666663</v>
      </c>
      <c r="AL43" s="25">
        <v>152.1</v>
      </c>
      <c r="AM43">
        <f>Tabel242[[#This Row],[Stand Bruisend liter einde maand]]</f>
        <v>117.3</v>
      </c>
      <c r="AN43">
        <f>Tabel2425[[#This Row],[Stand Bruisend liter einde maand]]-Tabel2425[[#This Row],[Stand Bruisend liter vorige maand]]</f>
        <v>34.799999999999997</v>
      </c>
      <c r="AO43" s="2">
        <f>Tabel2425[[#This Row],[Verbruik Bruisend liter deze maand]]/0.15</f>
        <v>232</v>
      </c>
      <c r="AP43" s="25">
        <v>46</v>
      </c>
      <c r="AQ43">
        <f>Tabel242[[#This Row],[Stand licht bruisend liter einde maand]]</f>
        <v>37.1</v>
      </c>
      <c r="AR43">
        <f>Tabel2425[[#This Row],[Stand licht bruisend liter einde maand]]-Tabel2425[[#This Row],[Stand licht bruisend liter vorige maand]]</f>
        <v>8.8999999999999986</v>
      </c>
      <c r="AS43" s="2">
        <f>Tabel2425[[#This Row],[Verbruik licht bruisend liter deze maand]]/0.15</f>
        <v>59.333333333333329</v>
      </c>
      <c r="AT43" s="25">
        <v>754.5</v>
      </c>
      <c r="AU43">
        <f>Tabel242[[#This Row],[Stand heet water liter einde maand]]</f>
        <v>627.29999999999995</v>
      </c>
      <c r="AV43">
        <f>Tabel2425[[#This Row],[Stand heet water liter einde maand]]-Tabel2425[[#This Row],[Stand heet water liter vorige maand]]</f>
        <v>127.20000000000005</v>
      </c>
      <c r="AW43" s="20">
        <f>Tabel2425[[#This Row],[Verbruik heet Water liter deze maand ]]/0.15</f>
        <v>848.00000000000034</v>
      </c>
      <c r="AX43" s="4">
        <f>Tabel2425[[#This Row],[Aantal consumpties heet water deze maand]]+Tabel2425[[#This Row],[Aantal consumpties licht bruisend water deze maand]]+Tabel2425[[#This Row],[aantal consumpties Bruisend water deze maand]]+Tabel2425[[#This Row],[Aantal consumpties gekoeld water deze maand]]+Tabel2425[[#This Row],[Aantal consumpties Kamertemp deze maand]]</f>
        <v>1395.3333333333337</v>
      </c>
      <c r="AY43" s="4">
        <f>Tabel2425[[#This Row],[Subtotaal waterbar in consumpties]]+Tabel2425[[#This Row],[Subtotaal koffieautomaten]]</f>
        <v>1395.3333333333337</v>
      </c>
    </row>
    <row r="44" spans="1:51" x14ac:dyDescent="0.25">
      <c r="A44" t="s">
        <v>48</v>
      </c>
      <c r="B44" t="s">
        <v>158</v>
      </c>
      <c r="C44" t="s">
        <v>31</v>
      </c>
      <c r="E44" s="25">
        <v>2570</v>
      </c>
      <c r="F44">
        <f>Tabel242[[#This Row],[Stand Coffee einde maand]]</f>
        <v>2016</v>
      </c>
      <c r="G44" s="12">
        <f>Tabel2425[[#This Row],[Stand Coffee einde maand]]-Tabel2425[[#This Row],[Coffee vorige maand]]</f>
        <v>554</v>
      </c>
      <c r="H44" s="25">
        <v>602</v>
      </c>
      <c r="I44">
        <f>Tabel242[[#This Row],[Stand Espresso Einde maand]]</f>
        <v>473</v>
      </c>
      <c r="J44" s="12">
        <f>Tabel2425[[#This Row],[Stand Espresso Einde maand]]-Tabel2425[[#This Row],[Espresso vorige maand]]</f>
        <v>129</v>
      </c>
      <c r="K44" s="25">
        <v>368</v>
      </c>
      <c r="L44">
        <f>Tabel242[[#This Row],[Stand Latte Macchiato einde maand]]</f>
        <v>269</v>
      </c>
      <c r="M44">
        <f>Tabel2425[[#This Row],[Stand Latte Macchiato einde maand]]-Tabel2425[[#This Row],[Latte Macchiato vorige maand]]</f>
        <v>99</v>
      </c>
      <c r="N44" s="25">
        <v>54</v>
      </c>
      <c r="O44">
        <f>Tabel242[[#This Row],[Stand Coffee Latte einde maand]]</f>
        <v>44</v>
      </c>
      <c r="P44">
        <f>Tabel2425[[#This Row],[Stand Coffee Latte einde maand]]-Tabel2425[[#This Row],[Coffee Latte vorige maand]]</f>
        <v>10</v>
      </c>
      <c r="Q44" s="25">
        <v>3022</v>
      </c>
      <c r="R44">
        <f>Tabel242[[#This Row],[Stand Hot Water einde maand]]</f>
        <v>2496</v>
      </c>
      <c r="S44">
        <f>Tabel2425[[#This Row],[Stand Hot Water einde maand]]-Tabel2425[[#This Row],[Hot Water vorige maand]]</f>
        <v>526</v>
      </c>
      <c r="T44" s="25">
        <v>1018</v>
      </c>
      <c r="U44">
        <f>Tabel242[[#This Row],[Stand Cappucino einde maand]]</f>
        <v>860</v>
      </c>
      <c r="V44">
        <f>Tabel2425[[#This Row],[Stand Cappucino einde maand]]-Tabel2425[[#This Row],[Stand Cappucino vorige maand]]</f>
        <v>158</v>
      </c>
      <c r="W44" s="25">
        <v>198</v>
      </c>
      <c r="X44">
        <f>Tabel242[[#This Row],[Stand Cappucino Plantaardig einde maand]]</f>
        <v>164</v>
      </c>
      <c r="Y44">
        <f>Tabel2425[[#This Row],[Stand Cappucino Plantaardig einde maand]]-Tabel2425[[#This Row],[Stand Cappucino Plantaardig vorige maand]]</f>
        <v>34</v>
      </c>
      <c r="Z44" s="25">
        <v>152</v>
      </c>
      <c r="AA44">
        <f>Tabel242[[#This Row],[Stand Latte Macchiato Plantaardig einde maand]]</f>
        <v>138</v>
      </c>
      <c r="AB44" s="12">
        <f>Tabel2425[[#This Row],[Stand Latte Macchiato Plantaardig einde maand]]-Tabel2425[[#This Row],[Stand Latte Macchiato Plantaardig vorige maand]]</f>
        <v>14</v>
      </c>
      <c r="AC44" s="3">
        <f>Tabel2425[[#This Row],[Verbruik Stand Latte Macchiato Plantaardig deze maand]]+Tabel2425[[#This Row],[Verbruik  Cappucino Plantaardig deze maand]]+Tabel2425[[#This Row],[Verbruik Cappucino deze maand]]+Tabel2425[[#This Row],[Verbruik Hot Water deze maand]]+Tabel2425[[#This Row],[Verbruik Coffee Latte deze maand]]+Tabel2425[[#This Row],[Verbruik Latte Macchiato deze maand]]+Tabel2425[[#This Row],[Verbruik Espresso deze maand]]+Tabel2425[[#This Row],[Verbruik Coffee deze maand]]</f>
        <v>1524</v>
      </c>
      <c r="AD44" s="26"/>
      <c r="AE44" s="5"/>
      <c r="AF44" s="5"/>
      <c r="AG44" s="7"/>
      <c r="AH44" s="26"/>
      <c r="AI44" s="5"/>
      <c r="AJ44" s="5"/>
      <c r="AK44" s="7"/>
      <c r="AL44" s="26"/>
      <c r="AM44" s="5"/>
      <c r="AN44" s="5"/>
      <c r="AO44" s="7"/>
      <c r="AP44" s="26"/>
      <c r="AQ44" s="5"/>
      <c r="AR44" s="5"/>
      <c r="AS44" s="7"/>
      <c r="AT44" s="26"/>
      <c r="AU44" s="5"/>
      <c r="AV44" s="5"/>
      <c r="AW44" s="21"/>
      <c r="AX44" s="4">
        <f>Tabel2425[[#This Row],[Aantal consumpties heet water deze maand]]+Tabel2425[[#This Row],[Aantal consumpties licht bruisend water deze maand]]+Tabel2425[[#This Row],[aantal consumpties Bruisend water deze maand]]+Tabel2425[[#This Row],[Aantal consumpties gekoeld water deze maand]]+Tabel2425[[#This Row],[Aantal consumpties Kamertemp deze maand]]</f>
        <v>0</v>
      </c>
      <c r="AY44" s="4">
        <f>Tabel2425[[#This Row],[Subtotaal waterbar in consumpties]]+Tabel2425[[#This Row],[Subtotaal koffieautomaten]]</f>
        <v>1524</v>
      </c>
    </row>
    <row r="45" spans="1:51" x14ac:dyDescent="0.25">
      <c r="A45" t="s">
        <v>50</v>
      </c>
      <c r="B45" t="s">
        <v>93</v>
      </c>
      <c r="C45" t="s">
        <v>36</v>
      </c>
      <c r="E45" s="36"/>
      <c r="F45" s="37"/>
      <c r="G45" s="38"/>
      <c r="H45" s="36"/>
      <c r="I45" s="37"/>
      <c r="J45" s="38"/>
      <c r="K45" s="36"/>
      <c r="L45" s="37"/>
      <c r="M45" s="37"/>
      <c r="N45" s="36"/>
      <c r="O45" s="37"/>
      <c r="P45" s="37"/>
      <c r="Q45" s="36"/>
      <c r="R45" s="37"/>
      <c r="S45" s="37"/>
      <c r="T45" s="36"/>
      <c r="U45" s="37"/>
      <c r="V45" s="37"/>
      <c r="W45" s="36"/>
      <c r="X45" s="37"/>
      <c r="Y45" s="37"/>
      <c r="Z45" s="36"/>
      <c r="AA45" s="37"/>
      <c r="AB45" s="38"/>
      <c r="AC45" s="39"/>
      <c r="AD45" s="25">
        <v>22.8</v>
      </c>
      <c r="AE45">
        <f>Tabel242[[#This Row],[Stand Kamertemp liter einde maand]]</f>
        <v>21.5</v>
      </c>
      <c r="AF45">
        <f>Tabel2425[[#This Row],[Stand Kamertemp liter einde maand]]-Tabel2425[[#This Row],[Stand Kamertemp liter vorige maand]]</f>
        <v>1.3000000000000007</v>
      </c>
      <c r="AG45" s="2">
        <f>Tabel2425[[#This Row],[Verbruik Kamertemp liter deze maand]]/0.15</f>
        <v>8.6666666666666714</v>
      </c>
      <c r="AH45" s="25">
        <v>188.6</v>
      </c>
      <c r="AI45">
        <f>Tabel242[[#This Row],[Stand Gekoeld liter einde maand]]</f>
        <v>130</v>
      </c>
      <c r="AJ45">
        <f>Tabel2425[[#This Row],[Stand Gekoeld liter einde maand]]-Tabel2425[[#This Row],[Stand Gekoeld liter vorige maand]]</f>
        <v>58.599999999999994</v>
      </c>
      <c r="AK45" s="2">
        <f>Tabel2425[[#This Row],[Verbruik Gekoeld liter deze maand]]/0.15</f>
        <v>390.66666666666663</v>
      </c>
      <c r="AL45" s="25">
        <v>178.3</v>
      </c>
      <c r="AM45">
        <f>Tabel242[[#This Row],[Stand Bruisend liter einde maand]]</f>
        <v>135.4</v>
      </c>
      <c r="AN45">
        <f>Tabel2425[[#This Row],[Stand Bruisend liter einde maand]]-Tabel2425[[#This Row],[Stand Bruisend liter vorige maand]]</f>
        <v>42.900000000000006</v>
      </c>
      <c r="AO45" s="2">
        <f>Tabel2425[[#This Row],[Verbruik Bruisend liter deze maand]]/0.15</f>
        <v>286.00000000000006</v>
      </c>
      <c r="AP45" s="25">
        <v>96.1</v>
      </c>
      <c r="AQ45">
        <f>Tabel242[[#This Row],[Stand licht bruisend liter einde maand]]</f>
        <v>80.900000000000006</v>
      </c>
      <c r="AR45">
        <f>Tabel2425[[#This Row],[Stand licht bruisend liter einde maand]]-Tabel2425[[#This Row],[Stand licht bruisend liter vorige maand]]</f>
        <v>15.199999999999989</v>
      </c>
      <c r="AS45" s="2">
        <f>Tabel2425[[#This Row],[Verbruik licht bruisend liter deze maand]]/0.15</f>
        <v>101.33333333333326</v>
      </c>
      <c r="AT45" s="25">
        <v>836.2</v>
      </c>
      <c r="AU45">
        <f>Tabel242[[#This Row],[Stand heet water liter einde maand]]</f>
        <v>696</v>
      </c>
      <c r="AV45">
        <f>Tabel2425[[#This Row],[Stand heet water liter einde maand]]-Tabel2425[[#This Row],[Stand heet water liter vorige maand]]</f>
        <v>140.20000000000005</v>
      </c>
      <c r="AW45" s="20">
        <f>Tabel2425[[#This Row],[Verbruik heet Water liter deze maand ]]/0.15</f>
        <v>934.66666666666697</v>
      </c>
      <c r="AX45" s="4">
        <f>Tabel2425[[#This Row],[Aantal consumpties heet water deze maand]]+Tabel2425[[#This Row],[Aantal consumpties licht bruisend water deze maand]]+Tabel2425[[#This Row],[aantal consumpties Bruisend water deze maand]]+Tabel2425[[#This Row],[Aantal consumpties gekoeld water deze maand]]+Tabel2425[[#This Row],[Aantal consumpties Kamertemp deze maand]]</f>
        <v>1721.3333333333337</v>
      </c>
      <c r="AY45" s="4">
        <f>Tabel2425[[#This Row],[Subtotaal waterbar in consumpties]]+Tabel2425[[#This Row],[Subtotaal koffieautomaten]]</f>
        <v>1721.3333333333337</v>
      </c>
    </row>
    <row r="46" spans="1:51" x14ac:dyDescent="0.25">
      <c r="A46" t="s">
        <v>52</v>
      </c>
      <c r="B46" t="s">
        <v>94</v>
      </c>
      <c r="C46" t="s">
        <v>31</v>
      </c>
      <c r="E46" s="25">
        <v>1198</v>
      </c>
      <c r="F46">
        <f>Tabel242[[#This Row],[Stand Coffee einde maand]]</f>
        <v>953</v>
      </c>
      <c r="G46" s="12">
        <f>Tabel2425[[#This Row],[Stand Coffee einde maand]]-Tabel2425[[#This Row],[Coffee vorige maand]]</f>
        <v>245</v>
      </c>
      <c r="H46" s="25">
        <v>788</v>
      </c>
      <c r="I46">
        <f>Tabel242[[#This Row],[Stand Espresso Einde maand]]</f>
        <v>595</v>
      </c>
      <c r="J46" s="12">
        <f>Tabel2425[[#This Row],[Stand Espresso Einde maand]]-Tabel2425[[#This Row],[Espresso vorige maand]]</f>
        <v>193</v>
      </c>
      <c r="K46" s="25">
        <v>187</v>
      </c>
      <c r="L46">
        <f>Tabel242[[#This Row],[Stand Latte Macchiato einde maand]]</f>
        <v>133</v>
      </c>
      <c r="M46">
        <f>Tabel2425[[#This Row],[Stand Latte Macchiato einde maand]]-Tabel2425[[#This Row],[Latte Macchiato vorige maand]]</f>
        <v>54</v>
      </c>
      <c r="N46" s="25">
        <v>115</v>
      </c>
      <c r="O46">
        <f>Tabel242[[#This Row],[Stand Coffee Latte einde maand]]</f>
        <v>78</v>
      </c>
      <c r="P46">
        <f>Tabel2425[[#This Row],[Stand Coffee Latte einde maand]]-Tabel2425[[#This Row],[Coffee Latte vorige maand]]</f>
        <v>37</v>
      </c>
      <c r="Q46" s="25">
        <v>2646</v>
      </c>
      <c r="R46">
        <f>Tabel242[[#This Row],[Stand Hot Water einde maand]]</f>
        <v>2073</v>
      </c>
      <c r="S46">
        <f>Tabel2425[[#This Row],[Stand Hot Water einde maand]]-Tabel2425[[#This Row],[Hot Water vorige maand]]</f>
        <v>573</v>
      </c>
      <c r="T46" s="25">
        <v>1151</v>
      </c>
      <c r="U46">
        <f>Tabel242[[#This Row],[Stand Cappucino einde maand]]</f>
        <v>885</v>
      </c>
      <c r="V46">
        <f>Tabel2425[[#This Row],[Stand Cappucino einde maand]]-Tabel2425[[#This Row],[Stand Cappucino vorige maand]]</f>
        <v>266</v>
      </c>
      <c r="W46" s="25">
        <v>133</v>
      </c>
      <c r="X46">
        <f>Tabel242[[#This Row],[Stand Cappucino Plantaardig einde maand]]</f>
        <v>102</v>
      </c>
      <c r="Y46">
        <f>Tabel2425[[#This Row],[Stand Cappucino Plantaardig einde maand]]-Tabel2425[[#This Row],[Stand Cappucino Plantaardig vorige maand]]</f>
        <v>31</v>
      </c>
      <c r="Z46" s="25">
        <v>32</v>
      </c>
      <c r="AA46">
        <f>Tabel242[[#This Row],[Stand Latte Macchiato Plantaardig einde maand]]</f>
        <v>29</v>
      </c>
      <c r="AB46" s="12">
        <f>Tabel2425[[#This Row],[Stand Latte Macchiato Plantaardig einde maand]]-Tabel2425[[#This Row],[Stand Latte Macchiato Plantaardig vorige maand]]</f>
        <v>3</v>
      </c>
      <c r="AC46" s="3">
        <f>Tabel2425[[#This Row],[Verbruik Stand Latte Macchiato Plantaardig deze maand]]+Tabel2425[[#This Row],[Verbruik  Cappucino Plantaardig deze maand]]+Tabel2425[[#This Row],[Verbruik Cappucino deze maand]]+Tabel2425[[#This Row],[Verbruik Hot Water deze maand]]+Tabel2425[[#This Row],[Verbruik Coffee Latte deze maand]]+Tabel2425[[#This Row],[Verbruik Latte Macchiato deze maand]]+Tabel2425[[#This Row],[Verbruik Espresso deze maand]]+Tabel2425[[#This Row],[Verbruik Coffee deze maand]]</f>
        <v>1402</v>
      </c>
      <c r="AD46" s="26"/>
      <c r="AE46" s="5"/>
      <c r="AF46" s="5"/>
      <c r="AG46" s="7"/>
      <c r="AH46" s="26"/>
      <c r="AI46" s="5"/>
      <c r="AJ46" s="5"/>
      <c r="AK46" s="7"/>
      <c r="AL46" s="26"/>
      <c r="AM46" s="5"/>
      <c r="AN46" s="5"/>
      <c r="AO46" s="7"/>
      <c r="AP46" s="26"/>
      <c r="AQ46" s="5"/>
      <c r="AR46" s="5"/>
      <c r="AS46" s="7"/>
      <c r="AT46" s="26"/>
      <c r="AU46" s="5"/>
      <c r="AV46" s="5"/>
      <c r="AW46" s="21"/>
      <c r="AX46" s="8">
        <f>Tabel2425[[#This Row],[Aantal consumpties heet water deze maand]]+Tabel2425[[#This Row],[Aantal consumpties licht bruisend water deze maand]]+Tabel2425[[#This Row],[aantal consumpties Bruisend water deze maand]]+Tabel2425[[#This Row],[Aantal consumpties gekoeld water deze maand]]+Tabel2425[[#This Row],[Aantal consumpties Kamertemp deze maand]]</f>
        <v>0</v>
      </c>
      <c r="AY46" s="4">
        <f>Tabel2425[[#This Row],[Subtotaal waterbar in consumpties]]+Tabel2425[[#This Row],[Subtotaal koffieautomaten]]</f>
        <v>1402</v>
      </c>
    </row>
    <row r="47" spans="1:51" x14ac:dyDescent="0.25">
      <c r="A47" t="s">
        <v>54</v>
      </c>
      <c r="B47" t="s">
        <v>95</v>
      </c>
      <c r="C47" t="s">
        <v>47</v>
      </c>
      <c r="E47" s="25">
        <v>1958</v>
      </c>
      <c r="F47">
        <f>Tabel242[[#This Row],[Stand Coffee einde maand]]</f>
        <v>1666</v>
      </c>
      <c r="G47" s="12">
        <f>Tabel2425[[#This Row],[Stand Coffee einde maand]]-Tabel2425[[#This Row],[Coffee vorige maand]]</f>
        <v>292</v>
      </c>
      <c r="H47" s="25">
        <v>518</v>
      </c>
      <c r="I47">
        <f>Tabel242[[#This Row],[Stand Espresso Einde maand]]</f>
        <v>467</v>
      </c>
      <c r="J47" s="12">
        <f>Tabel2425[[#This Row],[Stand Espresso Einde maand]]-Tabel2425[[#This Row],[Espresso vorige maand]]</f>
        <v>51</v>
      </c>
      <c r="K47" s="25">
        <v>227</v>
      </c>
      <c r="L47">
        <f>Tabel242[[#This Row],[Stand Latte Macchiato einde maand]]</f>
        <v>179</v>
      </c>
      <c r="M47">
        <f>Tabel2425[[#This Row],[Stand Latte Macchiato einde maand]]-Tabel2425[[#This Row],[Latte Macchiato vorige maand]]</f>
        <v>48</v>
      </c>
      <c r="N47" s="25">
        <v>141</v>
      </c>
      <c r="O47">
        <f>Tabel242[[#This Row],[Stand Coffee Latte einde maand]]</f>
        <v>132</v>
      </c>
      <c r="P47">
        <f>Tabel2425[[#This Row],[Stand Coffee Latte einde maand]]-Tabel2425[[#This Row],[Coffee Latte vorige maand]]</f>
        <v>9</v>
      </c>
      <c r="Q47" s="25">
        <v>0</v>
      </c>
      <c r="R47">
        <f>Tabel242[[#This Row],[Stand Hot Water einde maand]]</f>
        <v>0</v>
      </c>
      <c r="S47">
        <f>Tabel2425[[#This Row],[Stand Hot Water einde maand]]-Tabel2425[[#This Row],[Hot Water vorige maand]]</f>
        <v>0</v>
      </c>
      <c r="T47" s="25">
        <v>863</v>
      </c>
      <c r="U47">
        <f>Tabel242[[#This Row],[Stand Cappucino einde maand]]</f>
        <v>738</v>
      </c>
      <c r="V47">
        <f>Tabel2425[[#This Row],[Stand Cappucino einde maand]]-Tabel2425[[#This Row],[Stand Cappucino vorige maand]]</f>
        <v>125</v>
      </c>
      <c r="W47" s="25">
        <v>341</v>
      </c>
      <c r="X47">
        <f>Tabel242[[#This Row],[Stand Cappucino Plantaardig einde maand]]</f>
        <v>277</v>
      </c>
      <c r="Y47">
        <f>Tabel2425[[#This Row],[Stand Cappucino Plantaardig einde maand]]-Tabel2425[[#This Row],[Stand Cappucino Plantaardig vorige maand]]</f>
        <v>64</v>
      </c>
      <c r="Z47" s="25">
        <v>203</v>
      </c>
      <c r="AA47">
        <f>Tabel242[[#This Row],[Stand Latte Macchiato Plantaardig einde maand]]</f>
        <v>170</v>
      </c>
      <c r="AB47" s="12">
        <f>Tabel2425[[#This Row],[Stand Latte Macchiato Plantaardig einde maand]]-Tabel2425[[#This Row],[Stand Latte Macchiato Plantaardig vorige maand]]</f>
        <v>33</v>
      </c>
      <c r="AC47" s="3">
        <f>Tabel2425[[#This Row],[Verbruik Stand Latte Macchiato Plantaardig deze maand]]+Tabel2425[[#This Row],[Verbruik  Cappucino Plantaardig deze maand]]+Tabel2425[[#This Row],[Verbruik Cappucino deze maand]]+Tabel2425[[#This Row],[Verbruik Hot Water deze maand]]+Tabel2425[[#This Row],[Verbruik Coffee Latte deze maand]]+Tabel2425[[#This Row],[Verbruik Latte Macchiato deze maand]]+Tabel2425[[#This Row],[Verbruik Espresso deze maand]]+Tabel2425[[#This Row],[Verbruik Coffee deze maand]]</f>
        <v>622</v>
      </c>
      <c r="AD47" s="25">
        <v>50.4</v>
      </c>
      <c r="AE47">
        <f>Tabel242[[#This Row],[Stand Kamertemp liter einde maand]]</f>
        <v>40.4</v>
      </c>
      <c r="AF47">
        <f>Tabel2425[[#This Row],[Stand Kamertemp liter einde maand]]-Tabel2425[[#This Row],[Stand Kamertemp liter vorige maand]]</f>
        <v>10</v>
      </c>
      <c r="AG47" s="2">
        <f>Tabel2425[[#This Row],[Verbruik Kamertemp liter deze maand]]/0.15</f>
        <v>66.666666666666671</v>
      </c>
      <c r="AH47" s="25">
        <v>219.2</v>
      </c>
      <c r="AI47">
        <f>Tabel242[[#This Row],[Stand Gekoeld liter einde maand]]</f>
        <v>157.30000000000001</v>
      </c>
      <c r="AJ47">
        <f>Tabel2425[[#This Row],[Stand Gekoeld liter einde maand]]-Tabel2425[[#This Row],[Stand Gekoeld liter vorige maand]]</f>
        <v>61.899999999999977</v>
      </c>
      <c r="AK47" s="2">
        <f>Tabel2425[[#This Row],[Verbruik Gekoeld liter deze maand]]/0.15</f>
        <v>412.66666666666652</v>
      </c>
      <c r="AL47" s="25">
        <v>243.2</v>
      </c>
      <c r="AM47">
        <f>Tabel242[[#This Row],[Stand Bruisend liter einde maand]]</f>
        <v>191.9</v>
      </c>
      <c r="AN47">
        <f>Tabel2425[[#This Row],[Stand Bruisend liter einde maand]]-Tabel2425[[#This Row],[Stand Bruisend liter vorige maand]]</f>
        <v>51.299999999999983</v>
      </c>
      <c r="AO47" s="2">
        <f>Tabel2425[[#This Row],[Verbruik Bruisend liter deze maand]]/0.15</f>
        <v>341.99999999999989</v>
      </c>
      <c r="AP47" s="25">
        <v>102.3</v>
      </c>
      <c r="AQ47">
        <f>Tabel242[[#This Row],[Stand licht bruisend liter einde maand]]</f>
        <v>85</v>
      </c>
      <c r="AR47">
        <f>Tabel2425[[#This Row],[Stand licht bruisend liter einde maand]]-Tabel2425[[#This Row],[Stand licht bruisend liter vorige maand]]</f>
        <v>17.299999999999997</v>
      </c>
      <c r="AS47" s="2">
        <f>Tabel2425[[#This Row],[Verbruik licht bruisend liter deze maand]]/0.15</f>
        <v>115.33333333333331</v>
      </c>
      <c r="AT47" s="25">
        <v>950.9</v>
      </c>
      <c r="AU47">
        <f>Tabel242[[#This Row],[Stand heet water liter einde maand]]</f>
        <v>768.5</v>
      </c>
      <c r="AV47">
        <f>Tabel2425[[#This Row],[Stand heet water liter einde maand]]-Tabel2425[[#This Row],[Stand heet water liter vorige maand]]</f>
        <v>182.39999999999998</v>
      </c>
      <c r="AW47" s="20">
        <f>Tabel2425[[#This Row],[Verbruik heet Water liter deze maand ]]/0.15</f>
        <v>1216</v>
      </c>
      <c r="AX47" s="4">
        <f>Tabel2425[[#This Row],[Aantal consumpties heet water deze maand]]+Tabel2425[[#This Row],[Aantal consumpties licht bruisend water deze maand]]+Tabel2425[[#This Row],[aantal consumpties Bruisend water deze maand]]+Tabel2425[[#This Row],[Aantal consumpties gekoeld water deze maand]]+Tabel2425[[#This Row],[Aantal consumpties Kamertemp deze maand]]</f>
        <v>2152.6666666666661</v>
      </c>
      <c r="AY47" s="4">
        <f>Tabel2425[[#This Row],[Subtotaal waterbar in consumpties]]+Tabel2425[[#This Row],[Subtotaal koffieautomaten]]</f>
        <v>2774.6666666666661</v>
      </c>
    </row>
    <row r="48" spans="1:51" x14ac:dyDescent="0.25">
      <c r="A48" t="s">
        <v>56</v>
      </c>
      <c r="B48" t="s">
        <v>96</v>
      </c>
      <c r="C48" t="s">
        <v>36</v>
      </c>
      <c r="E48" s="36"/>
      <c r="F48" s="37"/>
      <c r="G48" s="38"/>
      <c r="H48" s="36"/>
      <c r="I48" s="37"/>
      <c r="J48" s="38"/>
      <c r="K48" s="36"/>
      <c r="L48" s="37"/>
      <c r="M48" s="37"/>
      <c r="N48" s="36"/>
      <c r="O48" s="37"/>
      <c r="P48" s="37"/>
      <c r="Q48" s="36"/>
      <c r="R48" s="37"/>
      <c r="S48" s="37"/>
      <c r="T48" s="36"/>
      <c r="U48" s="37"/>
      <c r="V48" s="37"/>
      <c r="W48" s="36"/>
      <c r="X48" s="37"/>
      <c r="Y48" s="37"/>
      <c r="Z48" s="36"/>
      <c r="AA48" s="37"/>
      <c r="AB48" s="38"/>
      <c r="AC48" s="39"/>
      <c r="AD48" s="25">
        <v>49.3</v>
      </c>
      <c r="AE48">
        <f>Tabel242[[#This Row],[Stand Kamertemp liter einde maand]]</f>
        <v>34.1</v>
      </c>
      <c r="AF48">
        <f>Tabel2425[[#This Row],[Stand Kamertemp liter einde maand]]-Tabel2425[[#This Row],[Stand Kamertemp liter vorige maand]]</f>
        <v>15.199999999999996</v>
      </c>
      <c r="AG48" s="2">
        <f>Tabel2425[[#This Row],[Verbruik Kamertemp liter deze maand]]/0.15</f>
        <v>101.33333333333331</v>
      </c>
      <c r="AH48" s="25">
        <v>316.7</v>
      </c>
      <c r="AI48">
        <f>Tabel242[[#This Row],[Stand Gekoeld liter einde maand]]</f>
        <v>227.5</v>
      </c>
      <c r="AJ48">
        <f>Tabel2425[[#This Row],[Stand Gekoeld liter einde maand]]-Tabel2425[[#This Row],[Stand Gekoeld liter vorige maand]]</f>
        <v>89.199999999999989</v>
      </c>
      <c r="AK48" s="2">
        <f>Tabel2425[[#This Row],[Verbruik Gekoeld liter deze maand]]/0.15</f>
        <v>594.66666666666663</v>
      </c>
      <c r="AL48" s="25">
        <v>184.2</v>
      </c>
      <c r="AM48">
        <f>Tabel242[[#This Row],[Stand Bruisend liter einde maand]]</f>
        <v>149.30000000000001</v>
      </c>
      <c r="AN48">
        <f>Tabel2425[[#This Row],[Stand Bruisend liter einde maand]]-Tabel2425[[#This Row],[Stand Bruisend liter vorige maand]]</f>
        <v>34.899999999999977</v>
      </c>
      <c r="AO48" s="2">
        <f>Tabel2425[[#This Row],[Verbruik Bruisend liter deze maand]]/0.15</f>
        <v>232.66666666666652</v>
      </c>
      <c r="AP48" s="25">
        <v>159.30000000000001</v>
      </c>
      <c r="AQ48">
        <f>Tabel242[[#This Row],[Stand licht bruisend liter einde maand]]</f>
        <v>133.1</v>
      </c>
      <c r="AR48">
        <f>Tabel2425[[#This Row],[Stand licht bruisend liter einde maand]]-Tabel2425[[#This Row],[Stand licht bruisend liter vorige maand]]</f>
        <v>26.200000000000017</v>
      </c>
      <c r="AS48" s="2">
        <f>Tabel2425[[#This Row],[Verbruik licht bruisend liter deze maand]]/0.15</f>
        <v>174.6666666666668</v>
      </c>
      <c r="AT48" s="25">
        <v>1617.6</v>
      </c>
      <c r="AU48">
        <f>Tabel242[[#This Row],[Stand heet water liter einde maand]]</f>
        <v>1323</v>
      </c>
      <c r="AV48">
        <f>Tabel2425[[#This Row],[Stand heet water liter einde maand]]-Tabel2425[[#This Row],[Stand heet water liter vorige maand]]</f>
        <v>294.59999999999991</v>
      </c>
      <c r="AW48" s="20">
        <f>Tabel2425[[#This Row],[Verbruik heet Water liter deze maand ]]/0.15</f>
        <v>1963.9999999999995</v>
      </c>
      <c r="AX48" s="4">
        <f>Tabel2425[[#This Row],[Aantal consumpties heet water deze maand]]+Tabel2425[[#This Row],[Aantal consumpties licht bruisend water deze maand]]+Tabel2425[[#This Row],[aantal consumpties Bruisend water deze maand]]+Tabel2425[[#This Row],[Aantal consumpties gekoeld water deze maand]]+Tabel2425[[#This Row],[Aantal consumpties Kamertemp deze maand]]</f>
        <v>3067.333333333333</v>
      </c>
      <c r="AY48" s="4">
        <f>Tabel2425[[#This Row],[Subtotaal waterbar in consumpties]]+Tabel2425[[#This Row],[Subtotaal koffieautomaten]]</f>
        <v>3067.333333333333</v>
      </c>
    </row>
    <row r="49" spans="1:51" x14ac:dyDescent="0.25">
      <c r="A49" t="s">
        <v>58</v>
      </c>
      <c r="B49" t="s">
        <v>97</v>
      </c>
      <c r="C49" t="s">
        <v>31</v>
      </c>
      <c r="E49" s="25">
        <v>1838</v>
      </c>
      <c r="F49">
        <f>Tabel242[[#This Row],[Stand Coffee einde maand]]</f>
        <v>1507</v>
      </c>
      <c r="G49" s="12">
        <f>Tabel2425[[#This Row],[Stand Coffee einde maand]]-Tabel2425[[#This Row],[Coffee vorige maand]]</f>
        <v>331</v>
      </c>
      <c r="H49" s="25">
        <v>311</v>
      </c>
      <c r="I49">
        <f>Tabel242[[#This Row],[Stand Espresso Einde maand]]</f>
        <v>260</v>
      </c>
      <c r="J49" s="12">
        <f>Tabel2425[[#This Row],[Stand Espresso Einde maand]]-Tabel2425[[#This Row],[Espresso vorige maand]]</f>
        <v>51</v>
      </c>
      <c r="K49" s="25">
        <v>181</v>
      </c>
      <c r="L49">
        <f>Tabel242[[#This Row],[Stand Latte Macchiato einde maand]]</f>
        <v>128</v>
      </c>
      <c r="M49">
        <f>Tabel2425[[#This Row],[Stand Latte Macchiato einde maand]]-Tabel2425[[#This Row],[Latte Macchiato vorige maand]]</f>
        <v>53</v>
      </c>
      <c r="N49" s="25">
        <v>186</v>
      </c>
      <c r="O49">
        <f>Tabel242[[#This Row],[Stand Coffee Latte einde maand]]</f>
        <v>156</v>
      </c>
      <c r="P49">
        <f>Tabel2425[[#This Row],[Stand Coffee Latte einde maand]]-Tabel2425[[#This Row],[Coffee Latte vorige maand]]</f>
        <v>30</v>
      </c>
      <c r="Q49" s="25">
        <v>1928</v>
      </c>
      <c r="R49">
        <f>Tabel242[[#This Row],[Stand Hot Water einde maand]]</f>
        <v>1541</v>
      </c>
      <c r="S49">
        <f>Tabel2425[[#This Row],[Stand Hot Water einde maand]]-Tabel2425[[#This Row],[Hot Water vorige maand]]</f>
        <v>387</v>
      </c>
      <c r="T49" s="25">
        <v>985</v>
      </c>
      <c r="U49">
        <f>Tabel242[[#This Row],[Stand Cappucino einde maand]]</f>
        <v>808</v>
      </c>
      <c r="V49">
        <f>Tabel2425[[#This Row],[Stand Cappucino einde maand]]-Tabel2425[[#This Row],[Stand Cappucino vorige maand]]</f>
        <v>177</v>
      </c>
      <c r="W49" s="25">
        <v>441</v>
      </c>
      <c r="X49">
        <f>Tabel242[[#This Row],[Stand Cappucino Plantaardig einde maand]]</f>
        <v>382</v>
      </c>
      <c r="Y49">
        <f>Tabel2425[[#This Row],[Stand Cappucino Plantaardig einde maand]]-Tabel2425[[#This Row],[Stand Cappucino Plantaardig vorige maand]]</f>
        <v>59</v>
      </c>
      <c r="Z49" s="25">
        <v>105</v>
      </c>
      <c r="AA49">
        <f>Tabel242[[#This Row],[Stand Latte Macchiato Plantaardig einde maand]]</f>
        <v>103</v>
      </c>
      <c r="AB49" s="12">
        <f>Tabel2425[[#This Row],[Stand Latte Macchiato Plantaardig einde maand]]-Tabel2425[[#This Row],[Stand Latte Macchiato Plantaardig vorige maand]]</f>
        <v>2</v>
      </c>
      <c r="AC49" s="3">
        <f>Tabel2425[[#This Row],[Verbruik Stand Latte Macchiato Plantaardig deze maand]]+Tabel2425[[#This Row],[Verbruik  Cappucino Plantaardig deze maand]]+Tabel2425[[#This Row],[Verbruik Cappucino deze maand]]+Tabel2425[[#This Row],[Verbruik Hot Water deze maand]]+Tabel2425[[#This Row],[Verbruik Coffee Latte deze maand]]+Tabel2425[[#This Row],[Verbruik Latte Macchiato deze maand]]+Tabel2425[[#This Row],[Verbruik Espresso deze maand]]+Tabel2425[[#This Row],[Verbruik Coffee deze maand]]</f>
        <v>1090</v>
      </c>
      <c r="AD49" s="26"/>
      <c r="AE49" s="5"/>
      <c r="AF49" s="5"/>
      <c r="AG49" s="7"/>
      <c r="AH49" s="26"/>
      <c r="AI49" s="5"/>
      <c r="AJ49" s="5"/>
      <c r="AK49" s="7"/>
      <c r="AL49" s="26"/>
      <c r="AM49" s="5"/>
      <c r="AN49" s="5"/>
      <c r="AO49" s="7"/>
      <c r="AP49" s="26"/>
      <c r="AQ49" s="5"/>
      <c r="AR49" s="5"/>
      <c r="AS49" s="7"/>
      <c r="AT49" s="26"/>
      <c r="AU49" s="5">
        <f>Tabel242[[#This Row],[Stand heet water liter einde maand]]</f>
        <v>0</v>
      </c>
      <c r="AV49" s="5"/>
      <c r="AW49" s="21"/>
      <c r="AX49" s="8">
        <f>Tabel2425[[#This Row],[Aantal consumpties heet water deze maand]]+Tabel2425[[#This Row],[Aantal consumpties licht bruisend water deze maand]]+Tabel2425[[#This Row],[aantal consumpties Bruisend water deze maand]]+Tabel2425[[#This Row],[Aantal consumpties gekoeld water deze maand]]+Tabel2425[[#This Row],[Aantal consumpties Kamertemp deze maand]]</f>
        <v>0</v>
      </c>
      <c r="AY49" s="4">
        <f>Tabel2425[[#This Row],[Subtotaal waterbar in consumpties]]+Tabel2425[[#This Row],[Subtotaal koffieautomaten]]</f>
        <v>1090</v>
      </c>
    </row>
    <row r="50" spans="1:51" x14ac:dyDescent="0.25">
      <c r="A50" t="s">
        <v>60</v>
      </c>
      <c r="B50" t="s">
        <v>98</v>
      </c>
      <c r="C50" t="s">
        <v>47</v>
      </c>
      <c r="E50" s="25">
        <v>807</v>
      </c>
      <c r="F50">
        <f>Tabel242[[#This Row],[Stand Coffee einde maand]]</f>
        <v>596</v>
      </c>
      <c r="G50" s="12">
        <f>Tabel2425[[#This Row],[Stand Coffee einde maand]]-Tabel2425[[#This Row],[Coffee vorige maand]]</f>
        <v>211</v>
      </c>
      <c r="H50" s="25">
        <v>285</v>
      </c>
      <c r="I50">
        <f>Tabel242[[#This Row],[Stand Espresso Einde maand]]</f>
        <v>203</v>
      </c>
      <c r="J50" s="12">
        <f>Tabel2425[[#This Row],[Stand Espresso Einde maand]]-Tabel2425[[#This Row],[Espresso vorige maand]]</f>
        <v>82</v>
      </c>
      <c r="K50" s="25">
        <v>225</v>
      </c>
      <c r="L50">
        <f>Tabel242[[#This Row],[Stand Latte Macchiato einde maand]]</f>
        <v>154</v>
      </c>
      <c r="M50">
        <f>Tabel2425[[#This Row],[Stand Latte Macchiato einde maand]]-Tabel2425[[#This Row],[Latte Macchiato vorige maand]]</f>
        <v>71</v>
      </c>
      <c r="N50" s="25">
        <v>93</v>
      </c>
      <c r="O50">
        <f>Tabel242[[#This Row],[Stand Coffee Latte einde maand]]</f>
        <v>66</v>
      </c>
      <c r="P50">
        <f>Tabel2425[[#This Row],[Stand Coffee Latte einde maand]]-Tabel2425[[#This Row],[Coffee Latte vorige maand]]</f>
        <v>27</v>
      </c>
      <c r="Q50" s="25">
        <v>1</v>
      </c>
      <c r="R50">
        <f>Tabel242[[#This Row],[Stand Hot Water einde maand]]</f>
        <v>0</v>
      </c>
      <c r="S50">
        <f>Tabel2425[[#This Row],[Stand Hot Water einde maand]]-Tabel2425[[#This Row],[Hot Water vorige maand]]</f>
        <v>1</v>
      </c>
      <c r="T50" s="25">
        <v>490</v>
      </c>
      <c r="U50">
        <f>Tabel242[[#This Row],[Stand Cappucino einde maand]]</f>
        <v>340</v>
      </c>
      <c r="V50">
        <f>Tabel2425[[#This Row],[Stand Cappucino einde maand]]-Tabel2425[[#This Row],[Stand Cappucino vorige maand]]</f>
        <v>150</v>
      </c>
      <c r="W50" s="25">
        <v>180</v>
      </c>
      <c r="X50">
        <f>Tabel242[[#This Row],[Stand Cappucino Plantaardig einde maand]]</f>
        <v>135</v>
      </c>
      <c r="Y50">
        <f>Tabel2425[[#This Row],[Stand Cappucino Plantaardig einde maand]]-Tabel2425[[#This Row],[Stand Cappucino Plantaardig vorige maand]]</f>
        <v>45</v>
      </c>
      <c r="Z50" s="25">
        <v>48</v>
      </c>
      <c r="AA50">
        <f>Tabel242[[#This Row],[Stand Latte Macchiato Plantaardig einde maand]]</f>
        <v>34</v>
      </c>
      <c r="AB50" s="12">
        <f>Tabel2425[[#This Row],[Stand Latte Macchiato Plantaardig einde maand]]-Tabel2425[[#This Row],[Stand Latte Macchiato Plantaardig vorige maand]]</f>
        <v>14</v>
      </c>
      <c r="AC50" s="3">
        <f>Tabel2425[[#This Row],[Verbruik Stand Latte Macchiato Plantaardig deze maand]]+Tabel2425[[#This Row],[Verbruik  Cappucino Plantaardig deze maand]]+Tabel2425[[#This Row],[Verbruik Cappucino deze maand]]+Tabel2425[[#This Row],[Verbruik Hot Water deze maand]]+Tabel2425[[#This Row],[Verbruik Coffee Latte deze maand]]+Tabel2425[[#This Row],[Verbruik Latte Macchiato deze maand]]+Tabel2425[[#This Row],[Verbruik Espresso deze maand]]+Tabel2425[[#This Row],[Verbruik Coffee deze maand]]</f>
        <v>601</v>
      </c>
      <c r="AD50" s="25">
        <v>49.3</v>
      </c>
      <c r="AE50">
        <f>Tabel242[[#This Row],[Stand Kamertemp liter einde maand]]</f>
        <v>36</v>
      </c>
      <c r="AF50">
        <f>Tabel2425[[#This Row],[Stand Kamertemp liter einde maand]]-Tabel2425[[#This Row],[Stand Kamertemp liter vorige maand]]</f>
        <v>13.299999999999997</v>
      </c>
      <c r="AG50" s="2">
        <f>Tabel2425[[#This Row],[Verbruik Kamertemp liter deze maand]]/0.15</f>
        <v>88.666666666666657</v>
      </c>
      <c r="AH50" s="25">
        <v>201.7</v>
      </c>
      <c r="AI50">
        <f>Tabel242[[#This Row],[Stand Gekoeld liter einde maand]]</f>
        <v>146.69999999999999</v>
      </c>
      <c r="AJ50">
        <f>Tabel2425[[#This Row],[Stand Gekoeld liter einde maand]]-Tabel2425[[#This Row],[Stand Gekoeld liter vorige maand]]</f>
        <v>55</v>
      </c>
      <c r="AK50" s="2">
        <f>Tabel2425[[#This Row],[Verbruik Gekoeld liter deze maand]]/0.15</f>
        <v>366.66666666666669</v>
      </c>
      <c r="AL50" s="25">
        <v>135</v>
      </c>
      <c r="AM50">
        <f>Tabel242[[#This Row],[Stand Bruisend liter einde maand]]</f>
        <v>108.8</v>
      </c>
      <c r="AN50">
        <f>Tabel2425[[#This Row],[Stand Bruisend liter einde maand]]-Tabel2425[[#This Row],[Stand Bruisend liter vorige maand]]</f>
        <v>26.200000000000003</v>
      </c>
      <c r="AO50" s="2">
        <f>Tabel2425[[#This Row],[Verbruik Bruisend liter deze maand]]/0.15</f>
        <v>174.66666666666669</v>
      </c>
      <c r="AP50" s="25">
        <v>57.3</v>
      </c>
      <c r="AQ50">
        <f>Tabel242[[#This Row],[Stand licht bruisend liter einde maand]]</f>
        <v>52.8</v>
      </c>
      <c r="AR50">
        <f>Tabel2425[[#This Row],[Stand licht bruisend liter einde maand]]-Tabel2425[[#This Row],[Stand licht bruisend liter vorige maand]]</f>
        <v>4.5</v>
      </c>
      <c r="AS50" s="2">
        <f>Tabel2425[[#This Row],[Verbruik licht bruisend liter deze maand]]/0.15</f>
        <v>30</v>
      </c>
      <c r="AT50" s="25">
        <v>867.3</v>
      </c>
      <c r="AU50">
        <f>Tabel242[[#This Row],[Stand heet water liter einde maand]]</f>
        <v>663.8</v>
      </c>
      <c r="AV50">
        <f>Tabel2425[[#This Row],[Stand heet water liter einde maand]]-Tabel2425[[#This Row],[Stand heet water liter vorige maand]]</f>
        <v>203.5</v>
      </c>
      <c r="AW50" s="20">
        <f>Tabel2425[[#This Row],[Verbruik heet Water liter deze maand ]]/0.15</f>
        <v>1356.6666666666667</v>
      </c>
      <c r="AX50" s="4">
        <f>Tabel2425[[#This Row],[Aantal consumpties heet water deze maand]]+Tabel2425[[#This Row],[Aantal consumpties licht bruisend water deze maand]]+Tabel2425[[#This Row],[aantal consumpties Bruisend water deze maand]]+Tabel2425[[#This Row],[Aantal consumpties gekoeld water deze maand]]+Tabel2425[[#This Row],[Aantal consumpties Kamertemp deze maand]]</f>
        <v>2016.666666666667</v>
      </c>
      <c r="AY50" s="4">
        <f>Tabel2425[[#This Row],[Subtotaal waterbar in consumpties]]+Tabel2425[[#This Row],[Subtotaal koffieautomaten]]</f>
        <v>2617.666666666667</v>
      </c>
    </row>
    <row r="51" spans="1:51" x14ac:dyDescent="0.25">
      <c r="A51" s="3" t="s">
        <v>99</v>
      </c>
      <c r="E51" s="25"/>
      <c r="F51">
        <f>Tabel242[[#This Row],[Stand Coffee einde maand]]</f>
        <v>0</v>
      </c>
      <c r="G51" s="12">
        <f>Tabel2425[[#This Row],[Stand Coffee einde maand]]-Tabel2425[[#This Row],[Coffee vorige maand]]</f>
        <v>0</v>
      </c>
      <c r="H51" s="25"/>
      <c r="I51">
        <f>Tabel242[[#This Row],[Stand Espresso Einde maand]]</f>
        <v>0</v>
      </c>
      <c r="J51" s="12">
        <f>Tabel2425[[#This Row],[Stand Espresso Einde maand]]-Tabel2425[[#This Row],[Espresso vorige maand]]</f>
        <v>0</v>
      </c>
      <c r="K51" s="25"/>
      <c r="L51">
        <f>Tabel242[[#This Row],[Stand Latte Macchiato einde maand]]</f>
        <v>0</v>
      </c>
      <c r="M51">
        <f>Tabel2425[[#This Row],[Stand Latte Macchiato einde maand]]-Tabel2425[[#This Row],[Latte Macchiato vorige maand]]</f>
        <v>0</v>
      </c>
      <c r="N51" s="25"/>
      <c r="O51">
        <f>Tabel242[[#This Row],[Stand Coffee Latte einde maand]]</f>
        <v>0</v>
      </c>
      <c r="P51">
        <f>Tabel2425[[#This Row],[Stand Coffee Latte einde maand]]-Tabel2425[[#This Row],[Coffee Latte vorige maand]]</f>
        <v>0</v>
      </c>
      <c r="Q51" s="25"/>
      <c r="R51">
        <f>Tabel242[[#This Row],[Stand Hot Water einde maand]]</f>
        <v>0</v>
      </c>
      <c r="S51">
        <f>Tabel2425[[#This Row],[Stand Hot Water einde maand]]-Tabel2425[[#This Row],[Hot Water vorige maand]]</f>
        <v>0</v>
      </c>
      <c r="T51" s="25"/>
      <c r="U51">
        <f>Tabel242[[#This Row],[Stand Cappucino einde maand]]</f>
        <v>0</v>
      </c>
      <c r="V51">
        <f>Tabel2425[[#This Row],[Stand Cappucino einde maand]]-Tabel2425[[#This Row],[Stand Cappucino vorige maand]]</f>
        <v>0</v>
      </c>
      <c r="W51" s="25"/>
      <c r="X51">
        <f>Tabel242[[#This Row],[Stand Cappucino Plantaardig einde maand]]</f>
        <v>0</v>
      </c>
      <c r="Y51">
        <f>Tabel2425[[#This Row],[Stand Cappucino Plantaardig einde maand]]-Tabel2425[[#This Row],[Stand Cappucino Plantaardig vorige maand]]</f>
        <v>0</v>
      </c>
      <c r="Z51" s="25"/>
      <c r="AA51">
        <f>Tabel242[[#This Row],[Stand Latte Macchiato Plantaardig einde maand]]</f>
        <v>0</v>
      </c>
      <c r="AB51" s="12">
        <f>Tabel2425[[#This Row],[Stand Latte Macchiato Plantaardig einde maand]]-Tabel2425[[#This Row],[Stand Latte Macchiato Plantaardig vorige maand]]</f>
        <v>0</v>
      </c>
      <c r="AC51" s="3">
        <f>Tabel2425[[#This Row],[Verbruik Stand Latte Macchiato Plantaardig deze maand]]+Tabel2425[[#This Row],[Verbruik  Cappucino Plantaardig deze maand]]+Tabel2425[[#This Row],[Verbruik Cappucino deze maand]]+Tabel2425[[#This Row],[Verbruik Hot Water deze maand]]+Tabel2425[[#This Row],[Verbruik Coffee Latte deze maand]]+Tabel2425[[#This Row],[Verbruik Latte Macchiato deze maand]]+Tabel2425[[#This Row],[Verbruik Espresso deze maand]]+Tabel2425[[#This Row],[Verbruik Coffee deze maand]]</f>
        <v>0</v>
      </c>
      <c r="AD51" s="25"/>
      <c r="AG51" s="2"/>
      <c r="AH51" s="25"/>
      <c r="AK51" s="2"/>
      <c r="AL51" s="25"/>
      <c r="AO51" s="2"/>
      <c r="AP51" s="25"/>
      <c r="AS51" s="2"/>
      <c r="AT51" s="25"/>
      <c r="AU51">
        <f>Tabel242[[#This Row],[Stand heet water liter einde maand]]</f>
        <v>0</v>
      </c>
      <c r="AV51">
        <f>Tabel2425[[#This Row],[Stand heet water liter einde maand]]-Tabel2425[[#This Row],[Stand heet water liter vorige maand]]</f>
        <v>0</v>
      </c>
      <c r="AW51" s="20">
        <f>Tabel2425[[#This Row],[Verbruik heet Water liter deze maand ]]/0.15</f>
        <v>0</v>
      </c>
      <c r="AX51" s="4"/>
      <c r="AY51" s="4">
        <f>Tabel2425[[#This Row],[Subtotaal waterbar in consumpties]]+Tabel2425[[#This Row],[Subtotaal koffieautomaten]]</f>
        <v>0</v>
      </c>
    </row>
    <row r="52" spans="1:51" x14ac:dyDescent="0.25">
      <c r="A52" t="s">
        <v>43</v>
      </c>
      <c r="B52" t="s">
        <v>100</v>
      </c>
      <c r="C52" t="s">
        <v>31</v>
      </c>
      <c r="E52" s="25">
        <v>1240</v>
      </c>
      <c r="F52">
        <f>Tabel242[[#This Row],[Stand Coffee einde maand]]</f>
        <v>908</v>
      </c>
      <c r="G52" s="12">
        <f>Tabel2425[[#This Row],[Stand Coffee einde maand]]-Tabel2425[[#This Row],[Coffee vorige maand]]</f>
        <v>332</v>
      </c>
      <c r="H52" s="25">
        <v>396</v>
      </c>
      <c r="I52">
        <f>Tabel242[[#This Row],[Stand Espresso Einde maand]]</f>
        <v>296</v>
      </c>
      <c r="J52" s="12">
        <f>Tabel2425[[#This Row],[Stand Espresso Einde maand]]-Tabel2425[[#This Row],[Espresso vorige maand]]</f>
        <v>100</v>
      </c>
      <c r="K52" s="25">
        <v>182</v>
      </c>
      <c r="L52">
        <f>Tabel242[[#This Row],[Stand Latte Macchiato einde maand]]</f>
        <v>139</v>
      </c>
      <c r="M52">
        <f>Tabel2425[[#This Row],[Stand Latte Macchiato einde maand]]-Tabel2425[[#This Row],[Latte Macchiato vorige maand]]</f>
        <v>43</v>
      </c>
      <c r="N52" s="25">
        <v>144</v>
      </c>
      <c r="O52">
        <f>Tabel242[[#This Row],[Stand Coffee Latte einde maand]]</f>
        <v>106</v>
      </c>
      <c r="P52">
        <f>Tabel2425[[#This Row],[Stand Coffee Latte einde maand]]-Tabel2425[[#This Row],[Coffee Latte vorige maand]]</f>
        <v>38</v>
      </c>
      <c r="Q52" s="25">
        <v>3677</v>
      </c>
      <c r="R52">
        <f>Tabel242[[#This Row],[Stand Hot Water einde maand]]</f>
        <v>2881</v>
      </c>
      <c r="S52">
        <f>Tabel2425[[#This Row],[Stand Hot Water einde maand]]-Tabel2425[[#This Row],[Hot Water vorige maand]]</f>
        <v>796</v>
      </c>
      <c r="T52" s="25">
        <v>346</v>
      </c>
      <c r="U52">
        <f>Tabel242[[#This Row],[Stand Cappucino einde maand]]</f>
        <v>292</v>
      </c>
      <c r="V52">
        <f>Tabel2425[[#This Row],[Stand Cappucino einde maand]]-Tabel2425[[#This Row],[Stand Cappucino vorige maand]]</f>
        <v>54</v>
      </c>
      <c r="W52" s="25">
        <v>88</v>
      </c>
      <c r="X52">
        <f>Tabel242[[#This Row],[Stand Cappucino Plantaardig einde maand]]</f>
        <v>70</v>
      </c>
      <c r="Y52">
        <f>Tabel2425[[#This Row],[Stand Cappucino Plantaardig einde maand]]-Tabel2425[[#This Row],[Stand Cappucino Plantaardig vorige maand]]</f>
        <v>18</v>
      </c>
      <c r="Z52" s="25">
        <v>56</v>
      </c>
      <c r="AA52">
        <f>Tabel242[[#This Row],[Stand Latte Macchiato Plantaardig einde maand]]</f>
        <v>52</v>
      </c>
      <c r="AB52" s="12">
        <f>Tabel2425[[#This Row],[Stand Latte Macchiato Plantaardig einde maand]]-Tabel2425[[#This Row],[Stand Latte Macchiato Plantaardig vorige maand]]</f>
        <v>4</v>
      </c>
      <c r="AC52" s="3">
        <f>Tabel2425[[#This Row],[Verbruik Stand Latte Macchiato Plantaardig deze maand]]+Tabel2425[[#This Row],[Verbruik  Cappucino Plantaardig deze maand]]+Tabel2425[[#This Row],[Verbruik Cappucino deze maand]]+Tabel2425[[#This Row],[Verbruik Hot Water deze maand]]+Tabel2425[[#This Row],[Verbruik Coffee Latte deze maand]]+Tabel2425[[#This Row],[Verbruik Latte Macchiato deze maand]]+Tabel2425[[#This Row],[Verbruik Espresso deze maand]]+Tabel2425[[#This Row],[Verbruik Coffee deze maand]]</f>
        <v>1385</v>
      </c>
      <c r="AD52" s="26"/>
      <c r="AE52" s="5"/>
      <c r="AF52" s="5"/>
      <c r="AG52" s="7"/>
      <c r="AH52" s="26"/>
      <c r="AI52" s="5"/>
      <c r="AJ52" s="5"/>
      <c r="AK52" s="7"/>
      <c r="AL52" s="26"/>
      <c r="AM52" s="5"/>
      <c r="AN52" s="5"/>
      <c r="AO52" s="7"/>
      <c r="AP52" s="26"/>
      <c r="AQ52" s="5"/>
      <c r="AR52" s="5"/>
      <c r="AS52" s="7"/>
      <c r="AT52" s="26"/>
      <c r="AU52" s="5">
        <f>Tabel242[[#This Row],[Stand heet water liter einde maand]]</f>
        <v>0</v>
      </c>
      <c r="AV52" s="5"/>
      <c r="AW52" s="21"/>
      <c r="AX52" s="8"/>
      <c r="AY52" s="4">
        <f>Tabel2425[[#This Row],[Subtotaal waterbar in consumpties]]+Tabel2425[[#This Row],[Subtotaal koffieautomaten]]</f>
        <v>1385</v>
      </c>
    </row>
    <row r="53" spans="1:51" x14ac:dyDescent="0.25">
      <c r="A53" t="s">
        <v>45</v>
      </c>
      <c r="B53" t="s">
        <v>101</v>
      </c>
      <c r="C53" t="s">
        <v>47</v>
      </c>
      <c r="E53" s="25">
        <v>1475</v>
      </c>
      <c r="F53">
        <f>Tabel242[[#This Row],[Stand Coffee einde maand]]</f>
        <v>1215</v>
      </c>
      <c r="G53" s="12">
        <f>Tabel2425[[#This Row],[Stand Coffee einde maand]]-Tabel2425[[#This Row],[Coffee vorige maand]]</f>
        <v>260</v>
      </c>
      <c r="H53" s="25">
        <v>457</v>
      </c>
      <c r="I53">
        <f>Tabel242[[#This Row],[Stand Espresso Einde maand]]</f>
        <v>389</v>
      </c>
      <c r="J53" s="12">
        <f>Tabel2425[[#This Row],[Stand Espresso Einde maand]]-Tabel2425[[#This Row],[Espresso vorige maand]]</f>
        <v>68</v>
      </c>
      <c r="K53" s="25">
        <v>124</v>
      </c>
      <c r="L53">
        <f>Tabel242[[#This Row],[Stand Latte Macchiato einde maand]]</f>
        <v>94</v>
      </c>
      <c r="M53">
        <f>Tabel2425[[#This Row],[Stand Latte Macchiato einde maand]]-Tabel2425[[#This Row],[Latte Macchiato vorige maand]]</f>
        <v>30</v>
      </c>
      <c r="N53" s="25">
        <v>68</v>
      </c>
      <c r="O53">
        <f>Tabel242[[#This Row],[Stand Coffee Latte einde maand]]</f>
        <v>55</v>
      </c>
      <c r="P53">
        <f>Tabel2425[[#This Row],[Stand Coffee Latte einde maand]]-Tabel2425[[#This Row],[Coffee Latte vorige maand]]</f>
        <v>13</v>
      </c>
      <c r="Q53" s="25">
        <v>1</v>
      </c>
      <c r="R53">
        <f>Tabel242[[#This Row],[Stand Hot Water einde maand]]</f>
        <v>0</v>
      </c>
      <c r="S53">
        <f>Tabel2425[[#This Row],[Stand Hot Water einde maand]]-Tabel2425[[#This Row],[Hot Water vorige maand]]</f>
        <v>1</v>
      </c>
      <c r="T53" s="25">
        <v>603</v>
      </c>
      <c r="U53">
        <f>Tabel242[[#This Row],[Stand Cappucino einde maand]]</f>
        <v>464</v>
      </c>
      <c r="V53">
        <f>Tabel2425[[#This Row],[Stand Cappucino einde maand]]-Tabel2425[[#This Row],[Stand Cappucino vorige maand]]</f>
        <v>139</v>
      </c>
      <c r="W53" s="25">
        <v>146</v>
      </c>
      <c r="X53">
        <f>Tabel242[[#This Row],[Stand Cappucino Plantaardig einde maand]]</f>
        <v>129</v>
      </c>
      <c r="Y53">
        <f>Tabel2425[[#This Row],[Stand Cappucino Plantaardig einde maand]]-Tabel2425[[#This Row],[Stand Cappucino Plantaardig vorige maand]]</f>
        <v>17</v>
      </c>
      <c r="Z53" s="25">
        <v>69</v>
      </c>
      <c r="AA53">
        <f>Tabel242[[#This Row],[Stand Latte Macchiato Plantaardig einde maand]]</f>
        <v>56</v>
      </c>
      <c r="AB53" s="12">
        <f>Tabel2425[[#This Row],[Stand Latte Macchiato Plantaardig einde maand]]-Tabel2425[[#This Row],[Stand Latte Macchiato Plantaardig vorige maand]]</f>
        <v>13</v>
      </c>
      <c r="AC53" s="3">
        <f>Tabel2425[[#This Row],[Verbruik Stand Latte Macchiato Plantaardig deze maand]]+Tabel2425[[#This Row],[Verbruik  Cappucino Plantaardig deze maand]]+Tabel2425[[#This Row],[Verbruik Cappucino deze maand]]+Tabel2425[[#This Row],[Verbruik Hot Water deze maand]]+Tabel2425[[#This Row],[Verbruik Coffee Latte deze maand]]+Tabel2425[[#This Row],[Verbruik Latte Macchiato deze maand]]+Tabel2425[[#This Row],[Verbruik Espresso deze maand]]+Tabel2425[[#This Row],[Verbruik Coffee deze maand]]</f>
        <v>541</v>
      </c>
      <c r="AD53" s="25">
        <v>69.5</v>
      </c>
      <c r="AE53">
        <f>Tabel242[[#This Row],[Stand Kamertemp liter einde maand]]</f>
        <v>54.6</v>
      </c>
      <c r="AF53">
        <f>Tabel2425[[#This Row],[Stand Kamertemp liter einde maand]]-Tabel2425[[#This Row],[Stand Kamertemp liter vorige maand]]</f>
        <v>14.899999999999999</v>
      </c>
      <c r="AG53" s="2">
        <f>Tabel2425[[#This Row],[Verbruik Kamertemp liter deze maand]]/0.15</f>
        <v>99.333333333333329</v>
      </c>
      <c r="AH53" s="25">
        <v>247.6</v>
      </c>
      <c r="AI53">
        <f>Tabel242[[#This Row],[Stand Gekoeld liter einde maand]]</f>
        <v>195.8</v>
      </c>
      <c r="AJ53">
        <f>Tabel2425[[#This Row],[Stand Gekoeld liter einde maand]]-Tabel2425[[#This Row],[Stand Gekoeld liter vorige maand]]</f>
        <v>51.799999999999983</v>
      </c>
      <c r="AK53" s="2">
        <f>Tabel2425[[#This Row],[Verbruik Gekoeld liter deze maand]]/0.15</f>
        <v>345.33333333333326</v>
      </c>
      <c r="AL53" s="25">
        <v>418.6</v>
      </c>
      <c r="AM53">
        <f>Tabel242[[#This Row],[Stand Bruisend liter einde maand]]</f>
        <v>311.3</v>
      </c>
      <c r="AN53">
        <f>Tabel2425[[#This Row],[Stand Bruisend liter einde maand]]-Tabel2425[[#This Row],[Stand Bruisend liter vorige maand]]</f>
        <v>107.30000000000001</v>
      </c>
      <c r="AO53" s="2">
        <f>Tabel2425[[#This Row],[Verbruik Bruisend liter deze maand]]/0.15</f>
        <v>715.33333333333348</v>
      </c>
      <c r="AP53" s="25">
        <v>161.9</v>
      </c>
      <c r="AQ53">
        <f>Tabel242[[#This Row],[Stand licht bruisend liter einde maand]]</f>
        <v>117.1</v>
      </c>
      <c r="AR53">
        <f>Tabel2425[[#This Row],[Stand licht bruisend liter einde maand]]-Tabel2425[[#This Row],[Stand licht bruisend liter vorige maand]]</f>
        <v>44.800000000000011</v>
      </c>
      <c r="AS53" s="2">
        <f>Tabel2425[[#This Row],[Verbruik licht bruisend liter deze maand]]/0.15</f>
        <v>298.66666666666674</v>
      </c>
      <c r="AT53" s="25">
        <v>1143.3</v>
      </c>
      <c r="AU53">
        <f>Tabel242[[#This Row],[Stand heet water liter einde maand]]</f>
        <v>927.3</v>
      </c>
      <c r="AV53">
        <f>Tabel2425[[#This Row],[Stand heet water liter einde maand]]-Tabel2425[[#This Row],[Stand heet water liter vorige maand]]</f>
        <v>216</v>
      </c>
      <c r="AW53" s="20">
        <f>Tabel2425[[#This Row],[Verbruik heet Water liter deze maand ]]/0.15</f>
        <v>1440</v>
      </c>
      <c r="AX53" s="4">
        <f>Tabel2425[[#This Row],[Aantal consumpties heet water deze maand]]+Tabel2425[[#This Row],[Aantal consumpties licht bruisend water deze maand]]+Tabel2425[[#This Row],[aantal consumpties Bruisend water deze maand]]+Tabel2425[[#This Row],[Aantal consumpties gekoeld water deze maand]]+Tabel2425[[#This Row],[Aantal consumpties Kamertemp deze maand]]</f>
        <v>2898.6666666666665</v>
      </c>
      <c r="AY53" s="4">
        <f>Tabel2425[[#This Row],[Subtotaal waterbar in consumpties]]+Tabel2425[[#This Row],[Subtotaal koffieautomaten]]</f>
        <v>3439.6666666666665</v>
      </c>
    </row>
    <row r="54" spans="1:51" x14ac:dyDescent="0.25">
      <c r="A54" t="s">
        <v>48</v>
      </c>
      <c r="B54" t="s">
        <v>102</v>
      </c>
      <c r="C54" t="s">
        <v>31</v>
      </c>
      <c r="E54" s="25">
        <v>925</v>
      </c>
      <c r="F54">
        <f>Tabel242[[#This Row],[Stand Coffee einde maand]]</f>
        <v>665</v>
      </c>
      <c r="G54" s="12">
        <f>Tabel2425[[#This Row],[Stand Coffee einde maand]]-Tabel2425[[#This Row],[Coffee vorige maand]]</f>
        <v>260</v>
      </c>
      <c r="H54" s="25">
        <v>98</v>
      </c>
      <c r="I54">
        <f>Tabel242[[#This Row],[Stand Espresso Einde maand]]</f>
        <v>68</v>
      </c>
      <c r="J54" s="12">
        <f>Tabel2425[[#This Row],[Stand Espresso Einde maand]]-Tabel2425[[#This Row],[Espresso vorige maand]]</f>
        <v>30</v>
      </c>
      <c r="K54" s="25">
        <v>48</v>
      </c>
      <c r="L54">
        <f>Tabel242[[#This Row],[Stand Latte Macchiato einde maand]]</f>
        <v>43</v>
      </c>
      <c r="M54">
        <f>Tabel2425[[#This Row],[Stand Latte Macchiato einde maand]]-Tabel2425[[#This Row],[Latte Macchiato vorige maand]]</f>
        <v>5</v>
      </c>
      <c r="N54" s="25">
        <v>68</v>
      </c>
      <c r="O54">
        <f>Tabel242[[#This Row],[Stand Coffee Latte einde maand]]</f>
        <v>43</v>
      </c>
      <c r="P54">
        <f>Tabel2425[[#This Row],[Stand Coffee Latte einde maand]]-Tabel2425[[#This Row],[Coffee Latte vorige maand]]</f>
        <v>25</v>
      </c>
      <c r="Q54" s="25">
        <v>2346</v>
      </c>
      <c r="R54">
        <f>Tabel242[[#This Row],[Stand Hot Water einde maand]]</f>
        <v>1750</v>
      </c>
      <c r="S54">
        <f>Tabel2425[[#This Row],[Stand Hot Water einde maand]]-Tabel2425[[#This Row],[Hot Water vorige maand]]</f>
        <v>596</v>
      </c>
      <c r="T54" s="25">
        <v>381</v>
      </c>
      <c r="U54">
        <f>Tabel242[[#This Row],[Stand Cappucino einde maand]]</f>
        <v>285</v>
      </c>
      <c r="V54">
        <f>Tabel2425[[#This Row],[Stand Cappucino einde maand]]-Tabel2425[[#This Row],[Stand Cappucino vorige maand]]</f>
        <v>96</v>
      </c>
      <c r="W54" s="25">
        <v>339</v>
      </c>
      <c r="X54">
        <f>Tabel242[[#This Row],[Stand Cappucino Plantaardig einde maand]]</f>
        <v>261</v>
      </c>
      <c r="Y54">
        <f>Tabel2425[[#This Row],[Stand Cappucino Plantaardig einde maand]]-Tabel2425[[#This Row],[Stand Cappucino Plantaardig vorige maand]]</f>
        <v>78</v>
      </c>
      <c r="Z54" s="25">
        <v>40</v>
      </c>
      <c r="AA54">
        <f>Tabel242[[#This Row],[Stand Latte Macchiato Plantaardig einde maand]]</f>
        <v>33</v>
      </c>
      <c r="AB54" s="12">
        <f>Tabel2425[[#This Row],[Stand Latte Macchiato Plantaardig einde maand]]-Tabel2425[[#This Row],[Stand Latte Macchiato Plantaardig vorige maand]]</f>
        <v>7</v>
      </c>
      <c r="AC54" s="3">
        <f>Tabel2425[[#This Row],[Verbruik Stand Latte Macchiato Plantaardig deze maand]]+Tabel2425[[#This Row],[Verbruik  Cappucino Plantaardig deze maand]]+Tabel2425[[#This Row],[Verbruik Cappucino deze maand]]+Tabel2425[[#This Row],[Verbruik Hot Water deze maand]]+Tabel2425[[#This Row],[Verbruik Coffee Latte deze maand]]+Tabel2425[[#This Row],[Verbruik Latte Macchiato deze maand]]+Tabel2425[[#This Row],[Verbruik Espresso deze maand]]+Tabel2425[[#This Row],[Verbruik Coffee deze maand]]</f>
        <v>1097</v>
      </c>
      <c r="AD54" s="26"/>
      <c r="AE54" s="5"/>
      <c r="AF54" s="5"/>
      <c r="AG54" s="7"/>
      <c r="AH54" s="26"/>
      <c r="AI54" s="5"/>
      <c r="AJ54" s="5"/>
      <c r="AK54" s="7"/>
      <c r="AL54" s="26"/>
      <c r="AM54" s="5"/>
      <c r="AN54" s="5"/>
      <c r="AO54" s="7"/>
      <c r="AP54" s="26"/>
      <c r="AQ54" s="5"/>
      <c r="AR54" s="5"/>
      <c r="AS54" s="7"/>
      <c r="AT54" s="26"/>
      <c r="AU54" s="5"/>
      <c r="AV54" s="5"/>
      <c r="AW54" s="21"/>
      <c r="AX54" s="8"/>
      <c r="AY54" s="4">
        <f>Tabel2425[[#This Row],[Subtotaal waterbar in consumpties]]+Tabel2425[[#This Row],[Subtotaal koffieautomaten]]</f>
        <v>1097</v>
      </c>
    </row>
    <row r="55" spans="1:51" x14ac:dyDescent="0.25">
      <c r="A55" t="s">
        <v>50</v>
      </c>
      <c r="B55" t="s">
        <v>103</v>
      </c>
      <c r="C55" t="s">
        <v>47</v>
      </c>
      <c r="E55" s="25">
        <v>1590</v>
      </c>
      <c r="F55">
        <f>Tabel242[[#This Row],[Stand Coffee einde maand]]</f>
        <v>1247</v>
      </c>
      <c r="G55" s="12">
        <f>Tabel2425[[#This Row],[Stand Coffee einde maand]]-Tabel2425[[#This Row],[Coffee vorige maand]]</f>
        <v>343</v>
      </c>
      <c r="H55" s="25">
        <v>1155</v>
      </c>
      <c r="I55">
        <f>Tabel242[[#This Row],[Stand Espresso Einde maand]]</f>
        <v>982</v>
      </c>
      <c r="J55" s="12">
        <f>Tabel2425[[#This Row],[Stand Espresso Einde maand]]-Tabel2425[[#This Row],[Espresso vorige maand]]</f>
        <v>173</v>
      </c>
      <c r="K55" s="25">
        <v>85</v>
      </c>
      <c r="L55">
        <f>Tabel242[[#This Row],[Stand Latte Macchiato einde maand]]</f>
        <v>75</v>
      </c>
      <c r="M55">
        <f>Tabel2425[[#This Row],[Stand Latte Macchiato einde maand]]-Tabel2425[[#This Row],[Latte Macchiato vorige maand]]</f>
        <v>10</v>
      </c>
      <c r="N55" s="25">
        <v>28</v>
      </c>
      <c r="O55">
        <f>Tabel242[[#This Row],[Stand Coffee Latte einde maand]]</f>
        <v>25</v>
      </c>
      <c r="P55">
        <f>Tabel2425[[#This Row],[Stand Coffee Latte einde maand]]-Tabel2425[[#This Row],[Coffee Latte vorige maand]]</f>
        <v>3</v>
      </c>
      <c r="Q55" s="25">
        <v>1</v>
      </c>
      <c r="R55">
        <f>Tabel242[[#This Row],[Stand Hot Water einde maand]]</f>
        <v>0</v>
      </c>
      <c r="S55">
        <f>Tabel2425[[#This Row],[Stand Hot Water einde maand]]-Tabel2425[[#This Row],[Hot Water vorige maand]]</f>
        <v>1</v>
      </c>
      <c r="T55" s="25">
        <v>1711</v>
      </c>
      <c r="U55">
        <f>Tabel242[[#This Row],[Stand Cappucino einde maand]]</f>
        <v>1363</v>
      </c>
      <c r="V55">
        <f>Tabel2425[[#This Row],[Stand Cappucino einde maand]]-Tabel2425[[#This Row],[Stand Cappucino vorige maand]]</f>
        <v>348</v>
      </c>
      <c r="W55" s="25">
        <v>172</v>
      </c>
      <c r="X55">
        <f>Tabel242[[#This Row],[Stand Cappucino Plantaardig einde maand]]</f>
        <v>155</v>
      </c>
      <c r="Y55">
        <f>Tabel2425[[#This Row],[Stand Cappucino Plantaardig einde maand]]-Tabel2425[[#This Row],[Stand Cappucino Plantaardig vorige maand]]</f>
        <v>17</v>
      </c>
      <c r="Z55" s="25">
        <v>39</v>
      </c>
      <c r="AA55">
        <f>Tabel242[[#This Row],[Stand Latte Macchiato Plantaardig einde maand]]</f>
        <v>38</v>
      </c>
      <c r="AB55" s="12">
        <f>Tabel2425[[#This Row],[Stand Latte Macchiato Plantaardig einde maand]]-Tabel2425[[#This Row],[Stand Latte Macchiato Plantaardig vorige maand]]</f>
        <v>1</v>
      </c>
      <c r="AC55" s="3">
        <f>Tabel2425[[#This Row],[Verbruik Stand Latte Macchiato Plantaardig deze maand]]+Tabel2425[[#This Row],[Verbruik  Cappucino Plantaardig deze maand]]+Tabel2425[[#This Row],[Verbruik Cappucino deze maand]]+Tabel2425[[#This Row],[Verbruik Hot Water deze maand]]+Tabel2425[[#This Row],[Verbruik Coffee Latte deze maand]]+Tabel2425[[#This Row],[Verbruik Latte Macchiato deze maand]]+Tabel2425[[#This Row],[Verbruik Espresso deze maand]]+Tabel2425[[#This Row],[Verbruik Coffee deze maand]]</f>
        <v>896</v>
      </c>
      <c r="AD55" s="25">
        <v>71.5</v>
      </c>
      <c r="AE55">
        <f>Tabel242[[#This Row],[Stand Kamertemp liter einde maand]]</f>
        <v>56.3</v>
      </c>
      <c r="AF55">
        <f>Tabel2425[[#This Row],[Stand Kamertemp liter einde maand]]-Tabel2425[[#This Row],[Stand Kamertemp liter vorige maand]]</f>
        <v>15.200000000000003</v>
      </c>
      <c r="AG55" s="2">
        <f>Tabel2425[[#This Row],[Verbruik Kamertemp liter deze maand]]/0.15</f>
        <v>101.33333333333336</v>
      </c>
      <c r="AH55" s="25">
        <v>152.4</v>
      </c>
      <c r="AI55">
        <f>Tabel242[[#This Row],[Stand Gekoeld liter einde maand]]</f>
        <v>112.5</v>
      </c>
      <c r="AJ55">
        <f>Tabel2425[[#This Row],[Stand Gekoeld liter einde maand]]-Tabel2425[[#This Row],[Stand Gekoeld liter vorige maand]]</f>
        <v>39.900000000000006</v>
      </c>
      <c r="AK55" s="2">
        <f>Tabel2425[[#This Row],[Verbruik Gekoeld liter deze maand]]/0.15</f>
        <v>266.00000000000006</v>
      </c>
      <c r="AL55" s="25">
        <v>327.2</v>
      </c>
      <c r="AM55">
        <f>Tabel242[[#This Row],[Stand Bruisend liter einde maand]]</f>
        <v>265.8</v>
      </c>
      <c r="AN55">
        <f>Tabel2425[[#This Row],[Stand Bruisend liter einde maand]]-Tabel2425[[#This Row],[Stand Bruisend liter vorige maand]]</f>
        <v>61.399999999999977</v>
      </c>
      <c r="AO55" s="2">
        <f>Tabel2425[[#This Row],[Verbruik Bruisend liter deze maand]]/0.15</f>
        <v>409.3333333333332</v>
      </c>
      <c r="AP55" s="25">
        <v>109</v>
      </c>
      <c r="AQ55">
        <f>Tabel242[[#This Row],[Stand licht bruisend liter einde maand]]</f>
        <v>85</v>
      </c>
      <c r="AR55">
        <f>Tabel2425[[#This Row],[Stand licht bruisend liter einde maand]]-Tabel2425[[#This Row],[Stand licht bruisend liter vorige maand]]</f>
        <v>24</v>
      </c>
      <c r="AS55" s="2">
        <f>Tabel2425[[#This Row],[Verbruik licht bruisend liter deze maand]]/0.15</f>
        <v>160</v>
      </c>
      <c r="AT55" s="25">
        <v>977.2</v>
      </c>
      <c r="AU55">
        <f>Tabel242[[#This Row],[Stand heet water liter einde maand]]</f>
        <v>805.7</v>
      </c>
      <c r="AV55">
        <f>Tabel2425[[#This Row],[Stand heet water liter einde maand]]-Tabel2425[[#This Row],[Stand heet water liter vorige maand]]</f>
        <v>171.5</v>
      </c>
      <c r="AW55" s="20">
        <f>Tabel2425[[#This Row],[Verbruik heet Water liter deze maand ]]/0.15</f>
        <v>1143.3333333333335</v>
      </c>
      <c r="AX55" s="4">
        <f>Tabel2425[[#This Row],[Aantal consumpties heet water deze maand]]+Tabel2425[[#This Row],[Aantal consumpties licht bruisend water deze maand]]+Tabel2425[[#This Row],[aantal consumpties Bruisend water deze maand]]+Tabel2425[[#This Row],[Aantal consumpties gekoeld water deze maand]]+Tabel2425[[#This Row],[Aantal consumpties Kamertemp deze maand]]</f>
        <v>2080</v>
      </c>
      <c r="AY55" s="4">
        <f>Tabel2425[[#This Row],[Subtotaal waterbar in consumpties]]+Tabel2425[[#This Row],[Subtotaal koffieautomaten]]</f>
        <v>2976</v>
      </c>
    </row>
    <row r="56" spans="1:51" x14ac:dyDescent="0.25">
      <c r="A56" t="s">
        <v>52</v>
      </c>
      <c r="B56" t="s">
        <v>104</v>
      </c>
      <c r="C56" t="s">
        <v>36</v>
      </c>
      <c r="E56" s="36"/>
      <c r="F56" s="37"/>
      <c r="G56" s="38"/>
      <c r="H56" s="36"/>
      <c r="I56" s="37"/>
      <c r="J56" s="38"/>
      <c r="K56" s="36"/>
      <c r="L56" s="37"/>
      <c r="M56" s="37"/>
      <c r="N56" s="36"/>
      <c r="O56" s="37"/>
      <c r="P56" s="37"/>
      <c r="Q56" s="36"/>
      <c r="R56" s="37"/>
      <c r="S56" s="37"/>
      <c r="T56" s="36"/>
      <c r="U56" s="37"/>
      <c r="V56" s="37"/>
      <c r="W56" s="36"/>
      <c r="X56" s="37"/>
      <c r="Y56" s="37"/>
      <c r="Z56" s="36"/>
      <c r="AA56" s="37"/>
      <c r="AB56" s="38"/>
      <c r="AC56" s="39"/>
      <c r="AD56" s="25">
        <v>34.1</v>
      </c>
      <c r="AE56">
        <f>Tabel242[[#This Row],[Stand Kamertemp liter einde maand]]</f>
        <v>31.2</v>
      </c>
      <c r="AF56">
        <f>Tabel2425[[#This Row],[Stand Kamertemp liter einde maand]]-Tabel2425[[#This Row],[Stand Kamertemp liter vorige maand]]</f>
        <v>2.9000000000000021</v>
      </c>
      <c r="AG56" s="2">
        <f>Tabel2425[[#This Row],[Verbruik Kamertemp liter deze maand]]/0.15</f>
        <v>19.33333333333335</v>
      </c>
      <c r="AH56" s="25">
        <v>134</v>
      </c>
      <c r="AI56">
        <f>Tabel242[[#This Row],[Stand Gekoeld liter einde maand]]</f>
        <v>108.5</v>
      </c>
      <c r="AJ56">
        <f>Tabel2425[[#This Row],[Stand Gekoeld liter einde maand]]-Tabel2425[[#This Row],[Stand Gekoeld liter vorige maand]]</f>
        <v>25.5</v>
      </c>
      <c r="AK56" s="2">
        <f>Tabel2425[[#This Row],[Verbruik Gekoeld liter deze maand]]/0.15</f>
        <v>170</v>
      </c>
      <c r="AL56" s="25">
        <v>239.7</v>
      </c>
      <c r="AM56">
        <f>Tabel242[[#This Row],[Stand Bruisend liter einde maand]]</f>
        <v>168.2</v>
      </c>
      <c r="AN56">
        <f>Tabel2425[[#This Row],[Stand Bruisend liter einde maand]]-Tabel2425[[#This Row],[Stand Bruisend liter vorige maand]]</f>
        <v>71.5</v>
      </c>
      <c r="AO56" s="2">
        <f>Tabel2425[[#This Row],[Verbruik Bruisend liter deze maand]]/0.15</f>
        <v>476.66666666666669</v>
      </c>
      <c r="AP56" s="25">
        <v>210.4</v>
      </c>
      <c r="AQ56">
        <f>Tabel242[[#This Row],[Stand licht bruisend liter einde maand]]</f>
        <v>156.1</v>
      </c>
      <c r="AR56">
        <f>Tabel2425[[#This Row],[Stand licht bruisend liter einde maand]]-Tabel2425[[#This Row],[Stand licht bruisend liter vorige maand]]</f>
        <v>54.300000000000011</v>
      </c>
      <c r="AS56" s="2">
        <f>Tabel2425[[#This Row],[Verbruik licht bruisend liter deze maand]]/0.15</f>
        <v>362.00000000000011</v>
      </c>
      <c r="AT56" s="25">
        <v>1484.7</v>
      </c>
      <c r="AU56">
        <f>Tabel242[[#This Row],[Stand heet water liter einde maand]]</f>
        <v>1221.9000000000001</v>
      </c>
      <c r="AV56">
        <f>Tabel2425[[#This Row],[Stand heet water liter einde maand]]-Tabel2425[[#This Row],[Stand heet water liter vorige maand]]</f>
        <v>262.79999999999995</v>
      </c>
      <c r="AW56" s="20">
        <f>Tabel2425[[#This Row],[Verbruik heet Water liter deze maand ]]/0.15</f>
        <v>1751.9999999999998</v>
      </c>
      <c r="AX56" s="4">
        <f>Tabel2425[[#This Row],[Aantal consumpties heet water deze maand]]+Tabel2425[[#This Row],[Aantal consumpties licht bruisend water deze maand]]+Tabel2425[[#This Row],[aantal consumpties Bruisend water deze maand]]+Tabel2425[[#This Row],[Aantal consumpties gekoeld water deze maand]]+Tabel2425[[#This Row],[Aantal consumpties Kamertemp deze maand]]</f>
        <v>2780</v>
      </c>
      <c r="AY56" s="4">
        <f>Tabel2425[[#This Row],[Subtotaal waterbar in consumpties]]+Tabel2425[[#This Row],[Subtotaal koffieautomaten]]</f>
        <v>2780</v>
      </c>
    </row>
    <row r="57" spans="1:51" x14ac:dyDescent="0.25">
      <c r="A57" t="s">
        <v>54</v>
      </c>
      <c r="B57" t="s">
        <v>105</v>
      </c>
      <c r="C57" t="s">
        <v>31</v>
      </c>
      <c r="E57" s="25">
        <v>1329</v>
      </c>
      <c r="F57">
        <f>Tabel242[[#This Row],[Stand Coffee einde maand]]</f>
        <v>1012</v>
      </c>
      <c r="G57" s="12">
        <f>Tabel2425[[#This Row],[Stand Coffee einde maand]]-Tabel2425[[#This Row],[Coffee vorige maand]]</f>
        <v>317</v>
      </c>
      <c r="H57" s="25">
        <v>646</v>
      </c>
      <c r="I57">
        <f>Tabel242[[#This Row],[Stand Espresso Einde maand]]</f>
        <v>484</v>
      </c>
      <c r="J57" s="12">
        <f>Tabel2425[[#This Row],[Stand Espresso Einde maand]]-Tabel2425[[#This Row],[Espresso vorige maand]]</f>
        <v>162</v>
      </c>
      <c r="K57" s="25">
        <v>279</v>
      </c>
      <c r="L57">
        <f>Tabel242[[#This Row],[Stand Latte Macchiato einde maand]]</f>
        <v>200</v>
      </c>
      <c r="M57">
        <f>Tabel2425[[#This Row],[Stand Latte Macchiato einde maand]]-Tabel2425[[#This Row],[Latte Macchiato vorige maand]]</f>
        <v>79</v>
      </c>
      <c r="N57" s="25">
        <v>64</v>
      </c>
      <c r="O57">
        <f>Tabel242[[#This Row],[Stand Coffee Latte einde maand]]</f>
        <v>53</v>
      </c>
      <c r="P57">
        <f>Tabel2425[[#This Row],[Stand Coffee Latte einde maand]]-Tabel2425[[#This Row],[Coffee Latte vorige maand]]</f>
        <v>11</v>
      </c>
      <c r="Q57" s="25">
        <v>4221</v>
      </c>
      <c r="R57">
        <f>Tabel242[[#This Row],[Stand Hot Water einde maand]]</f>
        <v>3251</v>
      </c>
      <c r="S57">
        <f>Tabel2425[[#This Row],[Stand Hot Water einde maand]]-Tabel2425[[#This Row],[Hot Water vorige maand]]</f>
        <v>970</v>
      </c>
      <c r="T57" s="25">
        <v>1022</v>
      </c>
      <c r="U57">
        <f>Tabel242[[#This Row],[Stand Cappucino einde maand]]</f>
        <v>756</v>
      </c>
      <c r="V57">
        <f>Tabel2425[[#This Row],[Stand Cappucino einde maand]]-Tabel2425[[#This Row],[Stand Cappucino vorige maand]]</f>
        <v>266</v>
      </c>
      <c r="W57" s="25">
        <v>203</v>
      </c>
      <c r="X57">
        <f>Tabel242[[#This Row],[Stand Cappucino Plantaardig einde maand]]</f>
        <v>156</v>
      </c>
      <c r="Y57">
        <f>Tabel2425[[#This Row],[Stand Cappucino Plantaardig einde maand]]-Tabel2425[[#This Row],[Stand Cappucino Plantaardig vorige maand]]</f>
        <v>47</v>
      </c>
      <c r="Z57" s="25">
        <v>29</v>
      </c>
      <c r="AA57">
        <f>Tabel242[[#This Row],[Stand Latte Macchiato Plantaardig einde maand]]</f>
        <v>21</v>
      </c>
      <c r="AB57" s="12">
        <f>Tabel2425[[#This Row],[Stand Latte Macchiato Plantaardig einde maand]]-Tabel2425[[#This Row],[Stand Latte Macchiato Plantaardig vorige maand]]</f>
        <v>8</v>
      </c>
      <c r="AC57" s="3">
        <f>Tabel2425[[#This Row],[Verbruik Stand Latte Macchiato Plantaardig deze maand]]+Tabel2425[[#This Row],[Verbruik  Cappucino Plantaardig deze maand]]+Tabel2425[[#This Row],[Verbruik Cappucino deze maand]]+Tabel2425[[#This Row],[Verbruik Hot Water deze maand]]+Tabel2425[[#This Row],[Verbruik Coffee Latte deze maand]]+Tabel2425[[#This Row],[Verbruik Latte Macchiato deze maand]]+Tabel2425[[#This Row],[Verbruik Espresso deze maand]]+Tabel2425[[#This Row],[Verbruik Coffee deze maand]]</f>
        <v>1860</v>
      </c>
      <c r="AD57" s="26"/>
      <c r="AE57" s="5"/>
      <c r="AF57" s="5"/>
      <c r="AG57" s="7"/>
      <c r="AH57" s="26"/>
      <c r="AI57" s="5"/>
      <c r="AJ57" s="5"/>
      <c r="AK57" s="7"/>
      <c r="AL57" s="26"/>
      <c r="AM57" s="5"/>
      <c r="AN57" s="5"/>
      <c r="AO57" s="7"/>
      <c r="AP57" s="26"/>
      <c r="AQ57" s="5"/>
      <c r="AR57" s="5"/>
      <c r="AS57" s="7"/>
      <c r="AT57" s="26"/>
      <c r="AU57" s="5"/>
      <c r="AV57" s="5"/>
      <c r="AW57" s="21"/>
      <c r="AX57" s="8"/>
      <c r="AY57" s="4">
        <f>Tabel2425[[#This Row],[Subtotaal waterbar in consumpties]]+Tabel2425[[#This Row],[Subtotaal koffieautomaten]]</f>
        <v>1860</v>
      </c>
    </row>
    <row r="58" spans="1:51" x14ac:dyDescent="0.25">
      <c r="A58" t="s">
        <v>56</v>
      </c>
      <c r="B58" t="s">
        <v>106</v>
      </c>
      <c r="C58" t="s">
        <v>47</v>
      </c>
      <c r="E58" s="25">
        <v>1765</v>
      </c>
      <c r="F58">
        <f>Tabel242[[#This Row],[Stand Coffee einde maand]]</f>
        <v>1490</v>
      </c>
      <c r="G58" s="12">
        <f>Tabel2425[[#This Row],[Stand Coffee einde maand]]-Tabel2425[[#This Row],[Coffee vorige maand]]</f>
        <v>275</v>
      </c>
      <c r="H58" s="25">
        <v>521</v>
      </c>
      <c r="I58">
        <f>Tabel242[[#This Row],[Stand Espresso Einde maand]]</f>
        <v>460</v>
      </c>
      <c r="J58" s="12">
        <f>Tabel2425[[#This Row],[Stand Espresso Einde maand]]-Tabel2425[[#This Row],[Espresso vorige maand]]</f>
        <v>61</v>
      </c>
      <c r="K58" s="25">
        <v>538</v>
      </c>
      <c r="L58">
        <f>Tabel242[[#This Row],[Stand Latte Macchiato einde maand]]</f>
        <v>401</v>
      </c>
      <c r="M58">
        <f>Tabel2425[[#This Row],[Stand Latte Macchiato einde maand]]-Tabel2425[[#This Row],[Latte Macchiato vorige maand]]</f>
        <v>137</v>
      </c>
      <c r="N58" s="25">
        <v>64</v>
      </c>
      <c r="O58">
        <f>Tabel242[[#This Row],[Stand Coffee Latte einde maand]]</f>
        <v>38</v>
      </c>
      <c r="P58">
        <f>Tabel2425[[#This Row],[Stand Coffee Latte einde maand]]-Tabel2425[[#This Row],[Coffee Latte vorige maand]]</f>
        <v>26</v>
      </c>
      <c r="Q58" s="25">
        <v>1</v>
      </c>
      <c r="R58">
        <f>Tabel242[[#This Row],[Stand Hot Water einde maand]]</f>
        <v>0</v>
      </c>
      <c r="S58">
        <f>Tabel2425[[#This Row],[Stand Hot Water einde maand]]-Tabel2425[[#This Row],[Hot Water vorige maand]]</f>
        <v>1</v>
      </c>
      <c r="T58" s="25">
        <v>1038</v>
      </c>
      <c r="U58">
        <f>Tabel242[[#This Row],[Stand Cappucino einde maand]]</f>
        <v>840</v>
      </c>
      <c r="V58">
        <f>Tabel2425[[#This Row],[Stand Cappucino einde maand]]-Tabel2425[[#This Row],[Stand Cappucino vorige maand]]</f>
        <v>198</v>
      </c>
      <c r="W58" s="25">
        <v>320</v>
      </c>
      <c r="X58">
        <f>Tabel242[[#This Row],[Stand Cappucino Plantaardig einde maand]]</f>
        <v>263</v>
      </c>
      <c r="Y58">
        <f>Tabel2425[[#This Row],[Stand Cappucino Plantaardig einde maand]]-Tabel2425[[#This Row],[Stand Cappucino Plantaardig vorige maand]]</f>
        <v>57</v>
      </c>
      <c r="Z58" s="25">
        <v>48</v>
      </c>
      <c r="AA58">
        <f>Tabel242[[#This Row],[Stand Latte Macchiato Plantaardig einde maand]]</f>
        <v>38</v>
      </c>
      <c r="AB58" s="12">
        <f>Tabel2425[[#This Row],[Stand Latte Macchiato Plantaardig einde maand]]-Tabel2425[[#This Row],[Stand Latte Macchiato Plantaardig vorige maand]]</f>
        <v>10</v>
      </c>
      <c r="AC58" s="3">
        <f>Tabel2425[[#This Row],[Verbruik Stand Latte Macchiato Plantaardig deze maand]]+Tabel2425[[#This Row],[Verbruik  Cappucino Plantaardig deze maand]]+Tabel2425[[#This Row],[Verbruik Cappucino deze maand]]+Tabel2425[[#This Row],[Verbruik Hot Water deze maand]]+Tabel2425[[#This Row],[Verbruik Coffee Latte deze maand]]+Tabel2425[[#This Row],[Verbruik Latte Macchiato deze maand]]+Tabel2425[[#This Row],[Verbruik Espresso deze maand]]+Tabel2425[[#This Row],[Verbruik Coffee deze maand]]</f>
        <v>765</v>
      </c>
      <c r="AD58" s="25">
        <v>35.799999999999997</v>
      </c>
      <c r="AE58">
        <f>Tabel242[[#This Row],[Stand Kamertemp liter einde maand]]</f>
        <v>30.6</v>
      </c>
      <c r="AF58">
        <f>Tabel2425[[#This Row],[Stand Kamertemp liter einde maand]]-Tabel2425[[#This Row],[Stand Kamertemp liter vorige maand]]</f>
        <v>5.1999999999999957</v>
      </c>
      <c r="AG58" s="2">
        <f>Tabel2425[[#This Row],[Verbruik Kamertemp liter deze maand]]/0.15</f>
        <v>34.666666666666643</v>
      </c>
      <c r="AH58" s="25">
        <v>271.89999999999998</v>
      </c>
      <c r="AI58">
        <f>Tabel242[[#This Row],[Stand Gekoeld liter einde maand]]</f>
        <v>216.3</v>
      </c>
      <c r="AJ58">
        <f>Tabel2425[[#This Row],[Stand Gekoeld liter einde maand]]-Tabel2425[[#This Row],[Stand Gekoeld liter vorige maand]]</f>
        <v>55.599999999999966</v>
      </c>
      <c r="AK58" s="2">
        <f>Tabel2425[[#This Row],[Verbruik Gekoeld liter deze maand]]/0.15</f>
        <v>370.66666666666646</v>
      </c>
      <c r="AL58" s="25">
        <v>247.7</v>
      </c>
      <c r="AM58">
        <f>Tabel242[[#This Row],[Stand Bruisend liter einde maand]]</f>
        <v>181.3</v>
      </c>
      <c r="AN58">
        <f>Tabel2425[[#This Row],[Stand Bruisend liter einde maand]]-Tabel2425[[#This Row],[Stand Bruisend liter vorige maand]]</f>
        <v>66.399999999999977</v>
      </c>
      <c r="AO58" s="2">
        <f>Tabel2425[[#This Row],[Verbruik Bruisend liter deze maand]]/0.15</f>
        <v>442.66666666666652</v>
      </c>
      <c r="AP58" s="25">
        <v>144.69999999999999</v>
      </c>
      <c r="AQ58">
        <f>Tabel242[[#This Row],[Stand licht bruisend liter einde maand]]</f>
        <v>117.4</v>
      </c>
      <c r="AR58">
        <f>Tabel2425[[#This Row],[Stand licht bruisend liter einde maand]]-Tabel2425[[#This Row],[Stand licht bruisend liter vorige maand]]</f>
        <v>27.299999999999983</v>
      </c>
      <c r="AS58" s="2">
        <f>Tabel2425[[#This Row],[Verbruik licht bruisend liter deze maand]]/0.15</f>
        <v>181.99999999999989</v>
      </c>
      <c r="AT58" s="25">
        <v>1466.3</v>
      </c>
      <c r="AU58">
        <f>Tabel242[[#This Row],[Stand heet water liter einde maand]]</f>
        <v>1137.8</v>
      </c>
      <c r="AV58">
        <f>Tabel2425[[#This Row],[Stand heet water liter einde maand]]-Tabel2425[[#This Row],[Stand heet water liter vorige maand]]</f>
        <v>328.5</v>
      </c>
      <c r="AW58" s="20">
        <f>Tabel2425[[#This Row],[Verbruik heet Water liter deze maand ]]/0.15</f>
        <v>2190</v>
      </c>
      <c r="AX58" s="4">
        <f>Tabel2425[[#This Row],[Aantal consumpties heet water deze maand]]+Tabel2425[[#This Row],[Aantal consumpties licht bruisend water deze maand]]+Tabel2425[[#This Row],[aantal consumpties Bruisend water deze maand]]+Tabel2425[[#This Row],[Aantal consumpties gekoeld water deze maand]]+Tabel2425[[#This Row],[Aantal consumpties Kamertemp deze maand]]</f>
        <v>3219.9999999999995</v>
      </c>
      <c r="AY58" s="4">
        <f>Tabel2425[[#This Row],[Subtotaal waterbar in consumpties]]+Tabel2425[[#This Row],[Subtotaal koffieautomaten]]</f>
        <v>3984.9999999999995</v>
      </c>
    </row>
    <row r="59" spans="1:51" x14ac:dyDescent="0.25">
      <c r="A59" t="s">
        <v>58</v>
      </c>
      <c r="B59" t="s">
        <v>107</v>
      </c>
      <c r="C59" t="s">
        <v>31</v>
      </c>
      <c r="E59" s="25">
        <v>1054</v>
      </c>
      <c r="F59">
        <f>Tabel242[[#This Row],[Stand Coffee einde maand]]</f>
        <v>812</v>
      </c>
      <c r="G59" s="12">
        <f>Tabel2425[[#This Row],[Stand Coffee einde maand]]-Tabel2425[[#This Row],[Coffee vorige maand]]</f>
        <v>242</v>
      </c>
      <c r="H59" s="25">
        <v>235</v>
      </c>
      <c r="I59">
        <f>Tabel242[[#This Row],[Stand Espresso Einde maand]]</f>
        <v>184</v>
      </c>
      <c r="J59" s="12">
        <f>Tabel2425[[#This Row],[Stand Espresso Einde maand]]-Tabel2425[[#This Row],[Espresso vorige maand]]</f>
        <v>51</v>
      </c>
      <c r="K59" s="25">
        <v>63</v>
      </c>
      <c r="L59">
        <f>Tabel242[[#This Row],[Stand Latte Macchiato einde maand]]</f>
        <v>48</v>
      </c>
      <c r="M59">
        <f>Tabel2425[[#This Row],[Stand Latte Macchiato einde maand]]-Tabel2425[[#This Row],[Latte Macchiato vorige maand]]</f>
        <v>15</v>
      </c>
      <c r="N59" s="25">
        <v>66</v>
      </c>
      <c r="O59">
        <f>Tabel242[[#This Row],[Stand Coffee Latte einde maand]]</f>
        <v>52</v>
      </c>
      <c r="P59">
        <f>Tabel2425[[#This Row],[Stand Coffee Latte einde maand]]-Tabel2425[[#This Row],[Coffee Latte vorige maand]]</f>
        <v>14</v>
      </c>
      <c r="Q59" s="25">
        <v>2878</v>
      </c>
      <c r="R59">
        <f>Tabel242[[#This Row],[Stand Hot Water einde maand]]</f>
        <v>2120</v>
      </c>
      <c r="S59">
        <f>Tabel2425[[#This Row],[Stand Hot Water einde maand]]-Tabel2425[[#This Row],[Hot Water vorige maand]]</f>
        <v>758</v>
      </c>
      <c r="T59" s="25">
        <v>425</v>
      </c>
      <c r="U59">
        <f>Tabel242[[#This Row],[Stand Cappucino einde maand]]</f>
        <v>342</v>
      </c>
      <c r="V59">
        <f>Tabel2425[[#This Row],[Stand Cappucino einde maand]]-Tabel2425[[#This Row],[Stand Cappucino vorige maand]]</f>
        <v>83</v>
      </c>
      <c r="W59" s="25">
        <v>317</v>
      </c>
      <c r="X59">
        <f>Tabel242[[#This Row],[Stand Cappucino Plantaardig einde maand]]</f>
        <v>249</v>
      </c>
      <c r="Y59">
        <f>Tabel2425[[#This Row],[Stand Cappucino Plantaardig einde maand]]-Tabel2425[[#This Row],[Stand Cappucino Plantaardig vorige maand]]</f>
        <v>68</v>
      </c>
      <c r="Z59" s="25">
        <v>151</v>
      </c>
      <c r="AA59">
        <f>Tabel242[[#This Row],[Stand Latte Macchiato Plantaardig einde maand]]</f>
        <v>127</v>
      </c>
      <c r="AB59" s="12">
        <f>Tabel2425[[#This Row],[Stand Latte Macchiato Plantaardig einde maand]]-Tabel2425[[#This Row],[Stand Latte Macchiato Plantaardig vorige maand]]</f>
        <v>24</v>
      </c>
      <c r="AC59" s="3">
        <f>Tabel2425[[#This Row],[Verbruik Stand Latte Macchiato Plantaardig deze maand]]+Tabel2425[[#This Row],[Verbruik  Cappucino Plantaardig deze maand]]+Tabel2425[[#This Row],[Verbruik Cappucino deze maand]]+Tabel2425[[#This Row],[Verbruik Hot Water deze maand]]+Tabel2425[[#This Row],[Verbruik Coffee Latte deze maand]]+Tabel2425[[#This Row],[Verbruik Latte Macchiato deze maand]]+Tabel2425[[#This Row],[Verbruik Espresso deze maand]]+Tabel2425[[#This Row],[Verbruik Coffee deze maand]]</f>
        <v>1255</v>
      </c>
      <c r="AD59" s="26"/>
      <c r="AE59" s="5"/>
      <c r="AF59" s="5"/>
      <c r="AG59" s="7"/>
      <c r="AH59" s="26"/>
      <c r="AI59" s="5"/>
      <c r="AJ59" s="5"/>
      <c r="AK59" s="7"/>
      <c r="AL59" s="26"/>
      <c r="AM59" s="5"/>
      <c r="AN59" s="5"/>
      <c r="AO59" s="7"/>
      <c r="AP59" s="26"/>
      <c r="AQ59" s="5"/>
      <c r="AR59" s="5"/>
      <c r="AS59" s="7"/>
      <c r="AT59" s="26"/>
      <c r="AU59" s="5"/>
      <c r="AV59" s="5"/>
      <c r="AW59" s="21"/>
      <c r="AX59" s="8"/>
      <c r="AY59" s="4">
        <f>Tabel2425[[#This Row],[Subtotaal waterbar in consumpties]]+Tabel2425[[#This Row],[Subtotaal koffieautomaten]]</f>
        <v>1255</v>
      </c>
    </row>
    <row r="60" spans="1:51" x14ac:dyDescent="0.25">
      <c r="A60" t="s">
        <v>60</v>
      </c>
      <c r="B60" t="s">
        <v>108</v>
      </c>
      <c r="C60" t="s">
        <v>36</v>
      </c>
      <c r="E60" s="36"/>
      <c r="F60" s="37"/>
      <c r="G60" s="38"/>
      <c r="H60" s="36"/>
      <c r="I60" s="37"/>
      <c r="J60" s="38"/>
      <c r="K60" s="36"/>
      <c r="L60" s="37"/>
      <c r="M60" s="37"/>
      <c r="N60" s="36"/>
      <c r="O60" s="37"/>
      <c r="P60" s="37"/>
      <c r="Q60" s="36"/>
      <c r="R60" s="37"/>
      <c r="S60" s="37"/>
      <c r="T60" s="36"/>
      <c r="U60" s="37"/>
      <c r="V60" s="37"/>
      <c r="W60" s="36"/>
      <c r="X60" s="37"/>
      <c r="Y60" s="37"/>
      <c r="Z60" s="36"/>
      <c r="AA60" s="37"/>
      <c r="AB60" s="38"/>
      <c r="AC60" s="39"/>
      <c r="AD60" s="25">
        <v>70.7</v>
      </c>
      <c r="AE60">
        <f>Tabel242[[#This Row],[Stand Kamertemp liter einde maand]]</f>
        <v>65.099999999999994</v>
      </c>
      <c r="AF60">
        <f>Tabel2425[[#This Row],[Stand Kamertemp liter einde maand]]-Tabel2425[[#This Row],[Stand Kamertemp liter vorige maand]]</f>
        <v>5.6000000000000085</v>
      </c>
      <c r="AG60" s="2">
        <f>Tabel2425[[#This Row],[Verbruik Kamertemp liter deze maand]]/0.15</f>
        <v>37.333333333333393</v>
      </c>
      <c r="AH60" s="25">
        <v>218.9</v>
      </c>
      <c r="AI60">
        <f>Tabel242[[#This Row],[Stand Gekoeld liter einde maand]]</f>
        <v>186.3</v>
      </c>
      <c r="AJ60">
        <f>Tabel2425[[#This Row],[Stand Gekoeld liter einde maand]]-Tabel2425[[#This Row],[Stand Gekoeld liter vorige maand]]</f>
        <v>32.599999999999994</v>
      </c>
      <c r="AK60" s="2">
        <f>Tabel2425[[#This Row],[Verbruik Gekoeld liter deze maand]]/0.15</f>
        <v>217.33333333333331</v>
      </c>
      <c r="AL60" s="25">
        <v>158.1</v>
      </c>
      <c r="AM60">
        <f>Tabel242[[#This Row],[Stand Bruisend liter einde maand]]</f>
        <v>129.4</v>
      </c>
      <c r="AN60">
        <f>Tabel2425[[#This Row],[Stand Bruisend liter einde maand]]-Tabel2425[[#This Row],[Stand Bruisend liter vorige maand]]</f>
        <v>28.699999999999989</v>
      </c>
      <c r="AO60" s="2">
        <f>Tabel2425[[#This Row],[Verbruik Bruisend liter deze maand]]/0.15</f>
        <v>191.33333333333326</v>
      </c>
      <c r="AP60" s="25">
        <v>134.4</v>
      </c>
      <c r="AQ60">
        <f>Tabel242[[#This Row],[Stand licht bruisend liter einde maand]]</f>
        <v>105.5</v>
      </c>
      <c r="AR60">
        <f>Tabel2425[[#This Row],[Stand licht bruisend liter einde maand]]-Tabel2425[[#This Row],[Stand licht bruisend liter vorige maand]]</f>
        <v>28.900000000000006</v>
      </c>
      <c r="AS60" s="2">
        <f>Tabel2425[[#This Row],[Verbruik licht bruisend liter deze maand]]/0.15</f>
        <v>192.66666666666671</v>
      </c>
      <c r="AT60" s="25">
        <v>748.5</v>
      </c>
      <c r="AU60">
        <f>Tabel242[[#This Row],[Stand heet water liter einde maand]]</f>
        <v>631</v>
      </c>
      <c r="AV60">
        <f>Tabel2425[[#This Row],[Stand heet water liter einde maand]]-Tabel2425[[#This Row],[Stand heet water liter vorige maand]]</f>
        <v>117.5</v>
      </c>
      <c r="AW60" s="20">
        <f>Tabel2425[[#This Row],[Verbruik heet Water liter deze maand ]]/0.15</f>
        <v>783.33333333333337</v>
      </c>
      <c r="AX60" s="4">
        <f>Tabel2425[[#This Row],[Aantal consumpties heet water deze maand]]+Tabel2425[[#This Row],[Aantal consumpties licht bruisend water deze maand]]+Tabel2425[[#This Row],[aantal consumpties Bruisend water deze maand]]+Tabel2425[[#This Row],[Aantal consumpties gekoeld water deze maand]]+Tabel2425[[#This Row],[Aantal consumpties Kamertemp deze maand]]</f>
        <v>1422.0000000000002</v>
      </c>
      <c r="AY60" s="4">
        <f>Tabel2425[[#This Row],[Subtotaal waterbar in consumpties]]+Tabel2425[[#This Row],[Subtotaal koffieautomaten]]</f>
        <v>1422.0000000000002</v>
      </c>
    </row>
    <row r="61" spans="1:51" x14ac:dyDescent="0.25">
      <c r="A61" s="3" t="s">
        <v>109</v>
      </c>
      <c r="E61" s="25"/>
      <c r="F61">
        <f>Tabel242[[#This Row],[Stand Coffee einde maand]]</f>
        <v>0</v>
      </c>
      <c r="G61" s="12">
        <f>Tabel2425[[#This Row],[Stand Coffee einde maand]]-Tabel2425[[#This Row],[Coffee vorige maand]]</f>
        <v>0</v>
      </c>
      <c r="H61" s="25"/>
      <c r="I61">
        <f>Tabel242[[#This Row],[Stand Espresso Einde maand]]</f>
        <v>0</v>
      </c>
      <c r="J61" s="12">
        <f>Tabel2425[[#This Row],[Stand Espresso Einde maand]]-Tabel2425[[#This Row],[Espresso vorige maand]]</f>
        <v>0</v>
      </c>
      <c r="K61" s="25"/>
      <c r="L61">
        <f>Tabel242[[#This Row],[Stand Latte Macchiato einde maand]]</f>
        <v>0</v>
      </c>
      <c r="M61">
        <f>Tabel2425[[#This Row],[Stand Latte Macchiato einde maand]]-Tabel2425[[#This Row],[Latte Macchiato vorige maand]]</f>
        <v>0</v>
      </c>
      <c r="N61" s="25"/>
      <c r="O61">
        <f>Tabel242[[#This Row],[Stand Coffee Latte einde maand]]</f>
        <v>0</v>
      </c>
      <c r="P61">
        <f>Tabel2425[[#This Row],[Stand Coffee Latte einde maand]]-Tabel2425[[#This Row],[Coffee Latte vorige maand]]</f>
        <v>0</v>
      </c>
      <c r="Q61" s="25"/>
      <c r="R61">
        <f>Tabel242[[#This Row],[Stand Hot Water einde maand]]</f>
        <v>0</v>
      </c>
      <c r="S61">
        <f>Tabel2425[[#This Row],[Stand Hot Water einde maand]]-Tabel2425[[#This Row],[Hot Water vorige maand]]</f>
        <v>0</v>
      </c>
      <c r="T61" s="25"/>
      <c r="U61">
        <f>Tabel242[[#This Row],[Stand Cappucino einde maand]]</f>
        <v>0</v>
      </c>
      <c r="V61">
        <f>Tabel2425[[#This Row],[Stand Cappucino einde maand]]-Tabel2425[[#This Row],[Stand Cappucino vorige maand]]</f>
        <v>0</v>
      </c>
      <c r="W61" s="25"/>
      <c r="X61">
        <f>Tabel242[[#This Row],[Stand Cappucino Plantaardig einde maand]]</f>
        <v>0</v>
      </c>
      <c r="Y61">
        <f>Tabel2425[[#This Row],[Stand Cappucino Plantaardig einde maand]]-Tabel2425[[#This Row],[Stand Cappucino Plantaardig vorige maand]]</f>
        <v>0</v>
      </c>
      <c r="Z61" s="25"/>
      <c r="AA61">
        <f>Tabel242[[#This Row],[Stand Latte Macchiato Plantaardig einde maand]]</f>
        <v>0</v>
      </c>
      <c r="AB61" s="12">
        <f>Tabel2425[[#This Row],[Stand Latte Macchiato Plantaardig einde maand]]-Tabel2425[[#This Row],[Stand Latte Macchiato Plantaardig vorige maand]]</f>
        <v>0</v>
      </c>
      <c r="AC61" s="3">
        <f>Tabel2425[[#This Row],[Verbruik Stand Latte Macchiato Plantaardig deze maand]]+Tabel2425[[#This Row],[Verbruik  Cappucino Plantaardig deze maand]]+Tabel2425[[#This Row],[Verbruik Cappucino deze maand]]+Tabel2425[[#This Row],[Verbruik Hot Water deze maand]]+Tabel2425[[#This Row],[Verbruik Coffee Latte deze maand]]+Tabel2425[[#This Row],[Verbruik Latte Macchiato deze maand]]+Tabel2425[[#This Row],[Verbruik Espresso deze maand]]+Tabel2425[[#This Row],[Verbruik Coffee deze maand]]</f>
        <v>0</v>
      </c>
      <c r="AD61" s="25"/>
      <c r="AG61" s="2"/>
      <c r="AH61" s="25"/>
      <c r="AK61" s="2"/>
      <c r="AL61" s="25"/>
      <c r="AO61" s="2"/>
      <c r="AP61" s="25"/>
      <c r="AS61" s="2"/>
      <c r="AT61" s="25"/>
      <c r="AW61" s="20"/>
      <c r="AX61" s="4"/>
      <c r="AY61" s="4">
        <f>Tabel2425[[#This Row],[Subtotaal waterbar in consumpties]]+Tabel2425[[#This Row],[Subtotaal koffieautomaten]]</f>
        <v>0</v>
      </c>
    </row>
    <row r="62" spans="1:51" x14ac:dyDescent="0.25">
      <c r="A62">
        <v>1</v>
      </c>
      <c r="B62" t="s">
        <v>110</v>
      </c>
      <c r="C62" t="s">
        <v>31</v>
      </c>
      <c r="E62" s="25">
        <v>2205</v>
      </c>
      <c r="F62">
        <f>Tabel242[[#This Row],[Stand Coffee einde maand]]</f>
        <v>1831</v>
      </c>
      <c r="G62" s="12">
        <f>Tabel2425[[#This Row],[Stand Coffee einde maand]]-Tabel2425[[#This Row],[Coffee vorige maand]]</f>
        <v>374</v>
      </c>
      <c r="H62" s="25">
        <v>151</v>
      </c>
      <c r="I62">
        <f>Tabel242[[#This Row],[Stand Espresso Einde maand]]</f>
        <v>121</v>
      </c>
      <c r="J62" s="12">
        <f>Tabel2425[[#This Row],[Stand Espresso Einde maand]]-Tabel2425[[#This Row],[Espresso vorige maand]]</f>
        <v>30</v>
      </c>
      <c r="K62" s="25">
        <v>162</v>
      </c>
      <c r="L62">
        <f>Tabel242[[#This Row],[Stand Latte Macchiato einde maand]]</f>
        <v>131</v>
      </c>
      <c r="M62">
        <f>Tabel2425[[#This Row],[Stand Latte Macchiato einde maand]]-Tabel2425[[#This Row],[Latte Macchiato vorige maand]]</f>
        <v>31</v>
      </c>
      <c r="N62" s="25">
        <v>214</v>
      </c>
      <c r="O62">
        <f>Tabel242[[#This Row],[Stand Coffee Latte einde maand]]</f>
        <v>184</v>
      </c>
      <c r="P62">
        <f>Tabel2425[[#This Row],[Stand Coffee Latte einde maand]]-Tabel2425[[#This Row],[Coffee Latte vorige maand]]</f>
        <v>30</v>
      </c>
      <c r="Q62" s="25">
        <v>1231</v>
      </c>
      <c r="R62">
        <f>Tabel242[[#This Row],[Stand Hot Water einde maand]]</f>
        <v>985</v>
      </c>
      <c r="S62">
        <f>Tabel2425[[#This Row],[Stand Hot Water einde maand]]-Tabel2425[[#This Row],[Hot Water vorige maand]]</f>
        <v>246</v>
      </c>
      <c r="T62" s="25">
        <v>533</v>
      </c>
      <c r="U62">
        <f>Tabel242[[#This Row],[Stand Cappucino einde maand]]</f>
        <v>445</v>
      </c>
      <c r="V62">
        <f>Tabel2425[[#This Row],[Stand Cappucino einde maand]]-Tabel2425[[#This Row],[Stand Cappucino vorige maand]]</f>
        <v>88</v>
      </c>
      <c r="W62" s="25">
        <v>16</v>
      </c>
      <c r="X62">
        <f>Tabel242[[#This Row],[Stand Cappucino Plantaardig einde maand]]</f>
        <v>13</v>
      </c>
      <c r="Y62">
        <f>Tabel2425[[#This Row],[Stand Cappucino Plantaardig einde maand]]-Tabel2425[[#This Row],[Stand Cappucino Plantaardig vorige maand]]</f>
        <v>3</v>
      </c>
      <c r="Z62" s="25">
        <v>74</v>
      </c>
      <c r="AA62">
        <f>Tabel242[[#This Row],[Stand Latte Macchiato Plantaardig einde maand]]</f>
        <v>64</v>
      </c>
      <c r="AB62" s="12">
        <f>Tabel2425[[#This Row],[Stand Latte Macchiato Plantaardig einde maand]]-Tabel2425[[#This Row],[Stand Latte Macchiato Plantaardig vorige maand]]</f>
        <v>10</v>
      </c>
      <c r="AC62" s="3">
        <f>Tabel2425[[#This Row],[Verbruik Stand Latte Macchiato Plantaardig deze maand]]+Tabel2425[[#This Row],[Verbruik  Cappucino Plantaardig deze maand]]+Tabel2425[[#This Row],[Verbruik Cappucino deze maand]]+Tabel2425[[#This Row],[Verbruik Hot Water deze maand]]+Tabel2425[[#This Row],[Verbruik Coffee Latte deze maand]]+Tabel2425[[#This Row],[Verbruik Latte Macchiato deze maand]]+Tabel2425[[#This Row],[Verbruik Espresso deze maand]]+Tabel2425[[#This Row],[Verbruik Coffee deze maand]]</f>
        <v>812</v>
      </c>
      <c r="AD62" s="26"/>
      <c r="AE62" s="5"/>
      <c r="AF62" s="5"/>
      <c r="AG62" s="5"/>
      <c r="AH62" s="26"/>
      <c r="AI62" s="5"/>
      <c r="AJ62" s="5"/>
      <c r="AK62" s="5"/>
      <c r="AL62" s="26"/>
      <c r="AM62" s="5"/>
      <c r="AN62" s="5"/>
      <c r="AO62" s="5"/>
      <c r="AP62" s="26"/>
      <c r="AQ62" s="5"/>
      <c r="AR62" s="5"/>
      <c r="AS62" s="5"/>
      <c r="AT62" s="26"/>
      <c r="AU62" s="5"/>
      <c r="AV62" s="5"/>
      <c r="AW62" s="21"/>
      <c r="AX62" s="8"/>
      <c r="AY62" s="4">
        <f>Tabel2425[[#This Row],[Subtotaal waterbar in consumpties]]+Tabel2425[[#This Row],[Subtotaal koffieautomaten]]</f>
        <v>812</v>
      </c>
    </row>
    <row r="63" spans="1:51" x14ac:dyDescent="0.25">
      <c r="A63">
        <v>1</v>
      </c>
      <c r="B63" t="s">
        <v>111</v>
      </c>
      <c r="C63" t="s">
        <v>31</v>
      </c>
      <c r="E63" s="25">
        <v>1413</v>
      </c>
      <c r="F63">
        <f>Tabel242[[#This Row],[Stand Coffee einde maand]]</f>
        <v>1075</v>
      </c>
      <c r="G63" s="12">
        <f>Tabel2425[[#This Row],[Stand Coffee einde maand]]-Tabel2425[[#This Row],[Coffee vorige maand]]</f>
        <v>338</v>
      </c>
      <c r="H63" s="25">
        <v>99</v>
      </c>
      <c r="I63">
        <f>Tabel242[[#This Row],[Stand Espresso Einde maand]]</f>
        <v>59</v>
      </c>
      <c r="J63" s="12">
        <f>Tabel2425[[#This Row],[Stand Espresso Einde maand]]-Tabel2425[[#This Row],[Espresso vorige maand]]</f>
        <v>40</v>
      </c>
      <c r="K63" s="25">
        <v>421</v>
      </c>
      <c r="L63">
        <f>Tabel242[[#This Row],[Stand Latte Macchiato einde maand]]</f>
        <v>350</v>
      </c>
      <c r="M63">
        <f>Tabel2425[[#This Row],[Stand Latte Macchiato einde maand]]-Tabel2425[[#This Row],[Latte Macchiato vorige maand]]</f>
        <v>71</v>
      </c>
      <c r="N63" s="25">
        <v>195</v>
      </c>
      <c r="O63">
        <f>Tabel242[[#This Row],[Stand Coffee Latte einde maand]]</f>
        <v>137</v>
      </c>
      <c r="P63">
        <f>Tabel2425[[#This Row],[Stand Coffee Latte einde maand]]-Tabel2425[[#This Row],[Coffee Latte vorige maand]]</f>
        <v>58</v>
      </c>
      <c r="Q63" s="25">
        <v>1154</v>
      </c>
      <c r="R63">
        <f>Tabel242[[#This Row],[Stand Hot Water einde maand]]</f>
        <v>867</v>
      </c>
      <c r="S63">
        <f>Tabel2425[[#This Row],[Stand Hot Water einde maand]]-Tabel2425[[#This Row],[Hot Water vorige maand]]</f>
        <v>287</v>
      </c>
      <c r="T63" s="25">
        <v>403</v>
      </c>
      <c r="U63">
        <f>Tabel242[[#This Row],[Stand Cappucino einde maand]]</f>
        <v>309</v>
      </c>
      <c r="V63">
        <f>Tabel2425[[#This Row],[Stand Cappucino einde maand]]-Tabel2425[[#This Row],[Stand Cappucino vorige maand]]</f>
        <v>94</v>
      </c>
      <c r="W63" s="25">
        <v>51</v>
      </c>
      <c r="X63">
        <f>Tabel242[[#This Row],[Stand Cappucino Plantaardig einde maand]]</f>
        <v>43</v>
      </c>
      <c r="Y63">
        <f>Tabel2425[[#This Row],[Stand Cappucino Plantaardig einde maand]]-Tabel2425[[#This Row],[Stand Cappucino Plantaardig vorige maand]]</f>
        <v>8</v>
      </c>
      <c r="Z63" s="25">
        <v>168</v>
      </c>
      <c r="AA63">
        <f>Tabel242[[#This Row],[Stand Latte Macchiato Plantaardig einde maand]]</f>
        <v>114</v>
      </c>
      <c r="AB63" s="12">
        <f>Tabel2425[[#This Row],[Stand Latte Macchiato Plantaardig einde maand]]-Tabel2425[[#This Row],[Stand Latte Macchiato Plantaardig vorige maand]]</f>
        <v>54</v>
      </c>
      <c r="AC63" s="3">
        <f>Tabel2425[[#This Row],[Verbruik Stand Latte Macchiato Plantaardig deze maand]]+Tabel2425[[#This Row],[Verbruik  Cappucino Plantaardig deze maand]]+Tabel2425[[#This Row],[Verbruik Cappucino deze maand]]+Tabel2425[[#This Row],[Verbruik Hot Water deze maand]]+Tabel2425[[#This Row],[Verbruik Coffee Latte deze maand]]+Tabel2425[[#This Row],[Verbruik Latte Macchiato deze maand]]+Tabel2425[[#This Row],[Verbruik Espresso deze maand]]+Tabel2425[[#This Row],[Verbruik Coffee deze maand]]</f>
        <v>950</v>
      </c>
      <c r="AD63" s="26"/>
      <c r="AE63" s="5"/>
      <c r="AF63" s="5"/>
      <c r="AG63" s="5"/>
      <c r="AH63" s="26"/>
      <c r="AI63" s="5"/>
      <c r="AJ63" s="5"/>
      <c r="AK63" s="5"/>
      <c r="AL63" s="26"/>
      <c r="AM63" s="5"/>
      <c r="AN63" s="5"/>
      <c r="AO63" s="5"/>
      <c r="AP63" s="26"/>
      <c r="AQ63" s="5"/>
      <c r="AR63" s="5"/>
      <c r="AS63" s="5"/>
      <c r="AT63" s="26"/>
      <c r="AU63" s="5"/>
      <c r="AV63" s="5"/>
      <c r="AW63" s="21"/>
      <c r="AX63" s="8"/>
      <c r="AY63" s="4">
        <f>Tabel2425[[#This Row],[Subtotaal waterbar in consumpties]]+Tabel2425[[#This Row],[Subtotaal koffieautomaten]]</f>
        <v>950</v>
      </c>
    </row>
    <row r="64" spans="1:51" x14ac:dyDescent="0.25">
      <c r="A64" s="3" t="s">
        <v>112</v>
      </c>
      <c r="E64" s="24">
        <f>SUM(E3:E63)</f>
        <v>88606</v>
      </c>
      <c r="F64" s="3">
        <f>Tabel2[[#This Row],[Coffee]]</f>
        <v>23006</v>
      </c>
      <c r="G64" s="17">
        <f>Tabel2425[[#This Row],[Stand Coffee einde maand]]-Tabel2425[[#This Row],[Coffee vorige maand]]</f>
        <v>65600</v>
      </c>
      <c r="H64" s="24">
        <f t="shared" ref="H64:W64" si="0">SUM(H3:H63)</f>
        <v>23090</v>
      </c>
      <c r="I64" s="3">
        <f>Tabel2[[#This Row],[Espresso]]</f>
        <v>6549</v>
      </c>
      <c r="J64" s="17">
        <f>Tabel2425[[#This Row],[Stand Espresso Einde maand]]-Tabel2425[[#This Row],[Espresso vorige maand]]</f>
        <v>16541</v>
      </c>
      <c r="K64" s="24">
        <f t="shared" si="0"/>
        <v>12116</v>
      </c>
      <c r="L64" s="3">
        <f>Tabel242[[#This Row],[Stand Latte Macchiato einde maand]]</f>
        <v>9391</v>
      </c>
      <c r="M64" s="3">
        <f>Tabel2425[[#This Row],[Stand Latte Macchiato einde maand]]-Tabel2425[[#This Row],[Latte Macchiato vorige maand]]</f>
        <v>2725</v>
      </c>
      <c r="N64" s="24">
        <f t="shared" si="0"/>
        <v>6452</v>
      </c>
      <c r="O64" s="3">
        <f>Tabel242[[#This Row],[Stand Coffee Latte einde maand]]</f>
        <v>4852</v>
      </c>
      <c r="P64" s="3">
        <f>Tabel2425[[#This Row],[Stand Coffee Latte einde maand]]-Tabel2425[[#This Row],[Coffee Latte vorige maand]]</f>
        <v>1600</v>
      </c>
      <c r="Q64" s="24">
        <f t="shared" si="0"/>
        <v>100906</v>
      </c>
      <c r="R64" s="3">
        <f>Tabel242[[#This Row],[Stand Hot Water einde maand]]</f>
        <v>78175</v>
      </c>
      <c r="S64" s="3">
        <f>Tabel2425[[#This Row],[Stand Hot Water einde maand]]-Tabel2425[[#This Row],[Hot Water vorige maand]]</f>
        <v>22731</v>
      </c>
      <c r="T64" s="24">
        <f t="shared" si="0"/>
        <v>49861</v>
      </c>
      <c r="U64" s="3">
        <f>Tabel242[[#This Row],[Stand Cappucino einde maand]]</f>
        <v>38705</v>
      </c>
      <c r="V64" s="3">
        <f>Tabel2425[[#This Row],[Stand Cappucino einde maand]]-Tabel2425[[#This Row],[Stand Cappucino vorige maand]]</f>
        <v>11156</v>
      </c>
      <c r="W64" s="24">
        <f t="shared" si="0"/>
        <v>13523</v>
      </c>
      <c r="X64" s="3">
        <f>Tabel242[[#This Row],[Stand Cappucino Plantaardig einde maand]]</f>
        <v>11033</v>
      </c>
      <c r="Y64" s="3">
        <f>Tabel2425[[#This Row],[Stand Cappucino Plantaardig einde maand]]-Tabel2425[[#This Row],[Stand Cappucino Plantaardig vorige maand]]</f>
        <v>2490</v>
      </c>
      <c r="Z64" s="24">
        <f>SUM(Z3:Z63)</f>
        <v>4733</v>
      </c>
      <c r="AA64" s="3">
        <f>Tabel242[[#This Row],[Stand Latte Macchiato Plantaardig einde maand]]</f>
        <v>3874</v>
      </c>
      <c r="AB64" s="17">
        <f>Tabel2425[[#This Row],[Stand Latte Macchiato Plantaardig einde maand]]-Tabel2425[[#This Row],[Stand Latte Macchiato Plantaardig vorige maand]]</f>
        <v>859</v>
      </c>
      <c r="AC64" s="3">
        <f>SUM(AC3:AC63)</f>
        <v>66612</v>
      </c>
      <c r="AD64" s="24">
        <f>SUM(AD3:AD63)</f>
        <v>1348.8999999999999</v>
      </c>
      <c r="AE64" s="3">
        <f>Tabel242[[#This Row],[Stand Kamertemp liter einde maand]]</f>
        <v>1100</v>
      </c>
      <c r="AF64" s="3">
        <f>Tabel2425[[#This Row],[Stand Kamertemp liter einde maand]]-Tabel2425[[#This Row],[Stand Kamertemp liter vorige maand]]</f>
        <v>248.89999999999986</v>
      </c>
      <c r="AG64" s="4">
        <f>SUM(AG3:AG63)</f>
        <v>1659.3333333333337</v>
      </c>
      <c r="AH64" s="23">
        <f t="shared" ref="AH64:AW64" si="1">SUM(AH3:AH63)</f>
        <v>7518.7999999999993</v>
      </c>
      <c r="AI64" s="4">
        <f>Tabel242[[#This Row],[Stand Gekoeld liter einde maand]]</f>
        <v>5804</v>
      </c>
      <c r="AJ64" s="4">
        <f>Tabel2425[[#This Row],[Stand Gekoeld liter einde maand]]-Tabel2425[[#This Row],[Stand Gekoeld liter vorige maand]]</f>
        <v>1714.7999999999993</v>
      </c>
      <c r="AK64" s="4">
        <f t="shared" si="1"/>
        <v>11431.999999999996</v>
      </c>
      <c r="AL64" s="23">
        <f t="shared" si="1"/>
        <v>7704.7999999999993</v>
      </c>
      <c r="AM64" s="4">
        <f>Tabel242[[#This Row],[Stand Bruisend liter einde maand]]</f>
        <v>6035</v>
      </c>
      <c r="AN64" s="4">
        <f>Tabel2425[[#This Row],[Stand Bruisend liter einde maand]]-Tabel2425[[#This Row],[Stand Bruisend liter vorige maand]]</f>
        <v>1669.7999999999993</v>
      </c>
      <c r="AO64" s="4">
        <f t="shared" si="1"/>
        <v>11132</v>
      </c>
      <c r="AP64" s="23">
        <f t="shared" si="1"/>
        <v>4002.7</v>
      </c>
      <c r="AQ64" s="4">
        <f>Tabel242[[#This Row],[Stand licht bruisend liter einde maand]]</f>
        <v>3122</v>
      </c>
      <c r="AR64" s="4">
        <f>Tabel2425[[#This Row],[Stand licht bruisend liter einde maand]]-Tabel2425[[#This Row],[Stand licht bruisend liter vorige maand]]</f>
        <v>880.69999999999982</v>
      </c>
      <c r="AS64" s="4">
        <f t="shared" si="1"/>
        <v>5871.3333333333348</v>
      </c>
      <c r="AT64" s="23">
        <f t="shared" si="1"/>
        <v>28825.3</v>
      </c>
      <c r="AU64" s="4">
        <f>Tabel242[[#This Row],[Stand heet water liter einde maand]]</f>
        <v>23494.6</v>
      </c>
      <c r="AV64" s="4">
        <f>Tabel2425[[#This Row],[Stand heet water liter einde maand]]-Tabel2425[[#This Row],[Stand heet water liter vorige maand]]</f>
        <v>5330.7000000000007</v>
      </c>
      <c r="AW64" s="22">
        <f t="shared" si="1"/>
        <v>35538.000000000007</v>
      </c>
      <c r="AX64" s="4">
        <f>SUM(AX3:AX63)</f>
        <v>65632.666666666672</v>
      </c>
      <c r="AY64" s="4">
        <f>Tabel2425[[#This Row],[Subtotaal waterbar in consumpties]]+Tabel2425[[#This Row],[Subtotaal koffieautomaten]]</f>
        <v>132244.66666666669</v>
      </c>
    </row>
    <row r="65" spans="8:53" x14ac:dyDescent="0.25">
      <c r="H65" s="13"/>
      <c r="I65" s="14"/>
      <c r="J65" s="15"/>
      <c r="K65" s="13"/>
      <c r="L65" s="14"/>
      <c r="M65" s="14"/>
      <c r="AX65" s="3"/>
      <c r="AY65" s="3"/>
    </row>
    <row r="67" spans="8:53" x14ac:dyDescent="0.25">
      <c r="AY67" s="2"/>
      <c r="BA67" s="2">
        <f>AY64-AG64-AK64</f>
        <v>119153.33333333336</v>
      </c>
    </row>
    <row r="68" spans="8:53" x14ac:dyDescent="0.25">
      <c r="AY68" s="2"/>
    </row>
  </sheetData>
  <mergeCells count="3">
    <mergeCell ref="A1:D1"/>
    <mergeCell ref="E1:AC1"/>
    <mergeCell ref="AD1:AY1"/>
  </mergeCells>
  <pageMargins left="0.7" right="0.7" top="0.75" bottom="0.75" header="0.3" footer="0.3"/>
  <legacy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47D5C-09C1-4478-A5AC-E99D9171073F}">
  <dimension ref="A1:BA68"/>
  <sheetViews>
    <sheetView topLeftCell="A4" zoomScale="70" zoomScaleNormal="70" workbookViewId="0">
      <pane xSplit="1" topLeftCell="AQ1" activePane="topRight" state="frozen"/>
      <selection activeCell="G19" sqref="G19"/>
      <selection pane="topRight" activeCell="G19" sqref="G19"/>
    </sheetView>
  </sheetViews>
  <sheetFormatPr defaultRowHeight="15" x14ac:dyDescent="0.25"/>
  <cols>
    <col min="1" max="1" width="32.140625" bestFit="1" customWidth="1"/>
    <col min="2" max="2" width="21.42578125" bestFit="1" customWidth="1"/>
    <col min="3" max="3" width="25.42578125" bestFit="1" customWidth="1"/>
    <col min="4" max="4" width="18.5703125" customWidth="1"/>
    <col min="5" max="5" width="10.140625" style="11" customWidth="1"/>
    <col min="6" max="6" width="10.42578125" customWidth="1"/>
    <col min="7" max="7" width="10.5703125" style="12" customWidth="1"/>
    <col min="8" max="8" width="11.85546875" customWidth="1"/>
    <col min="9" max="9" width="11.7109375" customWidth="1"/>
    <col min="10" max="10" width="12.42578125" customWidth="1"/>
    <col min="11" max="11" width="17.140625" customWidth="1"/>
    <col min="12" max="12" width="13.5703125" customWidth="1"/>
    <col min="13" max="13" width="13.42578125" bestFit="1" customWidth="1"/>
    <col min="14" max="14" width="14" style="11" customWidth="1"/>
    <col min="15" max="16" width="14" customWidth="1"/>
    <col min="17" max="17" width="14.140625" style="11" customWidth="1"/>
    <col min="18" max="19" width="12.28515625" customWidth="1"/>
    <col min="20" max="20" width="12.42578125" style="11" customWidth="1"/>
    <col min="21" max="22" width="12.42578125" customWidth="1"/>
    <col min="23" max="23" width="17" style="11" customWidth="1"/>
    <col min="24" max="25" width="17" customWidth="1"/>
    <col min="26" max="26" width="20.7109375" style="11" customWidth="1"/>
    <col min="27" max="27" width="20.7109375" customWidth="1"/>
    <col min="28" max="28" width="20.7109375" style="12" customWidth="1"/>
    <col min="29" max="29" width="13.85546875" customWidth="1"/>
    <col min="30" max="30" width="17.5703125" style="11" customWidth="1"/>
    <col min="31" max="32" width="17.5703125" customWidth="1"/>
    <col min="33" max="33" width="20.28515625" customWidth="1"/>
    <col min="34" max="34" width="14.42578125" style="11" customWidth="1"/>
    <col min="35" max="36" width="14.42578125" customWidth="1"/>
    <col min="37" max="37" width="21.28515625" customWidth="1"/>
    <col min="38" max="38" width="15.140625" style="11" customWidth="1"/>
    <col min="39" max="40" width="15.140625" customWidth="1"/>
    <col min="41" max="41" width="21.28515625" customWidth="1"/>
    <col min="42" max="42" width="19.42578125" style="11" customWidth="1"/>
    <col min="43" max="44" width="19.42578125" customWidth="1"/>
    <col min="45" max="45" width="21.28515625" customWidth="1"/>
    <col min="46" max="46" width="17" style="11" customWidth="1"/>
    <col min="47" max="48" width="17" customWidth="1"/>
    <col min="49" max="49" width="21.28515625" style="12" customWidth="1"/>
    <col min="50" max="50" width="20" customWidth="1"/>
    <col min="51" max="51" width="14.140625" customWidth="1"/>
  </cols>
  <sheetData>
    <row r="1" spans="1:51" x14ac:dyDescent="0.25">
      <c r="A1" s="172" t="s">
        <v>0</v>
      </c>
      <c r="B1" s="172"/>
      <c r="C1" s="172"/>
      <c r="D1" s="172"/>
      <c r="E1" s="172" t="s">
        <v>1</v>
      </c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 t="s">
        <v>2</v>
      </c>
      <c r="AE1" s="172"/>
      <c r="AF1" s="172"/>
      <c r="AG1" s="172"/>
      <c r="AH1" s="172"/>
      <c r="AI1" s="172"/>
      <c r="AJ1" s="172"/>
      <c r="AK1" s="172"/>
      <c r="AL1" s="172"/>
      <c r="AM1" s="172"/>
      <c r="AN1" s="172"/>
      <c r="AO1" s="172"/>
      <c r="AP1" s="172"/>
      <c r="AQ1" s="172"/>
      <c r="AR1" s="172"/>
      <c r="AS1" s="172"/>
      <c r="AT1" s="172"/>
      <c r="AU1" s="172"/>
      <c r="AV1" s="172"/>
      <c r="AW1" s="172"/>
      <c r="AX1" s="172"/>
      <c r="AY1" s="172"/>
    </row>
    <row r="2" spans="1:51" ht="60" x14ac:dyDescent="0.25">
      <c r="A2" t="s">
        <v>3</v>
      </c>
      <c r="B2" t="s">
        <v>4</v>
      </c>
      <c r="C2" t="s">
        <v>5</v>
      </c>
      <c r="D2" t="s">
        <v>6</v>
      </c>
      <c r="E2" s="9" t="s">
        <v>113</v>
      </c>
      <c r="F2" s="1" t="s">
        <v>114</v>
      </c>
      <c r="G2" s="10" t="s">
        <v>115</v>
      </c>
      <c r="H2" s="1" t="s">
        <v>116</v>
      </c>
      <c r="I2" s="1" t="s">
        <v>117</v>
      </c>
      <c r="J2" s="1" t="s">
        <v>118</v>
      </c>
      <c r="K2" s="1" t="s">
        <v>119</v>
      </c>
      <c r="L2" s="1" t="s">
        <v>120</v>
      </c>
      <c r="M2" s="1" t="s">
        <v>121</v>
      </c>
      <c r="N2" s="9" t="s">
        <v>122</v>
      </c>
      <c r="O2" s="1" t="s">
        <v>123</v>
      </c>
      <c r="P2" s="1" t="s">
        <v>124</v>
      </c>
      <c r="Q2" s="9" t="s">
        <v>125</v>
      </c>
      <c r="R2" s="1" t="s">
        <v>126</v>
      </c>
      <c r="S2" s="1" t="s">
        <v>127</v>
      </c>
      <c r="T2" s="9" t="s">
        <v>128</v>
      </c>
      <c r="U2" s="1" t="s">
        <v>129</v>
      </c>
      <c r="V2" s="1" t="s">
        <v>130</v>
      </c>
      <c r="W2" s="9" t="s">
        <v>131</v>
      </c>
      <c r="X2" s="1" t="s">
        <v>132</v>
      </c>
      <c r="Y2" s="1" t="s">
        <v>133</v>
      </c>
      <c r="Z2" s="9" t="s">
        <v>134</v>
      </c>
      <c r="AA2" s="1" t="s">
        <v>135</v>
      </c>
      <c r="AB2" s="10" t="s">
        <v>136</v>
      </c>
      <c r="AC2" s="1" t="s">
        <v>15</v>
      </c>
      <c r="AD2" s="9" t="s">
        <v>137</v>
      </c>
      <c r="AE2" s="1" t="s">
        <v>138</v>
      </c>
      <c r="AF2" s="1" t="s">
        <v>139</v>
      </c>
      <c r="AG2" s="1" t="s">
        <v>140</v>
      </c>
      <c r="AH2" s="9" t="s">
        <v>141</v>
      </c>
      <c r="AI2" s="1" t="s">
        <v>142</v>
      </c>
      <c r="AJ2" s="1" t="s">
        <v>143</v>
      </c>
      <c r="AK2" s="1" t="s">
        <v>144</v>
      </c>
      <c r="AL2" s="9" t="s">
        <v>145</v>
      </c>
      <c r="AM2" s="1" t="s">
        <v>146</v>
      </c>
      <c r="AN2" s="1" t="s">
        <v>147</v>
      </c>
      <c r="AO2" s="1" t="s">
        <v>148</v>
      </c>
      <c r="AP2" s="9" t="s">
        <v>149</v>
      </c>
      <c r="AQ2" s="1" t="s">
        <v>150</v>
      </c>
      <c r="AR2" s="1" t="s">
        <v>151</v>
      </c>
      <c r="AS2" s="1" t="s">
        <v>152</v>
      </c>
      <c r="AT2" s="9" t="s">
        <v>153</v>
      </c>
      <c r="AU2" s="1" t="s">
        <v>154</v>
      </c>
      <c r="AV2" s="1" t="s">
        <v>155</v>
      </c>
      <c r="AW2" s="10" t="s">
        <v>156</v>
      </c>
      <c r="AX2" s="1" t="s">
        <v>157</v>
      </c>
      <c r="AY2" t="s">
        <v>27</v>
      </c>
    </row>
    <row r="3" spans="1:51" x14ac:dyDescent="0.25">
      <c r="A3" s="3" t="s">
        <v>28</v>
      </c>
      <c r="E3" s="25"/>
      <c r="H3" s="27"/>
      <c r="I3" s="18"/>
      <c r="J3" s="19"/>
      <c r="K3" s="27"/>
      <c r="L3" s="18"/>
      <c r="M3" s="18"/>
      <c r="N3" s="25"/>
      <c r="Q3" s="25"/>
      <c r="T3" s="25"/>
      <c r="W3" s="25"/>
      <c r="Z3" s="25"/>
      <c r="AC3" s="3"/>
      <c r="AG3" s="2"/>
      <c r="AH3" s="25"/>
      <c r="AK3" s="2"/>
      <c r="AL3" s="25"/>
      <c r="AO3" s="2"/>
      <c r="AP3" s="25"/>
      <c r="AS3" s="2"/>
      <c r="AT3" s="25"/>
      <c r="AW3" s="20"/>
      <c r="AX3" s="4"/>
      <c r="AY3" s="4">
        <f>Tabel24256[[#This Row],[Subtotaal waterbar in consumpties]]+Tabel24256[[#This Row],[Subtotaal koffieautomaten]]</f>
        <v>0</v>
      </c>
    </row>
    <row r="4" spans="1:51" x14ac:dyDescent="0.25">
      <c r="A4" t="s">
        <v>29</v>
      </c>
      <c r="B4" t="s">
        <v>30</v>
      </c>
      <c r="C4" t="s">
        <v>31</v>
      </c>
      <c r="E4" s="25">
        <v>963</v>
      </c>
      <c r="F4">
        <f>Tabel2425[[#This Row],[Stand Coffee einde maand]]</f>
        <v>753</v>
      </c>
      <c r="G4" s="12">
        <f>Tabel24256[[#This Row],[Stand Coffee einde maand]]-Tabel24256[[#This Row],[Coffee vorige maand]]</f>
        <v>210</v>
      </c>
      <c r="H4" s="25">
        <v>323</v>
      </c>
      <c r="I4">
        <f>Tabel2425[[#This Row],[Stand Espresso Einde maand]]</f>
        <v>222</v>
      </c>
      <c r="J4" s="12">
        <f>Tabel24256[[#This Row],[Stand Espresso Einde maand]]-Tabel24256[[#This Row],[Espresso vorige maand]]</f>
        <v>101</v>
      </c>
      <c r="K4" s="25">
        <v>310</v>
      </c>
      <c r="L4">
        <f>Tabel2425[[#This Row],[Stand Latte Macchiato einde maand]]</f>
        <v>272</v>
      </c>
      <c r="M4">
        <f>Tabel24256[[#This Row],[Stand Latte Macchiato einde maand]]-Tabel24256[[#This Row],[Latte Macchiato vorige maand]]</f>
        <v>38</v>
      </c>
      <c r="N4" s="25">
        <v>419</v>
      </c>
      <c r="O4">
        <f>Tabel2425[[#This Row],[Stand Coffee Latte einde maand]]</f>
        <v>357</v>
      </c>
      <c r="P4">
        <f>Tabel24256[[#This Row],[Stand Coffee Latte einde maand]]-Tabel24256[[#This Row],[Coffee Latte vorige maand]]</f>
        <v>62</v>
      </c>
      <c r="Q4" s="25">
        <v>1436</v>
      </c>
      <c r="R4">
        <f>Tabel2425[[#This Row],[Stand Hot Water einde maand]]</f>
        <v>1088</v>
      </c>
      <c r="S4">
        <f>Tabel24256[[#This Row],[Stand Hot Water einde maand]]-Tabel24256[[#This Row],[Hot Water vorige maand]]</f>
        <v>348</v>
      </c>
      <c r="T4" s="25">
        <v>1394</v>
      </c>
      <c r="U4">
        <f>Tabel2425[[#This Row],[Stand Cappucino einde maand]]</f>
        <v>1071</v>
      </c>
      <c r="V4">
        <f>Tabel24256[[#This Row],[Stand Cappucino einde maand]]-Tabel24256[[#This Row],[Stand Cappucino vorige maand]]</f>
        <v>323</v>
      </c>
      <c r="W4" s="25">
        <v>46</v>
      </c>
      <c r="X4">
        <f>Tabel2425[[#This Row],[Stand Cappucino Plantaardig einde maand]]</f>
        <v>42</v>
      </c>
      <c r="Y4">
        <f>Tabel24256[[#This Row],[Stand Cappucino Plantaardig einde maand]]-Tabel24256[[#This Row],[Stand Cappucino Plantaardig vorige maand]]</f>
        <v>4</v>
      </c>
      <c r="Z4" s="25">
        <v>33</v>
      </c>
      <c r="AA4">
        <f>Tabel2425[[#This Row],[Stand Latte Macchiato Plantaardig einde maand]]</f>
        <v>25</v>
      </c>
      <c r="AB4" s="12">
        <f>Tabel24256[[#This Row],[Stand Latte Macchiato Plantaardig einde maand]]-Tabel24256[[#This Row],[Stand Latte Macchiato Plantaardig vorige maand]]</f>
        <v>8</v>
      </c>
      <c r="AC4" s="3">
        <f>Tabel24256[[#This Row],[Verbruik Stand Latte Macchiato Plantaardig deze maand]]+Tabel24256[[#This Row],[Verbruik  Cappucino Plantaardig deze maand]]+Tabel24256[[#This Row],[Verbruik Cappucino deze maand]]+Tabel24256[[#This Row],[Verbruik Hot Water deze maand]]+Tabel24256[[#This Row],[Verbruik Coffee Latte deze maand]]+Tabel24256[[#This Row],[Verbruik Latte Macchiato deze maand]]+Tabel24256[[#This Row],[Verbruik Espresso deze maand]]+Tabel24256[[#This Row],[Verbruik Coffee deze maand]]</f>
        <v>1094</v>
      </c>
      <c r="AD4" s="26"/>
      <c r="AE4" s="5"/>
      <c r="AF4" s="5"/>
      <c r="AG4" s="5"/>
      <c r="AH4" s="26"/>
      <c r="AI4" s="5"/>
      <c r="AJ4" s="5"/>
      <c r="AK4" s="5"/>
      <c r="AL4" s="26"/>
      <c r="AM4" s="5"/>
      <c r="AN4" s="5"/>
      <c r="AO4" s="5"/>
      <c r="AP4" s="26"/>
      <c r="AQ4" s="5"/>
      <c r="AR4" s="5"/>
      <c r="AS4" s="5"/>
      <c r="AT4" s="26"/>
      <c r="AU4" s="5"/>
      <c r="AV4" s="5"/>
      <c r="AW4" s="21"/>
      <c r="AX4" s="8"/>
      <c r="AY4" s="4">
        <f>Tabel24256[[#This Row],[Subtotaal waterbar in consumpties]]+Tabel24256[[#This Row],[Subtotaal koffieautomaten]]</f>
        <v>1094</v>
      </c>
    </row>
    <row r="5" spans="1:51" x14ac:dyDescent="0.25">
      <c r="A5" t="s">
        <v>32</v>
      </c>
      <c r="B5" t="s">
        <v>33</v>
      </c>
      <c r="C5" t="s">
        <v>31</v>
      </c>
      <c r="E5" s="25">
        <v>2196</v>
      </c>
      <c r="F5">
        <f>Tabel2425[[#This Row],[Stand Coffee einde maand]]</f>
        <v>1885</v>
      </c>
      <c r="G5" s="12">
        <f>Tabel24256[[#This Row],[Stand Coffee einde maand]]-Tabel24256[[#This Row],[Coffee vorige maand]]</f>
        <v>311</v>
      </c>
      <c r="H5" s="25">
        <v>548</v>
      </c>
      <c r="I5">
        <f>Tabel2425[[#This Row],[Stand Espresso Einde maand]]</f>
        <v>469</v>
      </c>
      <c r="J5" s="12">
        <f>Tabel24256[[#This Row],[Stand Espresso Einde maand]]-Tabel24256[[#This Row],[Espresso vorige maand]]</f>
        <v>79</v>
      </c>
      <c r="K5" s="25">
        <v>591</v>
      </c>
      <c r="L5">
        <f>Tabel2425[[#This Row],[Stand Latte Macchiato einde maand]]</f>
        <v>521</v>
      </c>
      <c r="M5">
        <f>Tabel24256[[#This Row],[Stand Latte Macchiato einde maand]]-Tabel24256[[#This Row],[Latte Macchiato vorige maand]]</f>
        <v>70</v>
      </c>
      <c r="N5" s="25">
        <v>611</v>
      </c>
      <c r="O5">
        <f>Tabel2425[[#This Row],[Stand Coffee Latte einde maand]]</f>
        <v>570</v>
      </c>
      <c r="P5">
        <f>Tabel24256[[#This Row],[Stand Coffee Latte einde maand]]-Tabel24256[[#This Row],[Coffee Latte vorige maand]]</f>
        <v>41</v>
      </c>
      <c r="Q5" s="25">
        <v>5158</v>
      </c>
      <c r="R5">
        <f>Tabel2425[[#This Row],[Stand Hot Water einde maand]]</f>
        <v>4451</v>
      </c>
      <c r="S5">
        <f>Tabel24256[[#This Row],[Stand Hot Water einde maand]]-Tabel24256[[#This Row],[Hot Water vorige maand]]</f>
        <v>707</v>
      </c>
      <c r="T5" s="25">
        <v>2976</v>
      </c>
      <c r="U5">
        <f>Tabel2425[[#This Row],[Stand Cappucino einde maand]]</f>
        <v>2586</v>
      </c>
      <c r="V5">
        <f>Tabel24256[[#This Row],[Stand Cappucino einde maand]]-Tabel24256[[#This Row],[Stand Cappucino vorige maand]]</f>
        <v>390</v>
      </c>
      <c r="W5" s="25">
        <v>451</v>
      </c>
      <c r="X5">
        <f>Tabel2425[[#This Row],[Stand Cappucino Plantaardig einde maand]]</f>
        <v>391</v>
      </c>
      <c r="Y5">
        <f>Tabel24256[[#This Row],[Stand Cappucino Plantaardig einde maand]]-Tabel24256[[#This Row],[Stand Cappucino Plantaardig vorige maand]]</f>
        <v>60</v>
      </c>
      <c r="Z5" s="25">
        <v>171</v>
      </c>
      <c r="AA5">
        <f>Tabel2425[[#This Row],[Stand Latte Macchiato Plantaardig einde maand]]</f>
        <v>110</v>
      </c>
      <c r="AB5" s="12">
        <f>Tabel24256[[#This Row],[Stand Latte Macchiato Plantaardig einde maand]]-Tabel24256[[#This Row],[Stand Latte Macchiato Plantaardig vorige maand]]</f>
        <v>61</v>
      </c>
      <c r="AC5" s="3">
        <f>Tabel24256[[#This Row],[Verbruik Stand Latte Macchiato Plantaardig deze maand]]+Tabel24256[[#This Row],[Verbruik  Cappucino Plantaardig deze maand]]+Tabel24256[[#This Row],[Verbruik Cappucino deze maand]]+Tabel24256[[#This Row],[Verbruik Hot Water deze maand]]+Tabel24256[[#This Row],[Verbruik Coffee Latte deze maand]]+Tabel24256[[#This Row],[Verbruik Latte Macchiato deze maand]]+Tabel24256[[#This Row],[Verbruik Espresso deze maand]]+Tabel24256[[#This Row],[Verbruik Coffee deze maand]]</f>
        <v>1719</v>
      </c>
      <c r="AD5" s="26"/>
      <c r="AE5" s="5"/>
      <c r="AF5" s="5"/>
      <c r="AG5" s="5"/>
      <c r="AH5" s="26"/>
      <c r="AI5" s="5"/>
      <c r="AJ5" s="5"/>
      <c r="AK5" s="5"/>
      <c r="AL5" s="26"/>
      <c r="AM5" s="5"/>
      <c r="AN5" s="5"/>
      <c r="AO5" s="5"/>
      <c r="AP5" s="26"/>
      <c r="AQ5" s="5"/>
      <c r="AR5" s="5"/>
      <c r="AS5" s="5"/>
      <c r="AT5" s="26"/>
      <c r="AU5" s="5"/>
      <c r="AV5" s="5"/>
      <c r="AW5" s="21"/>
      <c r="AX5" s="8"/>
      <c r="AY5" s="4">
        <f>Tabel24256[[#This Row],[Subtotaal waterbar in consumpties]]+Tabel24256[[#This Row],[Subtotaal koffieautomaten]]</f>
        <v>1719</v>
      </c>
    </row>
    <row r="6" spans="1:51" x14ac:dyDescent="0.25">
      <c r="A6" t="s">
        <v>34</v>
      </c>
      <c r="B6" t="s">
        <v>35</v>
      </c>
      <c r="C6" t="s">
        <v>47</v>
      </c>
      <c r="E6" s="25">
        <v>463</v>
      </c>
      <c r="F6">
        <f>Tabel2425[[#This Row],[Stand Coffee einde maand]]</f>
        <v>112</v>
      </c>
      <c r="G6" s="12">
        <f>Tabel24256[[#This Row],[Stand Coffee einde maand]]-Tabel24256[[#This Row],[Coffee vorige maand]]</f>
        <v>351</v>
      </c>
      <c r="H6" s="25">
        <v>62</v>
      </c>
      <c r="I6">
        <f>Tabel2425[[#This Row],[Stand Espresso Einde maand]]</f>
        <v>25</v>
      </c>
      <c r="J6" s="12">
        <f>Tabel24256[[#This Row],[Stand Espresso Einde maand]]-Tabel24256[[#This Row],[Espresso vorige maand]]</f>
        <v>37</v>
      </c>
      <c r="K6" s="25">
        <v>102</v>
      </c>
      <c r="L6">
        <f>Tabel2425[[#This Row],[Stand Latte Macchiato einde maand]]</f>
        <v>26</v>
      </c>
      <c r="M6">
        <f>Tabel24256[[#This Row],[Stand Latte Macchiato einde maand]]-Tabel24256[[#This Row],[Latte Macchiato vorige maand]]</f>
        <v>76</v>
      </c>
      <c r="N6" s="25">
        <v>107</v>
      </c>
      <c r="O6">
        <f>Tabel2425[[#This Row],[Stand Coffee Latte einde maand]]</f>
        <v>30</v>
      </c>
      <c r="P6">
        <f>Tabel24256[[#This Row],[Stand Coffee Latte einde maand]]-Tabel24256[[#This Row],[Coffee Latte vorige maand]]</f>
        <v>77</v>
      </c>
      <c r="Q6" s="25">
        <v>446</v>
      </c>
      <c r="R6">
        <f>Tabel2425[[#This Row],[Stand Hot Water einde maand]]</f>
        <v>129</v>
      </c>
      <c r="S6">
        <f>Tabel24256[[#This Row],[Stand Hot Water einde maand]]-Tabel24256[[#This Row],[Hot Water vorige maand]]</f>
        <v>317</v>
      </c>
      <c r="T6" s="25">
        <v>693</v>
      </c>
      <c r="U6">
        <f>Tabel2425[[#This Row],[Stand Cappucino einde maand]]</f>
        <v>220</v>
      </c>
      <c r="V6">
        <f>Tabel24256[[#This Row],[Stand Cappucino einde maand]]-Tabel24256[[#This Row],[Stand Cappucino vorige maand]]</f>
        <v>473</v>
      </c>
      <c r="W6" s="25">
        <v>60</v>
      </c>
      <c r="X6">
        <f>Tabel2425[[#This Row],[Stand Cappucino Plantaardig einde maand]]</f>
        <v>16</v>
      </c>
      <c r="Y6">
        <f>Tabel24256[[#This Row],[Stand Cappucino Plantaardig einde maand]]-Tabel24256[[#This Row],[Stand Cappucino Plantaardig vorige maand]]</f>
        <v>44</v>
      </c>
      <c r="Z6" s="25">
        <v>36</v>
      </c>
      <c r="AA6">
        <f>Tabel2425[[#This Row],[Stand Latte Macchiato Plantaardig einde maand]]</f>
        <v>21</v>
      </c>
      <c r="AB6" s="12">
        <f>Tabel24256[[#This Row],[Stand Latte Macchiato Plantaardig einde maand]]-Tabel24256[[#This Row],[Stand Latte Macchiato Plantaardig vorige maand]]</f>
        <v>15</v>
      </c>
      <c r="AC6" s="3">
        <f>Tabel24256[[#This Row],[Verbruik Stand Latte Macchiato Plantaardig deze maand]]+Tabel24256[[#This Row],[Verbruik  Cappucino Plantaardig deze maand]]+Tabel24256[[#This Row],[Verbruik Cappucino deze maand]]+Tabel24256[[#This Row],[Verbruik Hot Water deze maand]]+Tabel24256[[#This Row],[Verbruik Coffee Latte deze maand]]+Tabel24256[[#This Row],[Verbruik Latte Macchiato deze maand]]+Tabel24256[[#This Row],[Verbruik Espresso deze maand]]+Tabel24256[[#This Row],[Verbruik Coffee deze maand]]</f>
        <v>1390</v>
      </c>
      <c r="AD6" s="25">
        <v>71</v>
      </c>
      <c r="AE6">
        <f>Tabel2425[[#This Row],[Stand Kamertemp liter einde maand]]</f>
        <v>46.9</v>
      </c>
      <c r="AF6">
        <f>Tabel24256[[#This Row],[Stand Kamertemp liter einde maand]]-Tabel24256[[#This Row],[Stand Kamertemp liter vorige maand]]</f>
        <v>24.1</v>
      </c>
      <c r="AG6" s="2">
        <f>Tabel24256[[#This Row],[Verbruik Kamertemp liter deze maand]]/0.15</f>
        <v>160.66666666666669</v>
      </c>
      <c r="AH6" s="25">
        <v>438.1</v>
      </c>
      <c r="AI6">
        <f>Tabel2425[[#This Row],[Stand Gekoeld liter einde maand]]</f>
        <v>258.8</v>
      </c>
      <c r="AJ6">
        <f>Tabel24256[[#This Row],[Stand Gekoeld liter einde maand]]-Tabel24256[[#This Row],[Stand Gekoeld liter vorige maand]]</f>
        <v>179.3</v>
      </c>
      <c r="AK6" s="2">
        <f>Tabel24256[[#This Row],[Verbruik Gekoeld liter deze maand]]/0.15</f>
        <v>1195.3333333333335</v>
      </c>
      <c r="AL6" s="25">
        <v>345.4</v>
      </c>
      <c r="AM6">
        <f>Tabel2425[[#This Row],[Stand Bruisend liter einde maand]]</f>
        <v>236.8</v>
      </c>
      <c r="AN6">
        <f>Tabel24256[[#This Row],[Stand Bruisend liter einde maand]]-Tabel24256[[#This Row],[Stand Bruisend liter vorige maand]]</f>
        <v>108.59999999999997</v>
      </c>
      <c r="AO6" s="2">
        <f>Tabel24256[[#This Row],[Verbruik Bruisend liter deze maand]]/0.15</f>
        <v>723.99999999999977</v>
      </c>
      <c r="AP6" s="25">
        <v>122.3</v>
      </c>
      <c r="AQ6">
        <f>Tabel2425[[#This Row],[Stand licht bruisend liter einde maand]]</f>
        <v>66.3</v>
      </c>
      <c r="AR6">
        <f>Tabel24256[[#This Row],[Stand licht bruisend liter einde maand]]-Tabel24256[[#This Row],[Stand licht bruisend liter vorige maand]]</f>
        <v>56</v>
      </c>
      <c r="AS6" s="2">
        <f>Tabel24256[[#This Row],[Verbruik licht bruisend liter deze maand]]/0.15</f>
        <v>373.33333333333337</v>
      </c>
      <c r="AT6" s="25">
        <v>654.9</v>
      </c>
      <c r="AU6">
        <f>Tabel2425[[#This Row],[Stand heet water liter einde maand]]</f>
        <v>465.9</v>
      </c>
      <c r="AV6">
        <f>Tabel24256[[#This Row],[Stand heet water liter einde maand]]-Tabel24256[[#This Row],[Stand heet water liter vorige maand]]</f>
        <v>189</v>
      </c>
      <c r="AW6" s="20">
        <f>Tabel24256[[#This Row],[Verbruik heet Water liter deze maand ]]/0.15</f>
        <v>1260</v>
      </c>
      <c r="AX6" s="4">
        <f>Tabel24256[[#This Row],[Aantal consumpties heet water deze maand]]+Tabel24256[[#This Row],[Aantal consumpties licht bruisend water deze maand]]+Tabel24256[[#This Row],[aantal consumpties Bruisend water deze maand]]+Tabel24256[[#This Row],[Aantal consumpties gekoeld water deze maand]]+Tabel24256[[#This Row],[Aantal consumpties Kamertemp deze maand]]</f>
        <v>3713.333333333333</v>
      </c>
      <c r="AY6" s="4">
        <f>Tabel24256[[#This Row],[Subtotaal waterbar in consumpties]]+Tabel24256[[#This Row],[Subtotaal koffieautomaten]]</f>
        <v>5103.333333333333</v>
      </c>
    </row>
    <row r="7" spans="1:51" x14ac:dyDescent="0.25">
      <c r="A7" t="s">
        <v>37</v>
      </c>
      <c r="B7" t="s">
        <v>38</v>
      </c>
      <c r="C7" t="s">
        <v>31</v>
      </c>
      <c r="E7" s="25">
        <v>1748</v>
      </c>
      <c r="F7">
        <f>Tabel2425[[#This Row],[Stand Coffee einde maand]]</f>
        <v>1036</v>
      </c>
      <c r="G7" s="12">
        <f>Tabel24256[[#This Row],[Stand Coffee einde maand]]-Tabel24256[[#This Row],[Coffee vorige maand]]</f>
        <v>712</v>
      </c>
      <c r="H7" s="25">
        <v>579</v>
      </c>
      <c r="I7">
        <f>Tabel2425[[#This Row],[Stand Espresso Einde maand]]</f>
        <v>316</v>
      </c>
      <c r="J7" s="12">
        <f>Tabel24256[[#This Row],[Stand Espresso Einde maand]]-Tabel24256[[#This Row],[Espresso vorige maand]]</f>
        <v>263</v>
      </c>
      <c r="K7" s="25">
        <v>196</v>
      </c>
      <c r="L7">
        <f>Tabel2425[[#This Row],[Stand Latte Macchiato einde maand]]</f>
        <v>98</v>
      </c>
      <c r="M7">
        <f>Tabel24256[[#This Row],[Stand Latte Macchiato einde maand]]-Tabel24256[[#This Row],[Latte Macchiato vorige maand]]</f>
        <v>98</v>
      </c>
      <c r="N7" s="25">
        <v>122</v>
      </c>
      <c r="O7">
        <f>Tabel2425[[#This Row],[Stand Coffee Latte einde maand]]</f>
        <v>82</v>
      </c>
      <c r="P7">
        <f>Tabel24256[[#This Row],[Stand Coffee Latte einde maand]]-Tabel24256[[#This Row],[Coffee Latte vorige maand]]</f>
        <v>40</v>
      </c>
      <c r="Q7" s="25">
        <v>2893</v>
      </c>
      <c r="R7">
        <f>Tabel2425[[#This Row],[Stand Hot Water einde maand]]</f>
        <v>1649</v>
      </c>
      <c r="S7">
        <f>Tabel24256[[#This Row],[Stand Hot Water einde maand]]-Tabel24256[[#This Row],[Hot Water vorige maand]]</f>
        <v>1244</v>
      </c>
      <c r="T7" s="25">
        <v>1396</v>
      </c>
      <c r="U7">
        <f>Tabel2425[[#This Row],[Stand Cappucino einde maand]]</f>
        <v>804</v>
      </c>
      <c r="V7">
        <f>Tabel24256[[#This Row],[Stand Cappucino einde maand]]-Tabel24256[[#This Row],[Stand Cappucino vorige maand]]</f>
        <v>592</v>
      </c>
      <c r="W7" s="25">
        <v>108</v>
      </c>
      <c r="X7">
        <f>Tabel2425[[#This Row],[Stand Cappucino Plantaardig einde maand]]</f>
        <v>69</v>
      </c>
      <c r="Y7">
        <f>Tabel24256[[#This Row],[Stand Cappucino Plantaardig einde maand]]-Tabel24256[[#This Row],[Stand Cappucino Plantaardig vorige maand]]</f>
        <v>39</v>
      </c>
      <c r="Z7" s="25">
        <v>42</v>
      </c>
      <c r="AA7">
        <f>Tabel2425[[#This Row],[Stand Latte Macchiato Plantaardig einde maand]]</f>
        <v>20</v>
      </c>
      <c r="AB7" s="12">
        <f>Tabel24256[[#This Row],[Stand Latte Macchiato Plantaardig einde maand]]-Tabel24256[[#This Row],[Stand Latte Macchiato Plantaardig vorige maand]]</f>
        <v>22</v>
      </c>
      <c r="AC7" s="3">
        <f>Tabel24256[[#This Row],[Verbruik Stand Latte Macchiato Plantaardig deze maand]]+Tabel24256[[#This Row],[Verbruik  Cappucino Plantaardig deze maand]]+Tabel24256[[#This Row],[Verbruik Cappucino deze maand]]+Tabel24256[[#This Row],[Verbruik Hot Water deze maand]]+Tabel24256[[#This Row],[Verbruik Coffee Latte deze maand]]+Tabel24256[[#This Row],[Verbruik Latte Macchiato deze maand]]+Tabel24256[[#This Row],[Verbruik Espresso deze maand]]+Tabel24256[[#This Row],[Verbruik Coffee deze maand]]</f>
        <v>3010</v>
      </c>
      <c r="AD7" s="26"/>
      <c r="AE7" s="5"/>
      <c r="AF7" s="5"/>
      <c r="AG7" s="5"/>
      <c r="AH7" s="26"/>
      <c r="AI7" s="5"/>
      <c r="AJ7" s="5"/>
      <c r="AK7" s="5"/>
      <c r="AL7" s="26"/>
      <c r="AM7" s="5"/>
      <c r="AN7" s="5"/>
      <c r="AO7" s="5"/>
      <c r="AP7" s="26"/>
      <c r="AQ7" s="5"/>
      <c r="AR7" s="5"/>
      <c r="AS7" s="5"/>
      <c r="AT7" s="26"/>
      <c r="AU7" s="5"/>
      <c r="AV7" s="5"/>
      <c r="AW7" s="21"/>
      <c r="AX7" s="8"/>
      <c r="AY7" s="4">
        <f>Tabel24256[[#This Row],[Subtotaal waterbar in consumpties]]+Tabel24256[[#This Row],[Subtotaal koffieautomaten]]</f>
        <v>3010</v>
      </c>
    </row>
    <row r="8" spans="1:51" x14ac:dyDescent="0.25">
      <c r="A8" t="s">
        <v>39</v>
      </c>
      <c r="B8" t="s">
        <v>40</v>
      </c>
      <c r="C8" t="s">
        <v>31</v>
      </c>
      <c r="E8" s="25">
        <v>3579</v>
      </c>
      <c r="F8">
        <f>Tabel2425[[#This Row],[Stand Coffee einde maand]]</f>
        <v>2820</v>
      </c>
      <c r="G8" s="12">
        <f>Tabel24256[[#This Row],[Stand Coffee einde maand]]-Tabel24256[[#This Row],[Coffee vorige maand]]</f>
        <v>759</v>
      </c>
      <c r="H8" s="25">
        <v>1361</v>
      </c>
      <c r="I8">
        <f>Tabel2425[[#This Row],[Stand Espresso Einde maand]]</f>
        <v>1145</v>
      </c>
      <c r="J8" s="12">
        <f>Tabel24256[[#This Row],[Stand Espresso Einde maand]]-Tabel24256[[#This Row],[Espresso vorige maand]]</f>
        <v>216</v>
      </c>
      <c r="K8" s="25">
        <v>745</v>
      </c>
      <c r="L8">
        <f>Tabel2425[[#This Row],[Stand Latte Macchiato einde maand]]</f>
        <v>611</v>
      </c>
      <c r="M8">
        <f>Tabel24256[[#This Row],[Stand Latte Macchiato einde maand]]-Tabel24256[[#This Row],[Latte Macchiato vorige maand]]</f>
        <v>134</v>
      </c>
      <c r="N8" s="25">
        <v>364</v>
      </c>
      <c r="O8">
        <f>Tabel2425[[#This Row],[Stand Coffee Latte einde maand]]</f>
        <v>266</v>
      </c>
      <c r="P8">
        <f>Tabel24256[[#This Row],[Stand Coffee Latte einde maand]]-Tabel24256[[#This Row],[Coffee Latte vorige maand]]</f>
        <v>98</v>
      </c>
      <c r="Q8" s="25">
        <v>5286</v>
      </c>
      <c r="R8">
        <f>Tabel2425[[#This Row],[Stand Hot Water einde maand]]</f>
        <v>4240</v>
      </c>
      <c r="S8">
        <f>Tabel24256[[#This Row],[Stand Hot Water einde maand]]-Tabel24256[[#This Row],[Hot Water vorige maand]]</f>
        <v>1046</v>
      </c>
      <c r="T8" s="25">
        <v>2379</v>
      </c>
      <c r="U8">
        <f>Tabel2425[[#This Row],[Stand Cappucino einde maand]]</f>
        <v>1857</v>
      </c>
      <c r="V8">
        <f>Tabel24256[[#This Row],[Stand Cappucino einde maand]]-Tabel24256[[#This Row],[Stand Cappucino vorige maand]]</f>
        <v>522</v>
      </c>
      <c r="W8" s="25">
        <v>509</v>
      </c>
      <c r="X8">
        <f>Tabel2425[[#This Row],[Stand Cappucino Plantaardig einde maand]]</f>
        <v>501</v>
      </c>
      <c r="Y8">
        <f>Tabel24256[[#This Row],[Stand Cappucino Plantaardig einde maand]]-Tabel24256[[#This Row],[Stand Cappucino Plantaardig vorige maand]]</f>
        <v>8</v>
      </c>
      <c r="Z8" s="25">
        <v>44</v>
      </c>
      <c r="AA8">
        <f>Tabel2425[[#This Row],[Stand Latte Macchiato Plantaardig einde maand]]</f>
        <v>40</v>
      </c>
      <c r="AB8" s="12">
        <f>Tabel24256[[#This Row],[Stand Latte Macchiato Plantaardig einde maand]]-Tabel24256[[#This Row],[Stand Latte Macchiato Plantaardig vorige maand]]</f>
        <v>4</v>
      </c>
      <c r="AC8" s="3">
        <f>Tabel24256[[#This Row],[Verbruik Stand Latte Macchiato Plantaardig deze maand]]+Tabel24256[[#This Row],[Verbruik  Cappucino Plantaardig deze maand]]+Tabel24256[[#This Row],[Verbruik Cappucino deze maand]]+Tabel24256[[#This Row],[Verbruik Hot Water deze maand]]+Tabel24256[[#This Row],[Verbruik Coffee Latte deze maand]]+Tabel24256[[#This Row],[Verbruik Latte Macchiato deze maand]]+Tabel24256[[#This Row],[Verbruik Espresso deze maand]]+Tabel24256[[#This Row],[Verbruik Coffee deze maand]]</f>
        <v>2787</v>
      </c>
      <c r="AD8" s="26"/>
      <c r="AE8" s="5"/>
      <c r="AF8" s="5"/>
      <c r="AG8" s="5"/>
      <c r="AH8" s="26"/>
      <c r="AI8" s="5"/>
      <c r="AJ8" s="5"/>
      <c r="AK8" s="5"/>
      <c r="AL8" s="26"/>
      <c r="AM8" s="5"/>
      <c r="AN8" s="5"/>
      <c r="AO8" s="5"/>
      <c r="AP8" s="26"/>
      <c r="AQ8" s="5"/>
      <c r="AR8" s="5"/>
      <c r="AS8" s="5"/>
      <c r="AT8" s="26"/>
      <c r="AU8" s="5"/>
      <c r="AV8" s="5"/>
      <c r="AW8" s="21"/>
      <c r="AX8" s="8"/>
      <c r="AY8" s="4">
        <f>Tabel24256[[#This Row],[Subtotaal waterbar in consumpties]]+Tabel24256[[#This Row],[Subtotaal koffieautomaten]]</f>
        <v>2787</v>
      </c>
    </row>
    <row r="9" spans="1:51" x14ac:dyDescent="0.25">
      <c r="A9" t="s">
        <v>41</v>
      </c>
      <c r="B9" t="s">
        <v>42</v>
      </c>
      <c r="C9" t="s">
        <v>31</v>
      </c>
      <c r="E9" s="25">
        <v>1708</v>
      </c>
      <c r="F9">
        <f>Tabel2425[[#This Row],[Stand Coffee einde maand]]</f>
        <v>1348</v>
      </c>
      <c r="G9" s="12">
        <f>Tabel24256[[#This Row],[Stand Coffee einde maand]]-Tabel24256[[#This Row],[Coffee vorige maand]]</f>
        <v>360</v>
      </c>
      <c r="H9" s="25">
        <v>569</v>
      </c>
      <c r="I9">
        <f>Tabel2425[[#This Row],[Stand Espresso Einde maand]]</f>
        <v>451</v>
      </c>
      <c r="J9" s="12">
        <f>Tabel24256[[#This Row],[Stand Espresso Einde maand]]-Tabel24256[[#This Row],[Espresso vorige maand]]</f>
        <v>118</v>
      </c>
      <c r="K9" s="25">
        <v>587</v>
      </c>
      <c r="L9">
        <f>Tabel2425[[#This Row],[Stand Latte Macchiato einde maand]]</f>
        <v>507</v>
      </c>
      <c r="M9">
        <f>Tabel24256[[#This Row],[Stand Latte Macchiato einde maand]]-Tabel24256[[#This Row],[Latte Macchiato vorige maand]]</f>
        <v>80</v>
      </c>
      <c r="N9" s="25">
        <v>292</v>
      </c>
      <c r="O9">
        <f>Tabel2425[[#This Row],[Stand Coffee Latte einde maand]]</f>
        <v>238</v>
      </c>
      <c r="P9">
        <f>Tabel24256[[#This Row],[Stand Coffee Latte einde maand]]-Tabel24256[[#This Row],[Coffee Latte vorige maand]]</f>
        <v>54</v>
      </c>
      <c r="Q9" s="25">
        <v>6801</v>
      </c>
      <c r="R9">
        <f>Tabel2425[[#This Row],[Stand Hot Water einde maand]]</f>
        <v>5812</v>
      </c>
      <c r="S9">
        <f>Tabel24256[[#This Row],[Stand Hot Water einde maand]]-Tabel24256[[#This Row],[Hot Water vorige maand]]</f>
        <v>989</v>
      </c>
      <c r="T9" s="25">
        <v>1239</v>
      </c>
      <c r="U9">
        <f>Tabel2425[[#This Row],[Stand Cappucino einde maand]]</f>
        <v>1027</v>
      </c>
      <c r="V9">
        <f>Tabel24256[[#This Row],[Stand Cappucino einde maand]]-Tabel24256[[#This Row],[Stand Cappucino vorige maand]]</f>
        <v>212</v>
      </c>
      <c r="W9" s="25">
        <v>405</v>
      </c>
      <c r="X9">
        <f>Tabel2425[[#This Row],[Stand Cappucino Plantaardig einde maand]]</f>
        <v>343</v>
      </c>
      <c r="Y9">
        <f>Tabel24256[[#This Row],[Stand Cappucino Plantaardig einde maand]]-Tabel24256[[#This Row],[Stand Cappucino Plantaardig vorige maand]]</f>
        <v>62</v>
      </c>
      <c r="Z9" s="25">
        <v>133</v>
      </c>
      <c r="AA9">
        <f>Tabel2425[[#This Row],[Stand Latte Macchiato Plantaardig einde maand]]</f>
        <v>93</v>
      </c>
      <c r="AB9" s="12">
        <f>Tabel24256[[#This Row],[Stand Latte Macchiato Plantaardig einde maand]]-Tabel24256[[#This Row],[Stand Latte Macchiato Plantaardig vorige maand]]</f>
        <v>40</v>
      </c>
      <c r="AC9" s="3">
        <f>Tabel24256[[#This Row],[Verbruik Stand Latte Macchiato Plantaardig deze maand]]+Tabel24256[[#This Row],[Verbruik  Cappucino Plantaardig deze maand]]+Tabel24256[[#This Row],[Verbruik Cappucino deze maand]]+Tabel24256[[#This Row],[Verbruik Hot Water deze maand]]+Tabel24256[[#This Row],[Verbruik Coffee Latte deze maand]]+Tabel24256[[#This Row],[Verbruik Latte Macchiato deze maand]]+Tabel24256[[#This Row],[Verbruik Espresso deze maand]]+Tabel24256[[#This Row],[Verbruik Coffee deze maand]]</f>
        <v>1915</v>
      </c>
      <c r="AD9" s="26"/>
      <c r="AE9" s="5"/>
      <c r="AF9" s="5"/>
      <c r="AG9" s="5"/>
      <c r="AH9" s="26"/>
      <c r="AI9" s="5"/>
      <c r="AJ9" s="5"/>
      <c r="AK9" s="5"/>
      <c r="AL9" s="26"/>
      <c r="AM9" s="5"/>
      <c r="AN9" s="5"/>
      <c r="AO9" s="5"/>
      <c r="AP9" s="26"/>
      <c r="AQ9" s="5"/>
      <c r="AR9" s="5"/>
      <c r="AS9" s="5"/>
      <c r="AT9" s="26"/>
      <c r="AU9" s="5"/>
      <c r="AV9" s="5"/>
      <c r="AW9" s="21"/>
      <c r="AX9" s="8"/>
      <c r="AY9" s="4">
        <f>Tabel24256[[#This Row],[Subtotaal waterbar in consumpties]]+Tabel24256[[#This Row],[Subtotaal koffieautomaten]]</f>
        <v>1915</v>
      </c>
    </row>
    <row r="10" spans="1:51" x14ac:dyDescent="0.25">
      <c r="A10" t="s">
        <v>43</v>
      </c>
      <c r="B10" t="s">
        <v>44</v>
      </c>
      <c r="C10" t="s">
        <v>31</v>
      </c>
      <c r="E10" s="25">
        <v>2770</v>
      </c>
      <c r="F10">
        <f>Tabel2425[[#This Row],[Stand Coffee einde maand]]</f>
        <v>2268</v>
      </c>
      <c r="G10" s="12">
        <f>Tabel24256[[#This Row],[Stand Coffee einde maand]]-Tabel24256[[#This Row],[Coffee vorige maand]]</f>
        <v>502</v>
      </c>
      <c r="H10" s="25">
        <v>571</v>
      </c>
      <c r="I10">
        <f>Tabel2425[[#This Row],[Stand Espresso Einde maand]]</f>
        <v>478</v>
      </c>
      <c r="J10" s="12">
        <f>Tabel24256[[#This Row],[Stand Espresso Einde maand]]-Tabel24256[[#This Row],[Espresso vorige maand]]</f>
        <v>93</v>
      </c>
      <c r="K10" s="25">
        <v>328</v>
      </c>
      <c r="L10">
        <f>Tabel2425[[#This Row],[Stand Latte Macchiato einde maand]]</f>
        <v>284</v>
      </c>
      <c r="M10">
        <f>Tabel24256[[#This Row],[Stand Latte Macchiato einde maand]]-Tabel24256[[#This Row],[Latte Macchiato vorige maand]]</f>
        <v>44</v>
      </c>
      <c r="N10" s="25">
        <v>211</v>
      </c>
      <c r="O10">
        <f>Tabel2425[[#This Row],[Stand Coffee Latte einde maand]]</f>
        <v>139</v>
      </c>
      <c r="P10">
        <f>Tabel24256[[#This Row],[Stand Coffee Latte einde maand]]-Tabel24256[[#This Row],[Coffee Latte vorige maand]]</f>
        <v>72</v>
      </c>
      <c r="Q10" s="25">
        <v>3847</v>
      </c>
      <c r="R10">
        <f>Tabel2425[[#This Row],[Stand Hot Water einde maand]]</f>
        <v>3165</v>
      </c>
      <c r="S10">
        <f>Tabel24256[[#This Row],[Stand Hot Water einde maand]]-Tabel24256[[#This Row],[Hot Water vorige maand]]</f>
        <v>682</v>
      </c>
      <c r="T10" s="25">
        <v>1498</v>
      </c>
      <c r="U10">
        <f>Tabel2425[[#This Row],[Stand Cappucino einde maand]]</f>
        <v>1244</v>
      </c>
      <c r="V10">
        <f>Tabel24256[[#This Row],[Stand Cappucino einde maand]]-Tabel24256[[#This Row],[Stand Cappucino vorige maand]]</f>
        <v>254</v>
      </c>
      <c r="W10" s="25">
        <v>434</v>
      </c>
      <c r="X10">
        <f>Tabel2425[[#This Row],[Stand Cappucino Plantaardig einde maand]]</f>
        <v>317</v>
      </c>
      <c r="Y10">
        <f>Tabel24256[[#This Row],[Stand Cappucino Plantaardig einde maand]]-Tabel24256[[#This Row],[Stand Cappucino Plantaardig vorige maand]]</f>
        <v>117</v>
      </c>
      <c r="Z10" s="25">
        <v>274</v>
      </c>
      <c r="AA10">
        <f>Tabel2425[[#This Row],[Stand Latte Macchiato Plantaardig einde maand]]</f>
        <v>219</v>
      </c>
      <c r="AB10" s="12">
        <f>Tabel24256[[#This Row],[Stand Latte Macchiato Plantaardig einde maand]]-Tabel24256[[#This Row],[Stand Latte Macchiato Plantaardig vorige maand]]</f>
        <v>55</v>
      </c>
      <c r="AC10" s="3">
        <f>Tabel24256[[#This Row],[Verbruik Stand Latte Macchiato Plantaardig deze maand]]+Tabel24256[[#This Row],[Verbruik  Cappucino Plantaardig deze maand]]+Tabel24256[[#This Row],[Verbruik Cappucino deze maand]]+Tabel24256[[#This Row],[Verbruik Hot Water deze maand]]+Tabel24256[[#This Row],[Verbruik Coffee Latte deze maand]]+Tabel24256[[#This Row],[Verbruik Latte Macchiato deze maand]]+Tabel24256[[#This Row],[Verbruik Espresso deze maand]]+Tabel24256[[#This Row],[Verbruik Coffee deze maand]]</f>
        <v>1819</v>
      </c>
      <c r="AD10" s="26"/>
      <c r="AE10" s="5"/>
      <c r="AF10" s="5"/>
      <c r="AG10" s="7"/>
      <c r="AH10" s="26"/>
      <c r="AI10" s="5"/>
      <c r="AJ10" s="5"/>
      <c r="AK10" s="5"/>
      <c r="AL10" s="26"/>
      <c r="AM10" s="5"/>
      <c r="AN10" s="5"/>
      <c r="AO10" s="5"/>
      <c r="AP10" s="26"/>
      <c r="AQ10" s="5"/>
      <c r="AR10" s="5"/>
      <c r="AS10" s="5"/>
      <c r="AT10" s="26"/>
      <c r="AU10" s="5"/>
      <c r="AV10" s="5"/>
      <c r="AW10" s="21"/>
      <c r="AX10" s="8"/>
      <c r="AY10" s="4">
        <f>Tabel24256[[#This Row],[Subtotaal waterbar in consumpties]]+Tabel24256[[#This Row],[Subtotaal koffieautomaten]]</f>
        <v>1819</v>
      </c>
    </row>
    <row r="11" spans="1:51" x14ac:dyDescent="0.25">
      <c r="A11" t="s">
        <v>45</v>
      </c>
      <c r="B11" t="s">
        <v>46</v>
      </c>
      <c r="C11" t="s">
        <v>47</v>
      </c>
      <c r="E11" s="25">
        <v>4437</v>
      </c>
      <c r="F11">
        <f>Tabel2425[[#This Row],[Stand Coffee einde maand]]</f>
        <v>3591</v>
      </c>
      <c r="G11" s="12">
        <f>Tabel24256[[#This Row],[Stand Coffee einde maand]]-Tabel24256[[#This Row],[Coffee vorige maand]]</f>
        <v>846</v>
      </c>
      <c r="H11" s="25">
        <v>465</v>
      </c>
      <c r="I11">
        <f>Tabel2425[[#This Row],[Stand Espresso Einde maand]]</f>
        <v>407</v>
      </c>
      <c r="J11" s="12">
        <f>Tabel24256[[#This Row],[Stand Espresso Einde maand]]-Tabel24256[[#This Row],[Espresso vorige maand]]</f>
        <v>58</v>
      </c>
      <c r="K11" s="25">
        <v>361</v>
      </c>
      <c r="L11">
        <f>Tabel2425[[#This Row],[Stand Latte Macchiato einde maand]]</f>
        <v>313</v>
      </c>
      <c r="M11">
        <f>Tabel24256[[#This Row],[Stand Latte Macchiato einde maand]]-Tabel24256[[#This Row],[Latte Macchiato vorige maand]]</f>
        <v>48</v>
      </c>
      <c r="N11" s="25">
        <v>149</v>
      </c>
      <c r="O11">
        <f>Tabel2425[[#This Row],[Stand Coffee Latte einde maand]]</f>
        <v>111</v>
      </c>
      <c r="P11">
        <f>Tabel24256[[#This Row],[Stand Coffee Latte einde maand]]-Tabel24256[[#This Row],[Coffee Latte vorige maand]]</f>
        <v>38</v>
      </c>
      <c r="Q11" s="25">
        <v>1</v>
      </c>
      <c r="R11">
        <f>Tabel2425[[#This Row],[Stand Hot Water einde maand]]</f>
        <v>1</v>
      </c>
      <c r="S11">
        <f>Tabel24256[[#This Row],[Stand Hot Water einde maand]]-Tabel24256[[#This Row],[Hot Water vorige maand]]</f>
        <v>0</v>
      </c>
      <c r="T11" s="25">
        <v>1394</v>
      </c>
      <c r="U11">
        <f>Tabel2425[[#This Row],[Stand Cappucino einde maand]]</f>
        <v>1121</v>
      </c>
      <c r="V11">
        <f>Tabel24256[[#This Row],[Stand Cappucino einde maand]]-Tabel24256[[#This Row],[Stand Cappucino vorige maand]]</f>
        <v>273</v>
      </c>
      <c r="W11" s="25">
        <v>573</v>
      </c>
      <c r="X11">
        <f>Tabel2425[[#This Row],[Stand Cappucino Plantaardig einde maand]]</f>
        <v>488</v>
      </c>
      <c r="Y11">
        <f>Tabel24256[[#This Row],[Stand Cappucino Plantaardig einde maand]]-Tabel24256[[#This Row],[Stand Cappucino Plantaardig vorige maand]]</f>
        <v>85</v>
      </c>
      <c r="Z11" s="25">
        <v>289</v>
      </c>
      <c r="AA11">
        <f>Tabel2425[[#This Row],[Stand Latte Macchiato Plantaardig einde maand]]</f>
        <v>252</v>
      </c>
      <c r="AB11" s="12">
        <f>Tabel24256[[#This Row],[Stand Latte Macchiato Plantaardig einde maand]]-Tabel24256[[#This Row],[Stand Latte Macchiato Plantaardig vorige maand]]</f>
        <v>37</v>
      </c>
      <c r="AC11" s="3">
        <f>Tabel24256[[#This Row],[Verbruik Stand Latte Macchiato Plantaardig deze maand]]+Tabel24256[[#This Row],[Verbruik  Cappucino Plantaardig deze maand]]+Tabel24256[[#This Row],[Verbruik Cappucino deze maand]]+Tabel24256[[#This Row],[Verbruik Hot Water deze maand]]+Tabel24256[[#This Row],[Verbruik Coffee Latte deze maand]]+Tabel24256[[#This Row],[Verbruik Latte Macchiato deze maand]]+Tabel24256[[#This Row],[Verbruik Espresso deze maand]]+Tabel24256[[#This Row],[Verbruik Coffee deze maand]]</f>
        <v>1385</v>
      </c>
      <c r="AD11" s="25">
        <v>132.1</v>
      </c>
      <c r="AE11">
        <f>Tabel2425[[#This Row],[Stand Kamertemp liter einde maand]]</f>
        <v>103.2</v>
      </c>
      <c r="AF11">
        <f>Tabel24256[[#This Row],[Stand Kamertemp liter einde maand]]-Tabel24256[[#This Row],[Stand Kamertemp liter vorige maand]]</f>
        <v>28.899999999999991</v>
      </c>
      <c r="AG11" s="2">
        <f>Tabel24256[[#This Row],[Verbruik Kamertemp liter deze maand]]/0.15</f>
        <v>192.66666666666663</v>
      </c>
      <c r="AH11" s="25">
        <v>718.8</v>
      </c>
      <c r="AI11">
        <f>Tabel2425[[#This Row],[Stand Gekoeld liter einde maand]]</f>
        <v>514.4</v>
      </c>
      <c r="AJ11">
        <f>Tabel24256[[#This Row],[Stand Gekoeld liter einde maand]]-Tabel24256[[#This Row],[Stand Gekoeld liter vorige maand]]</f>
        <v>204.39999999999998</v>
      </c>
      <c r="AK11" s="2">
        <f>Tabel24256[[#This Row],[Verbruik Gekoeld liter deze maand]]/0.15</f>
        <v>1362.6666666666665</v>
      </c>
      <c r="AL11" s="25">
        <v>777.1</v>
      </c>
      <c r="AM11">
        <f>Tabel2425[[#This Row],[Stand Bruisend liter einde maand]]</f>
        <v>620.79999999999995</v>
      </c>
      <c r="AN11">
        <f>Tabel24256[[#This Row],[Stand Bruisend liter einde maand]]-Tabel24256[[#This Row],[Stand Bruisend liter vorige maand]]</f>
        <v>156.30000000000007</v>
      </c>
      <c r="AO11" s="2">
        <f>Tabel24256[[#This Row],[Verbruik Bruisend liter deze maand]]/0.15</f>
        <v>1042.0000000000005</v>
      </c>
      <c r="AP11" s="25">
        <v>344.1</v>
      </c>
      <c r="AQ11">
        <f>Tabel2425[[#This Row],[Stand licht bruisend liter einde maand]]</f>
        <v>269.39999999999998</v>
      </c>
      <c r="AR11">
        <f>Tabel24256[[#This Row],[Stand licht bruisend liter einde maand]]-Tabel24256[[#This Row],[Stand licht bruisend liter vorige maand]]</f>
        <v>74.700000000000045</v>
      </c>
      <c r="AS11" s="2">
        <f>Tabel24256[[#This Row],[Verbruik licht bruisend liter deze maand]]/0.15</f>
        <v>498.00000000000034</v>
      </c>
      <c r="AT11" s="25">
        <v>2188.1999999999998</v>
      </c>
      <c r="AU11">
        <f>Tabel2425[[#This Row],[Stand heet water liter einde maand]]</f>
        <v>1796.7</v>
      </c>
      <c r="AV11">
        <f>Tabel24256[[#This Row],[Stand heet water liter einde maand]]-Tabel24256[[#This Row],[Stand heet water liter vorige maand]]</f>
        <v>391.49999999999977</v>
      </c>
      <c r="AW11" s="20">
        <f>Tabel24256[[#This Row],[Verbruik heet Water liter deze maand ]]/0.15</f>
        <v>2609.9999999999986</v>
      </c>
      <c r="AX11" s="4">
        <f>Tabel24256[[#This Row],[Aantal consumpties heet water deze maand]]+Tabel24256[[#This Row],[Aantal consumpties licht bruisend water deze maand]]+Tabel24256[[#This Row],[aantal consumpties Bruisend water deze maand]]+Tabel24256[[#This Row],[Aantal consumpties gekoeld water deze maand]]+Tabel24256[[#This Row],[Aantal consumpties Kamertemp deze maand]]</f>
        <v>5705.333333333333</v>
      </c>
      <c r="AY11" s="4">
        <f>Tabel24256[[#This Row],[Subtotaal waterbar in consumpties]]+Tabel24256[[#This Row],[Subtotaal koffieautomaten]]</f>
        <v>7090.333333333333</v>
      </c>
    </row>
    <row r="12" spans="1:51" x14ac:dyDescent="0.25">
      <c r="A12" t="s">
        <v>48</v>
      </c>
      <c r="B12" t="s">
        <v>49</v>
      </c>
      <c r="C12" t="s">
        <v>31</v>
      </c>
      <c r="E12" s="25">
        <v>4498</v>
      </c>
      <c r="F12">
        <f>Tabel2425[[#This Row],[Stand Coffee einde maand]]</f>
        <v>3591</v>
      </c>
      <c r="G12" s="12">
        <f>Tabel24256[[#This Row],[Stand Coffee einde maand]]-Tabel24256[[#This Row],[Coffee vorige maand]]</f>
        <v>907</v>
      </c>
      <c r="H12" s="25">
        <v>1459</v>
      </c>
      <c r="I12">
        <f>Tabel2425[[#This Row],[Stand Espresso Einde maand]]</f>
        <v>1154</v>
      </c>
      <c r="J12" s="12">
        <f>Tabel24256[[#This Row],[Stand Espresso Einde maand]]-Tabel24256[[#This Row],[Espresso vorige maand]]</f>
        <v>305</v>
      </c>
      <c r="K12" s="25">
        <v>370</v>
      </c>
      <c r="L12">
        <f>Tabel2425[[#This Row],[Stand Latte Macchiato einde maand]]</f>
        <v>283</v>
      </c>
      <c r="M12">
        <f>Tabel24256[[#This Row],[Stand Latte Macchiato einde maand]]-Tabel24256[[#This Row],[Latte Macchiato vorige maand]]</f>
        <v>87</v>
      </c>
      <c r="N12" s="25">
        <v>52</v>
      </c>
      <c r="O12">
        <f>Tabel2425[[#This Row],[Stand Coffee Latte einde maand]]</f>
        <v>44</v>
      </c>
      <c r="P12">
        <f>Tabel24256[[#This Row],[Stand Coffee Latte einde maand]]-Tabel24256[[#This Row],[Coffee Latte vorige maand]]</f>
        <v>8</v>
      </c>
      <c r="Q12" s="25">
        <v>10826</v>
      </c>
      <c r="R12">
        <f>Tabel2425[[#This Row],[Stand Hot Water einde maand]]</f>
        <v>8776</v>
      </c>
      <c r="S12">
        <f>Tabel24256[[#This Row],[Stand Hot Water einde maand]]-Tabel24256[[#This Row],[Hot Water vorige maand]]</f>
        <v>2050</v>
      </c>
      <c r="T12" s="25">
        <v>1973</v>
      </c>
      <c r="U12">
        <f>Tabel2425[[#This Row],[Stand Cappucino einde maand]]</f>
        <v>1577</v>
      </c>
      <c r="V12">
        <f>Tabel24256[[#This Row],[Stand Cappucino einde maand]]-Tabel24256[[#This Row],[Stand Cappucino vorige maand]]</f>
        <v>396</v>
      </c>
      <c r="W12" s="25">
        <v>670</v>
      </c>
      <c r="X12">
        <f>Tabel2425[[#This Row],[Stand Cappucino Plantaardig einde maand]]</f>
        <v>572</v>
      </c>
      <c r="Y12">
        <f>Tabel24256[[#This Row],[Stand Cappucino Plantaardig einde maand]]-Tabel24256[[#This Row],[Stand Cappucino Plantaardig vorige maand]]</f>
        <v>98</v>
      </c>
      <c r="Z12" s="25">
        <v>185</v>
      </c>
      <c r="AA12">
        <f>Tabel2425[[#This Row],[Stand Latte Macchiato Plantaardig einde maand]]</f>
        <v>165</v>
      </c>
      <c r="AB12" s="12">
        <f>Tabel24256[[#This Row],[Stand Latte Macchiato Plantaardig einde maand]]-Tabel24256[[#This Row],[Stand Latte Macchiato Plantaardig vorige maand]]</f>
        <v>20</v>
      </c>
      <c r="AC12" s="3">
        <f>Tabel24256[[#This Row],[Verbruik Stand Latte Macchiato Plantaardig deze maand]]+Tabel24256[[#This Row],[Verbruik  Cappucino Plantaardig deze maand]]+Tabel24256[[#This Row],[Verbruik Cappucino deze maand]]+Tabel24256[[#This Row],[Verbruik Hot Water deze maand]]+Tabel24256[[#This Row],[Verbruik Coffee Latte deze maand]]+Tabel24256[[#This Row],[Verbruik Latte Macchiato deze maand]]+Tabel24256[[#This Row],[Verbruik Espresso deze maand]]+Tabel24256[[#This Row],[Verbruik Coffee deze maand]]</f>
        <v>3871</v>
      </c>
      <c r="AD12" s="26"/>
      <c r="AE12" s="5"/>
      <c r="AF12" s="5"/>
      <c r="AG12" s="7"/>
      <c r="AH12" s="26"/>
      <c r="AI12" s="5"/>
      <c r="AJ12" s="5"/>
      <c r="AK12" s="7"/>
      <c r="AL12" s="26"/>
      <c r="AM12" s="5"/>
      <c r="AN12" s="5"/>
      <c r="AO12" s="5"/>
      <c r="AP12" s="26"/>
      <c r="AQ12" s="5"/>
      <c r="AR12" s="5"/>
      <c r="AS12" s="7"/>
      <c r="AT12" s="26"/>
      <c r="AU12" s="5"/>
      <c r="AV12" s="5"/>
      <c r="AW12" s="21"/>
      <c r="AX12" s="8"/>
      <c r="AY12" s="4">
        <f>Tabel24256[[#This Row],[Subtotaal waterbar in consumpties]]+Tabel24256[[#This Row],[Subtotaal koffieautomaten]]</f>
        <v>3871</v>
      </c>
    </row>
    <row r="13" spans="1:51" x14ac:dyDescent="0.25">
      <c r="A13" t="s">
        <v>50</v>
      </c>
      <c r="B13" t="s">
        <v>51</v>
      </c>
      <c r="C13" t="s">
        <v>47</v>
      </c>
      <c r="E13" s="25">
        <v>3546</v>
      </c>
      <c r="F13">
        <f>Tabel2425[[#This Row],[Stand Coffee einde maand]]</f>
        <v>2780</v>
      </c>
      <c r="G13" s="12">
        <f>Tabel24256[[#This Row],[Stand Coffee einde maand]]-Tabel24256[[#This Row],[Coffee vorige maand]]</f>
        <v>766</v>
      </c>
      <c r="H13" s="25">
        <v>902</v>
      </c>
      <c r="I13">
        <f>Tabel2425[[#This Row],[Stand Espresso Einde maand]]</f>
        <v>764</v>
      </c>
      <c r="J13" s="12">
        <f>Tabel24256[[#This Row],[Stand Espresso Einde maand]]-Tabel24256[[#This Row],[Espresso vorige maand]]</f>
        <v>138</v>
      </c>
      <c r="K13" s="25">
        <v>454</v>
      </c>
      <c r="L13">
        <f>Tabel2425[[#This Row],[Stand Latte Macchiato einde maand]]</f>
        <v>356</v>
      </c>
      <c r="M13">
        <f>Tabel24256[[#This Row],[Stand Latte Macchiato einde maand]]-Tabel24256[[#This Row],[Latte Macchiato vorige maand]]</f>
        <v>98</v>
      </c>
      <c r="N13" s="25">
        <v>338</v>
      </c>
      <c r="O13">
        <f>Tabel2425[[#This Row],[Stand Coffee Latte einde maand]]</f>
        <v>265</v>
      </c>
      <c r="P13">
        <f>Tabel24256[[#This Row],[Stand Coffee Latte einde maand]]-Tabel24256[[#This Row],[Coffee Latte vorige maand]]</f>
        <v>73</v>
      </c>
      <c r="Q13" s="25">
        <v>1</v>
      </c>
      <c r="R13">
        <f>Tabel2425[[#This Row],[Stand Hot Water einde maand]]</f>
        <v>1</v>
      </c>
      <c r="S13">
        <f>Tabel24256[[#This Row],[Stand Hot Water einde maand]]-Tabel24256[[#This Row],[Hot Water vorige maand]]</f>
        <v>0</v>
      </c>
      <c r="T13" s="25">
        <v>1482</v>
      </c>
      <c r="U13">
        <f>Tabel2425[[#This Row],[Stand Cappucino einde maand]]</f>
        <v>1165</v>
      </c>
      <c r="V13">
        <f>Tabel24256[[#This Row],[Stand Cappucino einde maand]]-Tabel24256[[#This Row],[Stand Cappucino vorige maand]]</f>
        <v>317</v>
      </c>
      <c r="W13" s="25">
        <v>617</v>
      </c>
      <c r="X13">
        <f>Tabel2425[[#This Row],[Stand Cappucino Plantaardig einde maand]]</f>
        <v>504</v>
      </c>
      <c r="Y13">
        <f>Tabel24256[[#This Row],[Stand Cappucino Plantaardig einde maand]]-Tabel24256[[#This Row],[Stand Cappucino Plantaardig vorige maand]]</f>
        <v>113</v>
      </c>
      <c r="Z13" s="25">
        <v>129</v>
      </c>
      <c r="AA13">
        <f>Tabel2425[[#This Row],[Stand Latte Macchiato Plantaardig einde maand]]</f>
        <v>106</v>
      </c>
      <c r="AB13" s="12">
        <f>Tabel24256[[#This Row],[Stand Latte Macchiato Plantaardig einde maand]]-Tabel24256[[#This Row],[Stand Latte Macchiato Plantaardig vorige maand]]</f>
        <v>23</v>
      </c>
      <c r="AC13" s="3">
        <f>Tabel24256[[#This Row],[Verbruik Stand Latte Macchiato Plantaardig deze maand]]+Tabel24256[[#This Row],[Verbruik  Cappucino Plantaardig deze maand]]+Tabel24256[[#This Row],[Verbruik Cappucino deze maand]]+Tabel24256[[#This Row],[Verbruik Hot Water deze maand]]+Tabel24256[[#This Row],[Verbruik Coffee Latte deze maand]]+Tabel24256[[#This Row],[Verbruik Latte Macchiato deze maand]]+Tabel24256[[#This Row],[Verbruik Espresso deze maand]]+Tabel24256[[#This Row],[Verbruik Coffee deze maand]]</f>
        <v>1528</v>
      </c>
      <c r="AD13" s="25">
        <v>105.3</v>
      </c>
      <c r="AE13">
        <f>Tabel2425[[#This Row],[Stand Kamertemp liter einde maand]]</f>
        <v>77</v>
      </c>
      <c r="AF13">
        <f>Tabel24256[[#This Row],[Stand Kamertemp liter einde maand]]-Tabel24256[[#This Row],[Stand Kamertemp liter vorige maand]]</f>
        <v>28.299999999999997</v>
      </c>
      <c r="AG13" s="2">
        <f>Tabel24256[[#This Row],[Verbruik Kamertemp liter deze maand]]/0.15</f>
        <v>188.66666666666666</v>
      </c>
      <c r="AH13" s="25">
        <v>747.7</v>
      </c>
      <c r="AI13">
        <f>Tabel2425[[#This Row],[Stand Gekoeld liter einde maand]]</f>
        <v>528.79999999999995</v>
      </c>
      <c r="AJ13">
        <f>Tabel24256[[#This Row],[Stand Gekoeld liter einde maand]]-Tabel24256[[#This Row],[Stand Gekoeld liter vorige maand]]</f>
        <v>218.90000000000009</v>
      </c>
      <c r="AK13" s="2">
        <f>Tabel24256[[#This Row],[Verbruik Gekoeld liter deze maand]]/0.15</f>
        <v>1459.3333333333339</v>
      </c>
      <c r="AL13" s="25">
        <v>691.5</v>
      </c>
      <c r="AM13">
        <f>Tabel2425[[#This Row],[Stand Bruisend liter einde maand]]</f>
        <v>515.1</v>
      </c>
      <c r="AN13">
        <f>Tabel24256[[#This Row],[Stand Bruisend liter einde maand]]-Tabel24256[[#This Row],[Stand Bruisend liter vorige maand]]</f>
        <v>176.39999999999998</v>
      </c>
      <c r="AO13" s="2">
        <f>Tabel24256[[#This Row],[Verbruik Bruisend liter deze maand]]/0.15</f>
        <v>1176</v>
      </c>
      <c r="AP13" s="25">
        <v>577.6</v>
      </c>
      <c r="AQ13">
        <f>Tabel2425[[#This Row],[Stand licht bruisend liter einde maand]]</f>
        <v>436.3</v>
      </c>
      <c r="AR13">
        <f>Tabel24256[[#This Row],[Stand licht bruisend liter einde maand]]-Tabel24256[[#This Row],[Stand licht bruisend liter vorige maand]]</f>
        <v>141.30000000000001</v>
      </c>
      <c r="AS13" s="2">
        <f>Tabel24256[[#This Row],[Verbruik licht bruisend liter deze maand]]/0.15</f>
        <v>942.00000000000011</v>
      </c>
      <c r="AT13" s="25">
        <v>2490.1999999999998</v>
      </c>
      <c r="AU13">
        <f>Tabel2425[[#This Row],[Stand heet water liter einde maand]]</f>
        <v>1999.8</v>
      </c>
      <c r="AV13">
        <f>Tabel24256[[#This Row],[Stand heet water liter einde maand]]-Tabel24256[[#This Row],[Stand heet water liter vorige maand]]</f>
        <v>490.39999999999986</v>
      </c>
      <c r="AW13" s="20">
        <f>Tabel24256[[#This Row],[Verbruik heet Water liter deze maand ]]/0.15</f>
        <v>3269.3333333333326</v>
      </c>
      <c r="AX13" s="4">
        <f>Tabel24256[[#This Row],[Aantal consumpties heet water deze maand]]+Tabel24256[[#This Row],[Aantal consumpties licht bruisend water deze maand]]+Tabel24256[[#This Row],[aantal consumpties Bruisend water deze maand]]+Tabel24256[[#This Row],[Aantal consumpties gekoeld water deze maand]]+Tabel24256[[#This Row],[Aantal consumpties Kamertemp deze maand]]</f>
        <v>7035.3333333333339</v>
      </c>
      <c r="AY13" s="4">
        <f>Tabel24256[[#This Row],[Subtotaal waterbar in consumpties]]+Tabel24256[[#This Row],[Subtotaal koffieautomaten]]</f>
        <v>8563.3333333333339</v>
      </c>
    </row>
    <row r="14" spans="1:51" x14ac:dyDescent="0.25">
      <c r="A14" t="s">
        <v>52</v>
      </c>
      <c r="B14" t="s">
        <v>53</v>
      </c>
      <c r="C14" t="s">
        <v>31</v>
      </c>
      <c r="E14" s="25">
        <v>3568</v>
      </c>
      <c r="F14">
        <f>Tabel2425[[#This Row],[Stand Coffee einde maand]]</f>
        <v>2982</v>
      </c>
      <c r="G14" s="12">
        <f>Tabel24256[[#This Row],[Stand Coffee einde maand]]-Tabel24256[[#This Row],[Coffee vorige maand]]</f>
        <v>586</v>
      </c>
      <c r="H14" s="25">
        <v>935</v>
      </c>
      <c r="I14">
        <f>Tabel2425[[#This Row],[Stand Espresso Einde maand]]</f>
        <v>758</v>
      </c>
      <c r="J14" s="12">
        <f>Tabel24256[[#This Row],[Stand Espresso Einde maand]]-Tabel24256[[#This Row],[Espresso vorige maand]]</f>
        <v>177</v>
      </c>
      <c r="K14" s="25">
        <v>170</v>
      </c>
      <c r="L14">
        <f>Tabel2425[[#This Row],[Stand Latte Macchiato einde maand]]</f>
        <v>137</v>
      </c>
      <c r="M14">
        <f>Tabel24256[[#This Row],[Stand Latte Macchiato einde maand]]-Tabel24256[[#This Row],[Latte Macchiato vorige maand]]</f>
        <v>33</v>
      </c>
      <c r="N14" s="25">
        <v>179</v>
      </c>
      <c r="O14">
        <f>Tabel2425[[#This Row],[Stand Coffee Latte einde maand]]</f>
        <v>144</v>
      </c>
      <c r="P14">
        <f>Tabel24256[[#This Row],[Stand Coffee Latte einde maand]]-Tabel24256[[#This Row],[Coffee Latte vorige maand]]</f>
        <v>35</v>
      </c>
      <c r="Q14" s="25">
        <v>5362</v>
      </c>
      <c r="R14">
        <f>Tabel2425[[#This Row],[Stand Hot Water einde maand]]</f>
        <v>4361</v>
      </c>
      <c r="S14">
        <f>Tabel24256[[#This Row],[Stand Hot Water einde maand]]-Tabel24256[[#This Row],[Hot Water vorige maand]]</f>
        <v>1001</v>
      </c>
      <c r="T14" s="25">
        <v>1651</v>
      </c>
      <c r="U14">
        <f>Tabel2425[[#This Row],[Stand Cappucino einde maand]]</f>
        <v>1330</v>
      </c>
      <c r="V14">
        <f>Tabel24256[[#This Row],[Stand Cappucino einde maand]]-Tabel24256[[#This Row],[Stand Cappucino vorige maand]]</f>
        <v>321</v>
      </c>
      <c r="W14" s="25">
        <v>553</v>
      </c>
      <c r="X14">
        <f>Tabel2425[[#This Row],[Stand Cappucino Plantaardig einde maand]]</f>
        <v>470</v>
      </c>
      <c r="Y14">
        <f>Tabel24256[[#This Row],[Stand Cappucino Plantaardig einde maand]]-Tabel24256[[#This Row],[Stand Cappucino Plantaardig vorige maand]]</f>
        <v>83</v>
      </c>
      <c r="Z14" s="25">
        <v>133</v>
      </c>
      <c r="AA14">
        <f>Tabel2425[[#This Row],[Stand Latte Macchiato Plantaardig einde maand]]</f>
        <v>116</v>
      </c>
      <c r="AB14" s="12">
        <f>Tabel24256[[#This Row],[Stand Latte Macchiato Plantaardig einde maand]]-Tabel24256[[#This Row],[Stand Latte Macchiato Plantaardig vorige maand]]</f>
        <v>17</v>
      </c>
      <c r="AC14" s="3">
        <f>Tabel24256[[#This Row],[Verbruik Stand Latte Macchiato Plantaardig deze maand]]+Tabel24256[[#This Row],[Verbruik  Cappucino Plantaardig deze maand]]+Tabel24256[[#This Row],[Verbruik Cappucino deze maand]]+Tabel24256[[#This Row],[Verbruik Hot Water deze maand]]+Tabel24256[[#This Row],[Verbruik Coffee Latte deze maand]]+Tabel24256[[#This Row],[Verbruik Latte Macchiato deze maand]]+Tabel24256[[#This Row],[Verbruik Espresso deze maand]]+Tabel24256[[#This Row],[Verbruik Coffee deze maand]]</f>
        <v>2253</v>
      </c>
      <c r="AD14" s="26"/>
      <c r="AE14" s="5"/>
      <c r="AF14" s="5"/>
      <c r="AG14" s="7"/>
      <c r="AH14" s="26"/>
      <c r="AI14" s="5"/>
      <c r="AJ14" s="5"/>
      <c r="AK14" s="7"/>
      <c r="AL14" s="26"/>
      <c r="AM14" s="5"/>
      <c r="AN14" s="5"/>
      <c r="AO14" s="5"/>
      <c r="AP14" s="26"/>
      <c r="AQ14" s="5"/>
      <c r="AR14" s="5"/>
      <c r="AS14" s="7"/>
      <c r="AT14" s="26"/>
      <c r="AU14" s="5"/>
      <c r="AV14" s="5"/>
      <c r="AW14" s="21"/>
      <c r="AX14" s="8"/>
      <c r="AY14" s="4">
        <f>Tabel24256[[#This Row],[Subtotaal waterbar in consumpties]]+Tabel24256[[#This Row],[Subtotaal koffieautomaten]]</f>
        <v>2253</v>
      </c>
    </row>
    <row r="15" spans="1:51" x14ac:dyDescent="0.25">
      <c r="A15" t="s">
        <v>54</v>
      </c>
      <c r="B15" t="s">
        <v>55</v>
      </c>
      <c r="C15" t="s">
        <v>36</v>
      </c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25">
        <v>58</v>
      </c>
      <c r="AE15">
        <f>Tabel2425[[#This Row],[Stand Kamertemp liter einde maand]]</f>
        <v>51.2</v>
      </c>
      <c r="AF15">
        <f>Tabel24256[[#This Row],[Stand Kamertemp liter einde maand]]-Tabel24256[[#This Row],[Stand Kamertemp liter vorige maand]]</f>
        <v>6.7999999999999972</v>
      </c>
      <c r="AG15" s="2">
        <f>Tabel24256[[#This Row],[Verbruik Kamertemp liter deze maand]]/0.15</f>
        <v>45.333333333333314</v>
      </c>
      <c r="AH15" s="25">
        <v>374.2</v>
      </c>
      <c r="AI15">
        <f>Tabel2425[[#This Row],[Stand Gekoeld liter einde maand]]</f>
        <v>251.4</v>
      </c>
      <c r="AJ15">
        <f>Tabel24256[[#This Row],[Stand Gekoeld liter einde maand]]-Tabel24256[[#This Row],[Stand Gekoeld liter vorige maand]]</f>
        <v>122.79999999999998</v>
      </c>
      <c r="AK15" s="2">
        <f>Tabel24256[[#This Row],[Verbruik Gekoeld liter deze maand]]/0.15</f>
        <v>818.66666666666663</v>
      </c>
      <c r="AL15" s="25">
        <v>488.4</v>
      </c>
      <c r="AM15">
        <f>Tabel2425[[#This Row],[Stand Bruisend liter einde maand]]</f>
        <v>364.5</v>
      </c>
      <c r="AN15">
        <f>Tabel24256[[#This Row],[Stand Bruisend liter einde maand]]-Tabel24256[[#This Row],[Stand Bruisend liter vorige maand]]</f>
        <v>123.89999999999998</v>
      </c>
      <c r="AO15" s="2">
        <f>Tabel24256[[#This Row],[Verbruik Bruisend liter deze maand]]/0.15</f>
        <v>825.99999999999989</v>
      </c>
      <c r="AP15" s="25">
        <v>171.7</v>
      </c>
      <c r="AQ15">
        <f>Tabel2425[[#This Row],[Stand licht bruisend liter einde maand]]</f>
        <v>137.9</v>
      </c>
      <c r="AR15">
        <f>Tabel24256[[#This Row],[Stand licht bruisend liter einde maand]]-Tabel24256[[#This Row],[Stand licht bruisend liter vorige maand]]</f>
        <v>33.799999999999983</v>
      </c>
      <c r="AS15" s="2">
        <f>Tabel24256[[#This Row],[Verbruik licht bruisend liter deze maand]]/0.15</f>
        <v>225.33333333333323</v>
      </c>
      <c r="AT15" s="25">
        <v>1461</v>
      </c>
      <c r="AU15">
        <f>Tabel2425[[#This Row],[Stand heet water liter einde maand]]</f>
        <v>1213.8</v>
      </c>
      <c r="AV15">
        <f>Tabel24256[[#This Row],[Stand heet water liter einde maand]]-Tabel24256[[#This Row],[Stand heet water liter vorige maand]]</f>
        <v>247.20000000000005</v>
      </c>
      <c r="AW15" s="20">
        <f>Tabel24256[[#This Row],[Verbruik heet Water liter deze maand ]]/0.15</f>
        <v>1648.0000000000005</v>
      </c>
      <c r="AX15" s="4">
        <f>Tabel24256[[#This Row],[Aantal consumpties heet water deze maand]]+Tabel24256[[#This Row],[Aantal consumpties licht bruisend water deze maand]]+Tabel24256[[#This Row],[aantal consumpties Bruisend water deze maand]]+Tabel24256[[#This Row],[Aantal consumpties gekoeld water deze maand]]+Tabel24256[[#This Row],[Aantal consumpties Kamertemp deze maand]]</f>
        <v>3563.3333333333335</v>
      </c>
      <c r="AY15" s="4">
        <f>Tabel24256[[#This Row],[Subtotaal waterbar in consumpties]]+Tabel24256[[#This Row],[Subtotaal koffieautomaten]]</f>
        <v>3563.3333333333335</v>
      </c>
    </row>
    <row r="16" spans="1:51" x14ac:dyDescent="0.25">
      <c r="A16" t="s">
        <v>56</v>
      </c>
      <c r="B16" t="s">
        <v>57</v>
      </c>
      <c r="C16" t="s">
        <v>31</v>
      </c>
      <c r="E16" s="25">
        <v>4732</v>
      </c>
      <c r="F16">
        <f>Tabel2425[[#This Row],[Stand Coffee einde maand]]</f>
        <v>3874</v>
      </c>
      <c r="G16" s="12">
        <f>Tabel24256[[#This Row],[Stand Coffee einde maand]]-Tabel24256[[#This Row],[Coffee vorige maand]]</f>
        <v>858</v>
      </c>
      <c r="H16" s="25">
        <v>1092</v>
      </c>
      <c r="I16">
        <f>Tabel2425[[#This Row],[Stand Espresso Einde maand]]</f>
        <v>913</v>
      </c>
      <c r="J16" s="12">
        <f>Tabel24256[[#This Row],[Stand Espresso Einde maand]]-Tabel24256[[#This Row],[Espresso vorige maand]]</f>
        <v>179</v>
      </c>
      <c r="K16" s="25">
        <v>153</v>
      </c>
      <c r="L16">
        <f>Tabel2425[[#This Row],[Stand Latte Macchiato einde maand]]</f>
        <v>125</v>
      </c>
      <c r="M16">
        <f>Tabel24256[[#This Row],[Stand Latte Macchiato einde maand]]-Tabel24256[[#This Row],[Latte Macchiato vorige maand]]</f>
        <v>28</v>
      </c>
      <c r="N16" s="25">
        <v>344</v>
      </c>
      <c r="O16">
        <f>Tabel2425[[#This Row],[Stand Coffee Latte einde maand]]</f>
        <v>259</v>
      </c>
      <c r="P16">
        <f>Tabel24256[[#This Row],[Stand Coffee Latte einde maand]]-Tabel24256[[#This Row],[Coffee Latte vorige maand]]</f>
        <v>85</v>
      </c>
      <c r="Q16" s="25">
        <v>7092</v>
      </c>
      <c r="R16">
        <f>Tabel2425[[#This Row],[Stand Hot Water einde maand]]</f>
        <v>5681</v>
      </c>
      <c r="S16">
        <f>Tabel24256[[#This Row],[Stand Hot Water einde maand]]-Tabel24256[[#This Row],[Hot Water vorige maand]]</f>
        <v>1411</v>
      </c>
      <c r="T16" s="25">
        <v>2434</v>
      </c>
      <c r="U16">
        <f>Tabel2425[[#This Row],[Stand Cappucino einde maand]]</f>
        <v>1931</v>
      </c>
      <c r="V16">
        <f>Tabel24256[[#This Row],[Stand Cappucino einde maand]]-Tabel24256[[#This Row],[Stand Cappucino vorige maand]]</f>
        <v>503</v>
      </c>
      <c r="W16" s="25">
        <v>818</v>
      </c>
      <c r="X16">
        <f>Tabel2425[[#This Row],[Stand Cappucino Plantaardig einde maand]]</f>
        <v>662</v>
      </c>
      <c r="Y16">
        <f>Tabel24256[[#This Row],[Stand Cappucino Plantaardig einde maand]]-Tabel24256[[#This Row],[Stand Cappucino Plantaardig vorige maand]]</f>
        <v>156</v>
      </c>
      <c r="Z16" s="25">
        <v>222</v>
      </c>
      <c r="AA16">
        <f>Tabel2425[[#This Row],[Stand Latte Macchiato Plantaardig einde maand]]</f>
        <v>205</v>
      </c>
      <c r="AB16" s="12">
        <f>Tabel24256[[#This Row],[Stand Latte Macchiato Plantaardig einde maand]]-Tabel24256[[#This Row],[Stand Latte Macchiato Plantaardig vorige maand]]</f>
        <v>17</v>
      </c>
      <c r="AC16" s="3">
        <f>Tabel24256[[#This Row],[Verbruik Stand Latte Macchiato Plantaardig deze maand]]+Tabel24256[[#This Row],[Verbruik  Cappucino Plantaardig deze maand]]+Tabel24256[[#This Row],[Verbruik Cappucino deze maand]]+Tabel24256[[#This Row],[Verbruik Hot Water deze maand]]+Tabel24256[[#This Row],[Verbruik Coffee Latte deze maand]]+Tabel24256[[#This Row],[Verbruik Latte Macchiato deze maand]]+Tabel24256[[#This Row],[Verbruik Espresso deze maand]]+Tabel24256[[#This Row],[Verbruik Coffee deze maand]]</f>
        <v>3237</v>
      </c>
      <c r="AD16" s="26"/>
      <c r="AE16" s="5"/>
      <c r="AF16" s="5"/>
      <c r="AG16" s="7"/>
      <c r="AH16" s="26"/>
      <c r="AI16" s="5"/>
      <c r="AJ16" s="5"/>
      <c r="AK16" s="7"/>
      <c r="AL16" s="26"/>
      <c r="AM16" s="5"/>
      <c r="AN16" s="5"/>
      <c r="AO16" s="5"/>
      <c r="AP16" s="26"/>
      <c r="AQ16" s="5"/>
      <c r="AR16" s="5"/>
      <c r="AS16" s="7"/>
      <c r="AT16" s="26"/>
      <c r="AU16" s="5"/>
      <c r="AV16" s="5"/>
      <c r="AW16" s="21"/>
      <c r="AX16" s="8"/>
      <c r="AY16" s="4">
        <f>Tabel24256[[#This Row],[Subtotaal waterbar in consumpties]]+Tabel24256[[#This Row],[Subtotaal koffieautomaten]]</f>
        <v>3237</v>
      </c>
    </row>
    <row r="17" spans="1:51" x14ac:dyDescent="0.25">
      <c r="A17" t="s">
        <v>58</v>
      </c>
      <c r="B17" t="s">
        <v>59</v>
      </c>
      <c r="C17" t="s">
        <v>47</v>
      </c>
      <c r="E17" s="25">
        <v>3897</v>
      </c>
      <c r="F17">
        <f>Tabel2425[[#This Row],[Stand Coffee einde maand]]</f>
        <v>3165</v>
      </c>
      <c r="G17" s="12">
        <f>Tabel24256[[#This Row],[Stand Coffee einde maand]]-Tabel24256[[#This Row],[Coffee vorige maand]]</f>
        <v>732</v>
      </c>
      <c r="H17" s="25">
        <v>705</v>
      </c>
      <c r="I17">
        <f>Tabel2425[[#This Row],[Stand Espresso Einde maand]]</f>
        <v>571</v>
      </c>
      <c r="J17" s="12">
        <f>Tabel24256[[#This Row],[Stand Espresso Einde maand]]-Tabel24256[[#This Row],[Espresso vorige maand]]</f>
        <v>134</v>
      </c>
      <c r="K17" s="25">
        <v>373</v>
      </c>
      <c r="L17">
        <f>Tabel2425[[#This Row],[Stand Latte Macchiato einde maand]]</f>
        <v>278</v>
      </c>
      <c r="M17">
        <f>Tabel24256[[#This Row],[Stand Latte Macchiato einde maand]]-Tabel24256[[#This Row],[Latte Macchiato vorige maand]]</f>
        <v>95</v>
      </c>
      <c r="N17" s="25">
        <v>128</v>
      </c>
      <c r="O17">
        <f>Tabel2425[[#This Row],[Stand Coffee Latte einde maand]]</f>
        <v>118</v>
      </c>
      <c r="P17">
        <f>Tabel24256[[#This Row],[Stand Coffee Latte einde maand]]-Tabel24256[[#This Row],[Coffee Latte vorige maand]]</f>
        <v>10</v>
      </c>
      <c r="Q17" s="25">
        <v>1</v>
      </c>
      <c r="R17">
        <f>Tabel2425[[#This Row],[Stand Hot Water einde maand]]</f>
        <v>1</v>
      </c>
      <c r="S17">
        <f>Tabel24256[[#This Row],[Stand Hot Water einde maand]]-Tabel24256[[#This Row],[Hot Water vorige maand]]</f>
        <v>0</v>
      </c>
      <c r="T17" s="25">
        <v>1606</v>
      </c>
      <c r="U17">
        <f>Tabel2425[[#This Row],[Stand Cappucino einde maand]]</f>
        <v>1291</v>
      </c>
      <c r="V17">
        <f>Tabel24256[[#This Row],[Stand Cappucino einde maand]]-Tabel24256[[#This Row],[Stand Cappucino vorige maand]]</f>
        <v>315</v>
      </c>
      <c r="W17" s="25">
        <v>1029</v>
      </c>
      <c r="X17">
        <f>Tabel2425[[#This Row],[Stand Cappucino Plantaardig einde maand]]</f>
        <v>892</v>
      </c>
      <c r="Y17">
        <f>Tabel24256[[#This Row],[Stand Cappucino Plantaardig einde maand]]-Tabel24256[[#This Row],[Stand Cappucino Plantaardig vorige maand]]</f>
        <v>137</v>
      </c>
      <c r="Z17" s="25">
        <v>125</v>
      </c>
      <c r="AA17">
        <f>Tabel2425[[#This Row],[Stand Latte Macchiato Plantaardig einde maand]]</f>
        <v>99</v>
      </c>
      <c r="AB17" s="12">
        <f>Tabel24256[[#This Row],[Stand Latte Macchiato Plantaardig einde maand]]-Tabel24256[[#This Row],[Stand Latte Macchiato Plantaardig vorige maand]]</f>
        <v>26</v>
      </c>
      <c r="AC17" s="3">
        <f>Tabel24256[[#This Row],[Verbruik Stand Latte Macchiato Plantaardig deze maand]]+Tabel24256[[#This Row],[Verbruik  Cappucino Plantaardig deze maand]]+Tabel24256[[#This Row],[Verbruik Cappucino deze maand]]+Tabel24256[[#This Row],[Verbruik Hot Water deze maand]]+Tabel24256[[#This Row],[Verbruik Coffee Latte deze maand]]+Tabel24256[[#This Row],[Verbruik Latte Macchiato deze maand]]+Tabel24256[[#This Row],[Verbruik Espresso deze maand]]+Tabel24256[[#This Row],[Verbruik Coffee deze maand]]</f>
        <v>1449</v>
      </c>
      <c r="AD17" s="25">
        <v>146</v>
      </c>
      <c r="AE17">
        <f>Tabel2425[[#This Row],[Stand Kamertemp liter einde maand]]</f>
        <v>112.5</v>
      </c>
      <c r="AF17">
        <f>Tabel24256[[#This Row],[Stand Kamertemp liter einde maand]]-Tabel24256[[#This Row],[Stand Kamertemp liter vorige maand]]</f>
        <v>33.5</v>
      </c>
      <c r="AG17" s="2">
        <f>Tabel24256[[#This Row],[Verbruik Kamertemp liter deze maand]]/0.15</f>
        <v>223.33333333333334</v>
      </c>
      <c r="AH17" s="25">
        <v>596</v>
      </c>
      <c r="AI17">
        <f>Tabel2425[[#This Row],[Stand Gekoeld liter einde maand]]</f>
        <v>455.3</v>
      </c>
      <c r="AJ17">
        <f>Tabel24256[[#This Row],[Stand Gekoeld liter einde maand]]-Tabel24256[[#This Row],[Stand Gekoeld liter vorige maand]]</f>
        <v>140.69999999999999</v>
      </c>
      <c r="AK17" s="2">
        <f>Tabel24256[[#This Row],[Verbruik Gekoeld liter deze maand]]/0.15</f>
        <v>938</v>
      </c>
      <c r="AL17" s="25">
        <v>694.3</v>
      </c>
      <c r="AM17">
        <f>Tabel2425[[#This Row],[Stand Bruisend liter einde maand]]</f>
        <v>536.20000000000005</v>
      </c>
      <c r="AN17">
        <f>Tabel24256[[#This Row],[Stand Bruisend liter einde maand]]-Tabel24256[[#This Row],[Stand Bruisend liter vorige maand]]</f>
        <v>158.09999999999991</v>
      </c>
      <c r="AO17" s="2">
        <f>Tabel24256[[#This Row],[Verbruik Bruisend liter deze maand]]/0.15</f>
        <v>1053.9999999999995</v>
      </c>
      <c r="AP17" s="25">
        <v>215.4</v>
      </c>
      <c r="AQ17">
        <f>Tabel2425[[#This Row],[Stand licht bruisend liter einde maand]]</f>
        <v>173.9</v>
      </c>
      <c r="AR17">
        <f>Tabel24256[[#This Row],[Stand licht bruisend liter einde maand]]-Tabel24256[[#This Row],[Stand licht bruisend liter vorige maand]]</f>
        <v>41.5</v>
      </c>
      <c r="AS17" s="2">
        <f>Tabel24256[[#This Row],[Verbruik licht bruisend liter deze maand]]/0.15</f>
        <v>276.66666666666669</v>
      </c>
      <c r="AT17" s="25">
        <v>1828.5</v>
      </c>
      <c r="AU17">
        <f>Tabel2425[[#This Row],[Stand heet water liter einde maand]]</f>
        <v>1488.2</v>
      </c>
      <c r="AV17">
        <f>Tabel24256[[#This Row],[Stand heet water liter einde maand]]-Tabel24256[[#This Row],[Stand heet water liter vorige maand]]</f>
        <v>340.29999999999995</v>
      </c>
      <c r="AW17" s="20">
        <f>Tabel24256[[#This Row],[Verbruik heet Water liter deze maand ]]/0.15</f>
        <v>2268.6666666666665</v>
      </c>
      <c r="AX17" s="4">
        <f>Tabel24256[[#This Row],[Aantal consumpties heet water deze maand]]+Tabel24256[[#This Row],[Aantal consumpties licht bruisend water deze maand]]+Tabel24256[[#This Row],[aantal consumpties Bruisend water deze maand]]+Tabel24256[[#This Row],[Aantal consumpties gekoeld water deze maand]]+Tabel24256[[#This Row],[Aantal consumpties Kamertemp deze maand]]</f>
        <v>4760.6666666666652</v>
      </c>
      <c r="AY17" s="4">
        <f>Tabel24256[[#This Row],[Subtotaal waterbar in consumpties]]+Tabel24256[[#This Row],[Subtotaal koffieautomaten]]</f>
        <v>6209.6666666666652</v>
      </c>
    </row>
    <row r="18" spans="1:51" x14ac:dyDescent="0.25">
      <c r="A18" t="s">
        <v>60</v>
      </c>
      <c r="B18" t="s">
        <v>61</v>
      </c>
      <c r="C18" t="s">
        <v>31</v>
      </c>
      <c r="E18" s="25">
        <v>4047</v>
      </c>
      <c r="F18">
        <f>Tabel2425[[#This Row],[Stand Coffee einde maand]]</f>
        <v>2512</v>
      </c>
      <c r="G18" s="12">
        <f>Tabel24256[[#This Row],[Stand Coffee einde maand]]-Tabel24256[[#This Row],[Coffee vorige maand]]</f>
        <v>1535</v>
      </c>
      <c r="H18" s="25">
        <v>681</v>
      </c>
      <c r="I18">
        <f>Tabel2425[[#This Row],[Stand Espresso Einde maand]]</f>
        <v>521</v>
      </c>
      <c r="J18" s="12">
        <f>Tabel24256[[#This Row],[Stand Espresso Einde maand]]-Tabel24256[[#This Row],[Espresso vorige maand]]</f>
        <v>160</v>
      </c>
      <c r="K18" s="25">
        <v>298</v>
      </c>
      <c r="L18">
        <f>Tabel2425[[#This Row],[Stand Latte Macchiato einde maand]]</f>
        <v>227</v>
      </c>
      <c r="M18">
        <f>Tabel24256[[#This Row],[Stand Latte Macchiato einde maand]]-Tabel24256[[#This Row],[Latte Macchiato vorige maand]]</f>
        <v>71</v>
      </c>
      <c r="N18" s="25">
        <v>113</v>
      </c>
      <c r="O18">
        <f>Tabel2425[[#This Row],[Stand Coffee Latte einde maand]]</f>
        <v>102</v>
      </c>
      <c r="P18">
        <f>Tabel24256[[#This Row],[Stand Coffee Latte einde maand]]-Tabel24256[[#This Row],[Coffee Latte vorige maand]]</f>
        <v>11</v>
      </c>
      <c r="Q18" s="25">
        <v>6612</v>
      </c>
      <c r="R18">
        <f>Tabel2425[[#This Row],[Stand Hot Water einde maand]]</f>
        <v>5343</v>
      </c>
      <c r="S18">
        <f>Tabel24256[[#This Row],[Stand Hot Water einde maand]]-Tabel24256[[#This Row],[Hot Water vorige maand]]</f>
        <v>1269</v>
      </c>
      <c r="T18" s="25">
        <v>2208</v>
      </c>
      <c r="U18">
        <f>Tabel2425[[#This Row],[Stand Cappucino einde maand]]</f>
        <v>1799</v>
      </c>
      <c r="V18">
        <f>Tabel24256[[#This Row],[Stand Cappucino einde maand]]-Tabel24256[[#This Row],[Stand Cappucino vorige maand]]</f>
        <v>409</v>
      </c>
      <c r="W18" s="25">
        <v>459</v>
      </c>
      <c r="X18">
        <f>Tabel2425[[#This Row],[Stand Cappucino Plantaardig einde maand]]</f>
        <v>402</v>
      </c>
      <c r="Y18">
        <f>Tabel24256[[#This Row],[Stand Cappucino Plantaardig einde maand]]-Tabel24256[[#This Row],[Stand Cappucino Plantaardig vorige maand]]</f>
        <v>57</v>
      </c>
      <c r="Z18" s="25">
        <v>139</v>
      </c>
      <c r="AA18">
        <f>Tabel2425[[#This Row],[Stand Latte Macchiato Plantaardig einde maand]]</f>
        <v>128</v>
      </c>
      <c r="AB18" s="12">
        <f>Tabel24256[[#This Row],[Stand Latte Macchiato Plantaardig einde maand]]-Tabel24256[[#This Row],[Stand Latte Macchiato Plantaardig vorige maand]]</f>
        <v>11</v>
      </c>
      <c r="AC18" s="3">
        <f>Tabel24256[[#This Row],[Verbruik Stand Latte Macchiato Plantaardig deze maand]]+Tabel24256[[#This Row],[Verbruik  Cappucino Plantaardig deze maand]]+Tabel24256[[#This Row],[Verbruik Cappucino deze maand]]+Tabel24256[[#This Row],[Verbruik Hot Water deze maand]]+Tabel24256[[#This Row],[Verbruik Coffee Latte deze maand]]+Tabel24256[[#This Row],[Verbruik Latte Macchiato deze maand]]+Tabel24256[[#This Row],[Verbruik Espresso deze maand]]+Tabel24256[[#This Row],[Verbruik Coffee deze maand]]</f>
        <v>3523</v>
      </c>
      <c r="AD18" s="26"/>
      <c r="AE18" s="5"/>
      <c r="AF18" s="5"/>
      <c r="AG18" s="7"/>
      <c r="AH18" s="26"/>
      <c r="AI18" s="5"/>
      <c r="AJ18" s="5"/>
      <c r="AK18" s="7"/>
      <c r="AL18" s="26"/>
      <c r="AM18" s="5"/>
      <c r="AN18" s="5"/>
      <c r="AO18" s="5"/>
      <c r="AP18" s="26"/>
      <c r="AQ18" s="5"/>
      <c r="AR18" s="5"/>
      <c r="AS18" s="7"/>
      <c r="AT18" s="26"/>
      <c r="AU18" s="5"/>
      <c r="AV18" s="5"/>
      <c r="AW18" s="21"/>
      <c r="AX18" s="8"/>
      <c r="AY18" s="4">
        <f>Tabel24256[[#This Row],[Subtotaal waterbar in consumpties]]+Tabel24256[[#This Row],[Subtotaal koffieautomaten]]</f>
        <v>3523</v>
      </c>
    </row>
    <row r="19" spans="1:51" x14ac:dyDescent="0.25">
      <c r="A19" t="s">
        <v>62</v>
      </c>
      <c r="B19" t="s">
        <v>63</v>
      </c>
      <c r="C19" t="s">
        <v>36</v>
      </c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25">
        <v>46.9</v>
      </c>
      <c r="AE19">
        <f>Tabel2425[[#This Row],[Stand Kamertemp liter einde maand]]</f>
        <v>36.200000000000003</v>
      </c>
      <c r="AF19">
        <f>Tabel24256[[#This Row],[Stand Kamertemp liter einde maand]]-Tabel24256[[#This Row],[Stand Kamertemp liter vorige maand]]</f>
        <v>10.699999999999996</v>
      </c>
      <c r="AG19" s="2">
        <f>Tabel24256[[#This Row],[Verbruik Kamertemp liter deze maand]]/0.15</f>
        <v>71.333333333333314</v>
      </c>
      <c r="AH19" s="25">
        <v>301.7</v>
      </c>
      <c r="AI19">
        <f>Tabel2425[[#This Row],[Stand Gekoeld liter einde maand]]</f>
        <v>197.5</v>
      </c>
      <c r="AJ19">
        <f>Tabel24256[[#This Row],[Stand Gekoeld liter einde maand]]-Tabel24256[[#This Row],[Stand Gekoeld liter vorige maand]]</f>
        <v>104.19999999999999</v>
      </c>
      <c r="AK19" s="2">
        <f>Tabel24256[[#This Row],[Verbruik Gekoeld liter deze maand]]/0.15</f>
        <v>694.66666666666663</v>
      </c>
      <c r="AL19" s="25">
        <v>427.6</v>
      </c>
      <c r="AM19">
        <f>Tabel2425[[#This Row],[Stand Bruisend liter einde maand]]</f>
        <v>302.5</v>
      </c>
      <c r="AN19">
        <f>Tabel24256[[#This Row],[Stand Bruisend liter einde maand]]-Tabel24256[[#This Row],[Stand Bruisend liter vorige maand]]</f>
        <v>125.10000000000002</v>
      </c>
      <c r="AO19" s="2">
        <f>Tabel24256[[#This Row],[Verbruik Bruisend liter deze maand]]/0.15</f>
        <v>834.00000000000023</v>
      </c>
      <c r="AP19" s="25">
        <v>95.3</v>
      </c>
      <c r="AQ19">
        <f>Tabel2425[[#This Row],[Stand licht bruisend liter einde maand]]</f>
        <v>63.6</v>
      </c>
      <c r="AR19">
        <f>Tabel24256[[#This Row],[Stand licht bruisend liter einde maand]]-Tabel24256[[#This Row],[Stand licht bruisend liter vorige maand]]</f>
        <v>31.699999999999996</v>
      </c>
      <c r="AS19" s="2">
        <f>Tabel24256[[#This Row],[Verbruik licht bruisend liter deze maand]]/0.15</f>
        <v>211.33333333333331</v>
      </c>
      <c r="AT19" s="25">
        <v>409.4</v>
      </c>
      <c r="AU19">
        <f>Tabel2425[[#This Row],[Stand heet water liter einde maand]]</f>
        <v>244.6</v>
      </c>
      <c r="AV19">
        <f>Tabel24256[[#This Row],[Stand heet water liter einde maand]]-Tabel24256[[#This Row],[Stand heet water liter vorige maand]]</f>
        <v>164.79999999999998</v>
      </c>
      <c r="AW19" s="20">
        <f>Tabel24256[[#This Row],[Verbruik heet Water liter deze maand ]]/0.15</f>
        <v>1098.6666666666665</v>
      </c>
      <c r="AX19" s="4">
        <f>Tabel24256[[#This Row],[Aantal consumpties heet water deze maand]]+Tabel24256[[#This Row],[Aantal consumpties licht bruisend water deze maand]]+Tabel24256[[#This Row],[aantal consumpties Bruisend water deze maand]]+Tabel24256[[#This Row],[Aantal consumpties gekoeld water deze maand]]+Tabel24256[[#This Row],[Aantal consumpties Kamertemp deze maand]]</f>
        <v>2910</v>
      </c>
      <c r="AY19" s="4">
        <f>Tabel24256[[#This Row],[Subtotaal waterbar in consumpties]]+Tabel24256[[#This Row],[Subtotaal koffieautomaten]]</f>
        <v>2910</v>
      </c>
    </row>
    <row r="20" spans="1:51" x14ac:dyDescent="0.25">
      <c r="A20" t="s">
        <v>64</v>
      </c>
      <c r="B20" t="s">
        <v>65</v>
      </c>
      <c r="C20" t="s">
        <v>31</v>
      </c>
      <c r="E20" s="25">
        <v>3547</v>
      </c>
      <c r="F20">
        <f>Tabel2425[[#This Row],[Stand Coffee einde maand]]</f>
        <v>2883</v>
      </c>
      <c r="G20" s="12">
        <f>Tabel24256[[#This Row],[Stand Coffee einde maand]]-Tabel24256[[#This Row],[Coffee vorige maand]]</f>
        <v>664</v>
      </c>
      <c r="H20" s="25">
        <v>1125</v>
      </c>
      <c r="I20">
        <f>Tabel2425[[#This Row],[Stand Espresso Einde maand]]</f>
        <v>932</v>
      </c>
      <c r="J20" s="12">
        <f>Tabel24256[[#This Row],[Stand Espresso Einde maand]]-Tabel24256[[#This Row],[Espresso vorige maand]]</f>
        <v>193</v>
      </c>
      <c r="K20" s="25">
        <v>468</v>
      </c>
      <c r="L20">
        <f>Tabel2425[[#This Row],[Stand Latte Macchiato einde maand]]</f>
        <v>386</v>
      </c>
      <c r="M20">
        <f>Tabel24256[[#This Row],[Stand Latte Macchiato einde maand]]-Tabel24256[[#This Row],[Latte Macchiato vorige maand]]</f>
        <v>82</v>
      </c>
      <c r="N20" s="25">
        <v>190</v>
      </c>
      <c r="O20">
        <f>Tabel2425[[#This Row],[Stand Coffee Latte einde maand]]</f>
        <v>163</v>
      </c>
      <c r="P20">
        <f>Tabel24256[[#This Row],[Stand Coffee Latte einde maand]]-Tabel24256[[#This Row],[Coffee Latte vorige maand]]</f>
        <v>27</v>
      </c>
      <c r="Q20" s="25">
        <v>7772</v>
      </c>
      <c r="R20">
        <f>Tabel2425[[#This Row],[Stand Hot Water einde maand]]</f>
        <v>6349</v>
      </c>
      <c r="S20">
        <f>Tabel24256[[#This Row],[Stand Hot Water einde maand]]-Tabel24256[[#This Row],[Hot Water vorige maand]]</f>
        <v>1423</v>
      </c>
      <c r="T20" s="25">
        <v>2358</v>
      </c>
      <c r="U20">
        <f>Tabel2425[[#This Row],[Stand Cappucino einde maand]]</f>
        <v>1884</v>
      </c>
      <c r="V20">
        <f>Tabel24256[[#This Row],[Stand Cappucino einde maand]]-Tabel24256[[#This Row],[Stand Cappucino vorige maand]]</f>
        <v>474</v>
      </c>
      <c r="W20" s="25">
        <v>553</v>
      </c>
      <c r="X20">
        <f>Tabel2425[[#This Row],[Stand Cappucino Plantaardig einde maand]]</f>
        <v>470</v>
      </c>
      <c r="Y20">
        <f>Tabel24256[[#This Row],[Stand Cappucino Plantaardig einde maand]]-Tabel24256[[#This Row],[Stand Cappucino Plantaardig vorige maand]]</f>
        <v>83</v>
      </c>
      <c r="Z20" s="25">
        <v>113</v>
      </c>
      <c r="AA20">
        <f>Tabel2425[[#This Row],[Stand Latte Macchiato Plantaardig einde maand]]</f>
        <v>99</v>
      </c>
      <c r="AB20" s="12">
        <f>Tabel24256[[#This Row],[Stand Latte Macchiato Plantaardig einde maand]]-Tabel24256[[#This Row],[Stand Latte Macchiato Plantaardig vorige maand]]</f>
        <v>14</v>
      </c>
      <c r="AC20" s="3">
        <f>Tabel24256[[#This Row],[Verbruik Stand Latte Macchiato Plantaardig deze maand]]+Tabel24256[[#This Row],[Verbruik  Cappucino Plantaardig deze maand]]+Tabel24256[[#This Row],[Verbruik Cappucino deze maand]]+Tabel24256[[#This Row],[Verbruik Hot Water deze maand]]+Tabel24256[[#This Row],[Verbruik Coffee Latte deze maand]]+Tabel24256[[#This Row],[Verbruik Latte Macchiato deze maand]]+Tabel24256[[#This Row],[Verbruik Espresso deze maand]]+Tabel24256[[#This Row],[Verbruik Coffee deze maand]]</f>
        <v>2960</v>
      </c>
      <c r="AD20" s="26"/>
      <c r="AE20" s="5"/>
      <c r="AF20" s="5"/>
      <c r="AG20" s="7"/>
      <c r="AH20" s="26"/>
      <c r="AI20" s="5"/>
      <c r="AJ20" s="5"/>
      <c r="AK20" s="7"/>
      <c r="AL20" s="26"/>
      <c r="AM20" s="5"/>
      <c r="AN20" s="5"/>
      <c r="AO20" s="5"/>
      <c r="AP20" s="26"/>
      <c r="AQ20" s="5"/>
      <c r="AR20" s="5"/>
      <c r="AS20" s="7"/>
      <c r="AT20" s="26"/>
      <c r="AU20" s="5"/>
      <c r="AV20" s="5"/>
      <c r="AW20" s="21"/>
      <c r="AX20" s="8"/>
      <c r="AY20" s="4">
        <f>Tabel24256[[#This Row],[Subtotaal waterbar in consumpties]]+Tabel24256[[#This Row],[Subtotaal koffieautomaten]]</f>
        <v>2960</v>
      </c>
    </row>
    <row r="21" spans="1:51" x14ac:dyDescent="0.25">
      <c r="A21" t="s">
        <v>66</v>
      </c>
      <c r="B21" t="s">
        <v>67</v>
      </c>
      <c r="C21" t="s">
        <v>31</v>
      </c>
      <c r="E21" s="25">
        <v>4913</v>
      </c>
      <c r="F21">
        <f>Tabel2425[[#This Row],[Stand Coffee einde maand]]</f>
        <v>4043</v>
      </c>
      <c r="G21" s="12">
        <f>Tabel24256[[#This Row],[Stand Coffee einde maand]]-Tabel24256[[#This Row],[Coffee vorige maand]]</f>
        <v>870</v>
      </c>
      <c r="H21" s="25">
        <v>712</v>
      </c>
      <c r="I21">
        <f>Tabel2425[[#This Row],[Stand Espresso Einde maand]]</f>
        <v>628</v>
      </c>
      <c r="J21" s="12">
        <f>Tabel24256[[#This Row],[Stand Espresso Einde maand]]-Tabel24256[[#This Row],[Espresso vorige maand]]</f>
        <v>84</v>
      </c>
      <c r="K21" s="25">
        <v>563</v>
      </c>
      <c r="L21">
        <f>Tabel2425[[#This Row],[Stand Latte Macchiato einde maand]]</f>
        <v>468</v>
      </c>
      <c r="M21">
        <f>Tabel24256[[#This Row],[Stand Latte Macchiato einde maand]]-Tabel24256[[#This Row],[Latte Macchiato vorige maand]]</f>
        <v>95</v>
      </c>
      <c r="N21" s="25">
        <v>165</v>
      </c>
      <c r="O21">
        <f>Tabel2425[[#This Row],[Stand Coffee Latte einde maand]]</f>
        <v>113</v>
      </c>
      <c r="P21">
        <f>Tabel24256[[#This Row],[Stand Coffee Latte einde maand]]-Tabel24256[[#This Row],[Coffee Latte vorige maand]]</f>
        <v>52</v>
      </c>
      <c r="Q21" s="25">
        <v>7799</v>
      </c>
      <c r="R21">
        <f>Tabel2425[[#This Row],[Stand Hot Water einde maand]]</f>
        <v>6462</v>
      </c>
      <c r="S21">
        <f>Tabel24256[[#This Row],[Stand Hot Water einde maand]]-Tabel24256[[#This Row],[Hot Water vorige maand]]</f>
        <v>1337</v>
      </c>
      <c r="T21" s="25">
        <v>2232</v>
      </c>
      <c r="U21">
        <f>Tabel2425[[#This Row],[Stand Cappucino einde maand]]</f>
        <v>1822</v>
      </c>
      <c r="V21">
        <f>Tabel24256[[#This Row],[Stand Cappucino einde maand]]-Tabel24256[[#This Row],[Stand Cappucino vorige maand]]</f>
        <v>410</v>
      </c>
      <c r="W21" s="25">
        <v>881</v>
      </c>
      <c r="X21">
        <f>Tabel2425[[#This Row],[Stand Cappucino Plantaardig einde maand]]</f>
        <v>716</v>
      </c>
      <c r="Y21">
        <f>Tabel24256[[#This Row],[Stand Cappucino Plantaardig einde maand]]-Tabel24256[[#This Row],[Stand Cappucino Plantaardig vorige maand]]</f>
        <v>165</v>
      </c>
      <c r="Z21" s="25">
        <v>299</v>
      </c>
      <c r="AA21">
        <f>Tabel2425[[#This Row],[Stand Latte Macchiato Plantaardig einde maand]]</f>
        <v>235</v>
      </c>
      <c r="AB21" s="12">
        <f>Tabel24256[[#This Row],[Stand Latte Macchiato Plantaardig einde maand]]-Tabel24256[[#This Row],[Stand Latte Macchiato Plantaardig vorige maand]]</f>
        <v>64</v>
      </c>
      <c r="AC21" s="3">
        <f>Tabel24256[[#This Row],[Verbruik Stand Latte Macchiato Plantaardig deze maand]]+Tabel24256[[#This Row],[Verbruik  Cappucino Plantaardig deze maand]]+Tabel24256[[#This Row],[Verbruik Cappucino deze maand]]+Tabel24256[[#This Row],[Verbruik Hot Water deze maand]]+Tabel24256[[#This Row],[Verbruik Coffee Latte deze maand]]+Tabel24256[[#This Row],[Verbruik Latte Macchiato deze maand]]+Tabel24256[[#This Row],[Verbruik Espresso deze maand]]+Tabel24256[[#This Row],[Verbruik Coffee deze maand]]</f>
        <v>3077</v>
      </c>
      <c r="AD21" s="26"/>
      <c r="AE21" s="5"/>
      <c r="AF21" s="5"/>
      <c r="AG21" s="7"/>
      <c r="AH21" s="26"/>
      <c r="AI21" s="5"/>
      <c r="AJ21" s="5"/>
      <c r="AK21" s="7"/>
      <c r="AL21" s="26"/>
      <c r="AM21" s="5"/>
      <c r="AN21" s="5"/>
      <c r="AO21" s="5"/>
      <c r="AP21" s="26"/>
      <c r="AQ21" s="5"/>
      <c r="AR21" s="5"/>
      <c r="AS21" s="7"/>
      <c r="AT21" s="26"/>
      <c r="AU21" s="5"/>
      <c r="AV21" s="5"/>
      <c r="AW21" s="21"/>
      <c r="AX21" s="8"/>
      <c r="AY21" s="4">
        <f>Tabel24256[[#This Row],[Subtotaal waterbar in consumpties]]+Tabel24256[[#This Row],[Subtotaal koffieautomaten]]</f>
        <v>3077</v>
      </c>
    </row>
    <row r="22" spans="1:51" x14ac:dyDescent="0.25">
      <c r="A22" t="s">
        <v>68</v>
      </c>
      <c r="B22" t="s">
        <v>69</v>
      </c>
      <c r="C22" t="s">
        <v>47</v>
      </c>
      <c r="E22" s="25">
        <v>2350</v>
      </c>
      <c r="F22">
        <f>Tabel2425[[#This Row],[Stand Coffee einde maand]]</f>
        <v>1848</v>
      </c>
      <c r="G22" s="12">
        <f>Tabel24256[[#This Row],[Stand Coffee einde maand]]-Tabel24256[[#This Row],[Coffee vorige maand]]</f>
        <v>502</v>
      </c>
      <c r="H22" s="25">
        <v>738</v>
      </c>
      <c r="I22">
        <f>Tabel2425[[#This Row],[Stand Espresso Einde maand]]</f>
        <v>582</v>
      </c>
      <c r="J22" s="12">
        <f>Tabel24256[[#This Row],[Stand Espresso Einde maand]]-Tabel24256[[#This Row],[Espresso vorige maand]]</f>
        <v>156</v>
      </c>
      <c r="K22" s="25">
        <v>946</v>
      </c>
      <c r="L22">
        <f>Tabel2425[[#This Row],[Stand Latte Macchiato einde maand]]</f>
        <v>808</v>
      </c>
      <c r="M22">
        <f>Tabel24256[[#This Row],[Stand Latte Macchiato einde maand]]-Tabel24256[[#This Row],[Latte Macchiato vorige maand]]</f>
        <v>138</v>
      </c>
      <c r="N22" s="25">
        <v>176</v>
      </c>
      <c r="O22">
        <f>Tabel2425[[#This Row],[Stand Coffee Latte einde maand]]</f>
        <v>129</v>
      </c>
      <c r="P22">
        <f>Tabel24256[[#This Row],[Stand Coffee Latte einde maand]]-Tabel24256[[#This Row],[Coffee Latte vorige maand]]</f>
        <v>47</v>
      </c>
      <c r="Q22" s="25">
        <v>1</v>
      </c>
      <c r="R22">
        <f>Tabel2425[[#This Row],[Stand Hot Water einde maand]]</f>
        <v>1</v>
      </c>
      <c r="S22">
        <f>Tabel24256[[#This Row],[Stand Hot Water einde maand]]-Tabel24256[[#This Row],[Hot Water vorige maand]]</f>
        <v>0</v>
      </c>
      <c r="T22" s="25">
        <v>2925</v>
      </c>
      <c r="U22">
        <f>Tabel2425[[#This Row],[Stand Cappucino einde maand]]</f>
        <v>2354</v>
      </c>
      <c r="V22">
        <f>Tabel24256[[#This Row],[Stand Cappucino einde maand]]-Tabel24256[[#This Row],[Stand Cappucino vorige maand]]</f>
        <v>571</v>
      </c>
      <c r="W22" s="25">
        <v>501</v>
      </c>
      <c r="X22">
        <f>Tabel2425[[#This Row],[Stand Cappucino Plantaardig einde maand]]</f>
        <v>401</v>
      </c>
      <c r="Y22">
        <f>Tabel24256[[#This Row],[Stand Cappucino Plantaardig einde maand]]-Tabel24256[[#This Row],[Stand Cappucino Plantaardig vorige maand]]</f>
        <v>100</v>
      </c>
      <c r="Z22" s="25">
        <v>168</v>
      </c>
      <c r="AA22">
        <f>Tabel2425[[#This Row],[Stand Latte Macchiato Plantaardig einde maand]]</f>
        <v>134</v>
      </c>
      <c r="AB22" s="12">
        <f>Tabel24256[[#This Row],[Stand Latte Macchiato Plantaardig einde maand]]-Tabel24256[[#This Row],[Stand Latte Macchiato Plantaardig vorige maand]]</f>
        <v>34</v>
      </c>
      <c r="AC22" s="3">
        <f>Tabel24256[[#This Row],[Verbruik Stand Latte Macchiato Plantaardig deze maand]]+Tabel24256[[#This Row],[Verbruik  Cappucino Plantaardig deze maand]]+Tabel24256[[#This Row],[Verbruik Cappucino deze maand]]+Tabel24256[[#This Row],[Verbruik Hot Water deze maand]]+Tabel24256[[#This Row],[Verbruik Coffee Latte deze maand]]+Tabel24256[[#This Row],[Verbruik Latte Macchiato deze maand]]+Tabel24256[[#This Row],[Verbruik Espresso deze maand]]+Tabel24256[[#This Row],[Verbruik Coffee deze maand]]</f>
        <v>1548</v>
      </c>
      <c r="AD22" s="25">
        <v>74</v>
      </c>
      <c r="AE22">
        <f>Tabel2425[[#This Row],[Stand Kamertemp liter einde maand]]</f>
        <v>51.7</v>
      </c>
      <c r="AF22">
        <f>Tabel24256[[#This Row],[Stand Kamertemp liter einde maand]]-Tabel24256[[#This Row],[Stand Kamertemp liter vorige maand]]</f>
        <v>22.299999999999997</v>
      </c>
      <c r="AG22" s="2">
        <f>Tabel24256[[#This Row],[Verbruik Kamertemp liter deze maand]]/0.15</f>
        <v>148.66666666666666</v>
      </c>
      <c r="AH22" s="25">
        <v>796.4</v>
      </c>
      <c r="AI22">
        <f>Tabel2425[[#This Row],[Stand Gekoeld liter einde maand]]</f>
        <v>583.5</v>
      </c>
      <c r="AJ22">
        <f>Tabel24256[[#This Row],[Stand Gekoeld liter einde maand]]-Tabel24256[[#This Row],[Stand Gekoeld liter vorige maand]]</f>
        <v>212.89999999999998</v>
      </c>
      <c r="AK22" s="2">
        <f>Tabel24256[[#This Row],[Verbruik Gekoeld liter deze maand]]/0.15</f>
        <v>1419.3333333333333</v>
      </c>
      <c r="AL22" s="25">
        <v>757.7</v>
      </c>
      <c r="AM22">
        <f>Tabel2425[[#This Row],[Stand Bruisend liter einde maand]]</f>
        <v>601.20000000000005</v>
      </c>
      <c r="AN22">
        <f>Tabel24256[[#This Row],[Stand Bruisend liter einde maand]]-Tabel24256[[#This Row],[Stand Bruisend liter vorige maand]]</f>
        <v>156.5</v>
      </c>
      <c r="AO22" s="2">
        <f>Tabel24256[[#This Row],[Verbruik Bruisend liter deze maand]]/0.15</f>
        <v>1043.3333333333335</v>
      </c>
      <c r="AP22" s="25">
        <v>359.2</v>
      </c>
      <c r="AQ22">
        <f>Tabel2425[[#This Row],[Stand licht bruisend liter einde maand]]</f>
        <v>283.3</v>
      </c>
      <c r="AR22">
        <f>Tabel24256[[#This Row],[Stand licht bruisend liter einde maand]]-Tabel24256[[#This Row],[Stand licht bruisend liter vorige maand]]</f>
        <v>75.899999999999977</v>
      </c>
      <c r="AS22" s="2">
        <f>Tabel24256[[#This Row],[Verbruik licht bruisend liter deze maand]]/0.15</f>
        <v>505.99999999999989</v>
      </c>
      <c r="AT22" s="25">
        <v>2489.6999999999998</v>
      </c>
      <c r="AU22">
        <f>Tabel2425[[#This Row],[Stand heet water liter einde maand]]</f>
        <v>2041.2</v>
      </c>
      <c r="AV22">
        <f>Tabel24256[[#This Row],[Stand heet water liter einde maand]]-Tabel24256[[#This Row],[Stand heet water liter vorige maand]]</f>
        <v>448.49999999999977</v>
      </c>
      <c r="AW22" s="20">
        <f>Tabel24256[[#This Row],[Verbruik heet Water liter deze maand ]]/0.15</f>
        <v>2989.9999999999986</v>
      </c>
      <c r="AX22" s="4">
        <f>Tabel24256[[#This Row],[Aantal consumpties heet water deze maand]]+Tabel24256[[#This Row],[Aantal consumpties licht bruisend water deze maand]]+Tabel24256[[#This Row],[aantal consumpties Bruisend water deze maand]]+Tabel24256[[#This Row],[Aantal consumpties gekoeld water deze maand]]+Tabel24256[[#This Row],[Aantal consumpties Kamertemp deze maand]]</f>
        <v>6107.3333333333321</v>
      </c>
      <c r="AY22" s="4">
        <f>Tabel24256[[#This Row],[Subtotaal waterbar in consumpties]]+Tabel24256[[#This Row],[Subtotaal koffieautomaten]]</f>
        <v>7655.3333333333321</v>
      </c>
    </row>
    <row r="23" spans="1:51" x14ac:dyDescent="0.25">
      <c r="A23" t="s">
        <v>70</v>
      </c>
      <c r="B23" t="s">
        <v>71</v>
      </c>
      <c r="C23" t="s">
        <v>31</v>
      </c>
      <c r="E23" s="25">
        <v>3209</v>
      </c>
      <c r="F23">
        <f>Tabel2425[[#This Row],[Stand Coffee einde maand]]</f>
        <v>2601</v>
      </c>
      <c r="G23" s="12">
        <f>Tabel24256[[#This Row],[Stand Coffee einde maand]]-Tabel24256[[#This Row],[Coffee vorige maand]]</f>
        <v>608</v>
      </c>
      <c r="H23" s="25">
        <v>370</v>
      </c>
      <c r="I23">
        <f>Tabel2425[[#This Row],[Stand Espresso Einde maand]]</f>
        <v>236</v>
      </c>
      <c r="J23" s="12">
        <f>Tabel24256[[#This Row],[Stand Espresso Einde maand]]-Tabel24256[[#This Row],[Espresso vorige maand]]</f>
        <v>134</v>
      </c>
      <c r="K23" s="25">
        <v>274</v>
      </c>
      <c r="L23">
        <f>Tabel2425[[#This Row],[Stand Latte Macchiato einde maand]]</f>
        <v>220</v>
      </c>
      <c r="M23">
        <f>Tabel24256[[#This Row],[Stand Latte Macchiato einde maand]]-Tabel24256[[#This Row],[Latte Macchiato vorige maand]]</f>
        <v>54</v>
      </c>
      <c r="N23" s="25">
        <v>240</v>
      </c>
      <c r="O23">
        <f>Tabel2425[[#This Row],[Stand Coffee Latte einde maand]]</f>
        <v>181</v>
      </c>
      <c r="P23">
        <f>Tabel24256[[#This Row],[Stand Coffee Latte einde maand]]-Tabel24256[[#This Row],[Coffee Latte vorige maand]]</f>
        <v>59</v>
      </c>
      <c r="Q23" s="25">
        <v>5618</v>
      </c>
      <c r="R23">
        <f>Tabel2425[[#This Row],[Stand Hot Water einde maand]]</f>
        <v>4372</v>
      </c>
      <c r="S23">
        <f>Tabel24256[[#This Row],[Stand Hot Water einde maand]]-Tabel24256[[#This Row],[Hot Water vorige maand]]</f>
        <v>1246</v>
      </c>
      <c r="T23" s="25">
        <v>1358</v>
      </c>
      <c r="U23">
        <f>Tabel2425[[#This Row],[Stand Cappucino einde maand]]</f>
        <v>1092</v>
      </c>
      <c r="V23">
        <f>Tabel24256[[#This Row],[Stand Cappucino einde maand]]-Tabel24256[[#This Row],[Stand Cappucino vorige maand]]</f>
        <v>266</v>
      </c>
      <c r="W23" s="29">
        <v>259</v>
      </c>
      <c r="X23">
        <f>Tabel2425[[#This Row],[Stand Cappucino Plantaardig einde maand]]</f>
        <v>259</v>
      </c>
      <c r="Y23">
        <f>Tabel24256[[#This Row],[Stand Cappucino Plantaardig einde maand]]-Tabel24256[[#This Row],[Stand Cappucino Plantaardig vorige maand]]</f>
        <v>0</v>
      </c>
      <c r="Z23" s="29">
        <v>230</v>
      </c>
      <c r="AA23">
        <f>Tabel2425[[#This Row],[Stand Latte Macchiato Plantaardig einde maand]]</f>
        <v>230</v>
      </c>
      <c r="AB23" s="12">
        <f>Tabel24256[[#This Row],[Stand Latte Macchiato Plantaardig einde maand]]-Tabel24256[[#This Row],[Stand Latte Macchiato Plantaardig vorige maand]]</f>
        <v>0</v>
      </c>
      <c r="AC23" s="3">
        <f>Tabel24256[[#This Row],[Verbruik Stand Latte Macchiato Plantaardig deze maand]]+Tabel24256[[#This Row],[Verbruik  Cappucino Plantaardig deze maand]]+Tabel24256[[#This Row],[Verbruik Cappucino deze maand]]+Tabel24256[[#This Row],[Verbruik Hot Water deze maand]]+Tabel24256[[#This Row],[Verbruik Coffee Latte deze maand]]+Tabel24256[[#This Row],[Verbruik Latte Macchiato deze maand]]+Tabel24256[[#This Row],[Verbruik Espresso deze maand]]+Tabel24256[[#This Row],[Verbruik Coffee deze maand]]</f>
        <v>2367</v>
      </c>
      <c r="AD23" s="26"/>
      <c r="AE23" s="5"/>
      <c r="AF23" s="5"/>
      <c r="AG23" s="7"/>
      <c r="AH23" s="26"/>
      <c r="AI23" s="5"/>
      <c r="AJ23" s="5"/>
      <c r="AK23" s="7"/>
      <c r="AL23" s="26"/>
      <c r="AM23" s="5"/>
      <c r="AN23" s="5"/>
      <c r="AO23" s="5"/>
      <c r="AP23" s="26"/>
      <c r="AQ23" s="5"/>
      <c r="AR23" s="5"/>
      <c r="AS23" s="7"/>
      <c r="AT23" s="26"/>
      <c r="AU23" s="5"/>
      <c r="AV23" s="5"/>
      <c r="AW23" s="21"/>
      <c r="AX23" s="8"/>
      <c r="AY23" s="4">
        <f>Tabel24256[[#This Row],[Subtotaal waterbar in consumpties]]+Tabel24256[[#This Row],[Subtotaal koffieautomaten]]</f>
        <v>2367</v>
      </c>
    </row>
    <row r="24" spans="1:51" x14ac:dyDescent="0.25">
      <c r="A24" t="s">
        <v>72</v>
      </c>
      <c r="B24" t="s">
        <v>73</v>
      </c>
      <c r="C24" t="s">
        <v>47</v>
      </c>
      <c r="E24" s="25">
        <v>2643</v>
      </c>
      <c r="F24">
        <f>Tabel2425[[#This Row],[Stand Coffee einde maand]]</f>
        <v>2149</v>
      </c>
      <c r="G24" s="12">
        <f>Tabel24256[[#This Row],[Stand Coffee einde maand]]-Tabel24256[[#This Row],[Coffee vorige maand]]</f>
        <v>494</v>
      </c>
      <c r="H24" s="25">
        <v>860</v>
      </c>
      <c r="I24">
        <f>Tabel2425[[#This Row],[Stand Espresso Einde maand]]</f>
        <v>702</v>
      </c>
      <c r="J24" s="12">
        <f>Tabel24256[[#This Row],[Stand Espresso Einde maand]]-Tabel24256[[#This Row],[Espresso vorige maand]]</f>
        <v>158</v>
      </c>
      <c r="K24" s="25">
        <v>455</v>
      </c>
      <c r="L24">
        <f>Tabel2425[[#This Row],[Stand Latte Macchiato einde maand]]</f>
        <v>391</v>
      </c>
      <c r="M24">
        <f>Tabel24256[[#This Row],[Stand Latte Macchiato einde maand]]-Tabel24256[[#This Row],[Latte Macchiato vorige maand]]</f>
        <v>64</v>
      </c>
      <c r="N24" s="25">
        <v>191</v>
      </c>
      <c r="O24">
        <f>Tabel2425[[#This Row],[Stand Coffee Latte einde maand]]</f>
        <v>159</v>
      </c>
      <c r="P24">
        <f>Tabel24256[[#This Row],[Stand Coffee Latte einde maand]]-Tabel24256[[#This Row],[Coffee Latte vorige maand]]</f>
        <v>32</v>
      </c>
      <c r="Q24" s="25">
        <v>1</v>
      </c>
      <c r="R24">
        <f>Tabel2425[[#This Row],[Stand Hot Water einde maand]]</f>
        <v>1</v>
      </c>
      <c r="S24">
        <f>Tabel24256[[#This Row],[Stand Hot Water einde maand]]-Tabel24256[[#This Row],[Hot Water vorige maand]]</f>
        <v>0</v>
      </c>
      <c r="T24" s="25">
        <v>1935</v>
      </c>
      <c r="U24">
        <f>Tabel2425[[#This Row],[Stand Cappucino einde maand]]</f>
        <v>1526</v>
      </c>
      <c r="V24">
        <f>Tabel24256[[#This Row],[Stand Cappucino einde maand]]-Tabel24256[[#This Row],[Stand Cappucino vorige maand]]</f>
        <v>409</v>
      </c>
      <c r="W24" s="25">
        <v>374</v>
      </c>
      <c r="X24">
        <f>Tabel2425[[#This Row],[Stand Cappucino Plantaardig einde maand]]</f>
        <v>326</v>
      </c>
      <c r="Y24">
        <f>Tabel24256[[#This Row],[Stand Cappucino Plantaardig einde maand]]-Tabel24256[[#This Row],[Stand Cappucino Plantaardig vorige maand]]</f>
        <v>48</v>
      </c>
      <c r="Z24" s="25">
        <v>107</v>
      </c>
      <c r="AA24">
        <f>Tabel2425[[#This Row],[Stand Latte Macchiato Plantaardig einde maand]]</f>
        <v>93</v>
      </c>
      <c r="AB24" s="12">
        <f>Tabel24256[[#This Row],[Stand Latte Macchiato Plantaardig einde maand]]-Tabel24256[[#This Row],[Stand Latte Macchiato Plantaardig vorige maand]]</f>
        <v>14</v>
      </c>
      <c r="AC24" s="3">
        <f>Tabel24256[[#This Row],[Verbruik Stand Latte Macchiato Plantaardig deze maand]]+Tabel24256[[#This Row],[Verbruik  Cappucino Plantaardig deze maand]]+Tabel24256[[#This Row],[Verbruik Cappucino deze maand]]+Tabel24256[[#This Row],[Verbruik Hot Water deze maand]]+Tabel24256[[#This Row],[Verbruik Coffee Latte deze maand]]+Tabel24256[[#This Row],[Verbruik Latte Macchiato deze maand]]+Tabel24256[[#This Row],[Verbruik Espresso deze maand]]+Tabel24256[[#This Row],[Verbruik Coffee deze maand]]</f>
        <v>1219</v>
      </c>
      <c r="AD24" s="25">
        <v>76.599999999999994</v>
      </c>
      <c r="AE24">
        <f>Tabel2425[[#This Row],[Stand Kamertemp liter einde maand]]</f>
        <v>61.5</v>
      </c>
      <c r="AF24">
        <f>Tabel24256[[#This Row],[Stand Kamertemp liter einde maand]]-Tabel24256[[#This Row],[Stand Kamertemp liter vorige maand]]</f>
        <v>15.099999999999994</v>
      </c>
      <c r="AG24" s="2">
        <f>Tabel24256[[#This Row],[Verbruik Kamertemp liter deze maand]]/0.15</f>
        <v>100.66666666666663</v>
      </c>
      <c r="AH24" s="25">
        <v>429.4</v>
      </c>
      <c r="AI24">
        <f>Tabel2425[[#This Row],[Stand Gekoeld liter einde maand]]</f>
        <v>314</v>
      </c>
      <c r="AJ24">
        <f>Tabel24256[[#This Row],[Stand Gekoeld liter einde maand]]-Tabel24256[[#This Row],[Stand Gekoeld liter vorige maand]]</f>
        <v>115.39999999999998</v>
      </c>
      <c r="AK24" s="2">
        <f>Tabel24256[[#This Row],[Verbruik Gekoeld liter deze maand]]/0.15</f>
        <v>769.33333333333326</v>
      </c>
      <c r="AL24" s="25">
        <v>413.4</v>
      </c>
      <c r="AM24">
        <f>Tabel2425[[#This Row],[Stand Bruisend liter einde maand]]</f>
        <v>313.7</v>
      </c>
      <c r="AN24">
        <f>Tabel24256[[#This Row],[Stand Bruisend liter einde maand]]-Tabel24256[[#This Row],[Stand Bruisend liter vorige maand]]</f>
        <v>99.699999999999989</v>
      </c>
      <c r="AO24" s="2">
        <f>Tabel24256[[#This Row],[Verbruik Bruisend liter deze maand]]/0.15</f>
        <v>664.66666666666663</v>
      </c>
      <c r="AP24" s="25">
        <v>180</v>
      </c>
      <c r="AQ24">
        <f>Tabel2425[[#This Row],[Stand licht bruisend liter einde maand]]</f>
        <v>133.5</v>
      </c>
      <c r="AR24">
        <f>Tabel24256[[#This Row],[Stand licht bruisend liter einde maand]]-Tabel24256[[#This Row],[Stand licht bruisend liter vorige maand]]</f>
        <v>46.5</v>
      </c>
      <c r="AS24" s="2">
        <f>Tabel24256[[#This Row],[Verbruik licht bruisend liter deze maand]]/0.15</f>
        <v>310</v>
      </c>
      <c r="AT24" s="25">
        <v>690.4</v>
      </c>
      <c r="AU24">
        <f>Tabel2425[[#This Row],[Stand heet water liter einde maand]]</f>
        <v>573.5</v>
      </c>
      <c r="AV24">
        <f>Tabel24256[[#This Row],[Stand heet water liter einde maand]]-Tabel24256[[#This Row],[Stand heet water liter vorige maand]]</f>
        <v>116.89999999999998</v>
      </c>
      <c r="AW24" s="20">
        <f>Tabel24256[[#This Row],[Verbruik heet Water liter deze maand ]]/0.15</f>
        <v>779.33333333333326</v>
      </c>
      <c r="AX24" s="4">
        <f>Tabel24256[[#This Row],[Aantal consumpties heet water deze maand]]+Tabel24256[[#This Row],[Aantal consumpties licht bruisend water deze maand]]+Tabel24256[[#This Row],[aantal consumpties Bruisend water deze maand]]+Tabel24256[[#This Row],[Aantal consumpties gekoeld water deze maand]]+Tabel24256[[#This Row],[Aantal consumpties Kamertemp deze maand]]</f>
        <v>2623.9999999999995</v>
      </c>
      <c r="AY24" s="4">
        <f>Tabel24256[[#This Row],[Subtotaal waterbar in consumpties]]+Tabel24256[[#This Row],[Subtotaal koffieautomaten]]</f>
        <v>3842.9999999999995</v>
      </c>
    </row>
    <row r="25" spans="1:51" x14ac:dyDescent="0.25">
      <c r="A25" s="3" t="s">
        <v>74</v>
      </c>
      <c r="E25" s="25"/>
      <c r="F25">
        <f>Tabel2425[[#This Row],[Stand Coffee einde maand]]</f>
        <v>0</v>
      </c>
      <c r="G25" s="12">
        <f>Tabel24256[[#This Row],[Stand Coffee einde maand]]-Tabel24256[[#This Row],[Coffee vorige maand]]</f>
        <v>0</v>
      </c>
      <c r="H25" s="25"/>
      <c r="I25">
        <f>Tabel2425[[#This Row],[Stand Espresso Einde maand]]</f>
        <v>0</v>
      </c>
      <c r="J25" s="12">
        <f>Tabel24256[[#This Row],[Stand Espresso Einde maand]]-Tabel24256[[#This Row],[Espresso vorige maand]]</f>
        <v>0</v>
      </c>
      <c r="K25" s="25"/>
      <c r="L25">
        <f>Tabel2425[[#This Row],[Stand Latte Macchiato einde maand]]</f>
        <v>0</v>
      </c>
      <c r="M25">
        <f>Tabel24256[[#This Row],[Stand Latte Macchiato einde maand]]-Tabel24256[[#This Row],[Latte Macchiato vorige maand]]</f>
        <v>0</v>
      </c>
      <c r="N25" s="25"/>
      <c r="O25">
        <f>Tabel2425[[#This Row],[Stand Coffee Latte einde maand]]</f>
        <v>0</v>
      </c>
      <c r="P25">
        <f>Tabel24256[[#This Row],[Stand Coffee Latte einde maand]]-Tabel24256[[#This Row],[Coffee Latte vorige maand]]</f>
        <v>0</v>
      </c>
      <c r="Q25" s="25"/>
      <c r="R25">
        <f>Tabel2425[[#This Row],[Stand Hot Water einde maand]]</f>
        <v>0</v>
      </c>
      <c r="S25">
        <f>Tabel24256[[#This Row],[Stand Hot Water einde maand]]-Tabel24256[[#This Row],[Hot Water vorige maand]]</f>
        <v>0</v>
      </c>
      <c r="T25" s="25"/>
      <c r="U25">
        <f>Tabel2425[[#This Row],[Stand Cappucino einde maand]]</f>
        <v>0</v>
      </c>
      <c r="V25">
        <f>Tabel24256[[#This Row],[Stand Cappucino einde maand]]-Tabel24256[[#This Row],[Stand Cappucino vorige maand]]</f>
        <v>0</v>
      </c>
      <c r="W25" s="25"/>
      <c r="X25">
        <f>Tabel2425[[#This Row],[Stand Cappucino Plantaardig einde maand]]</f>
        <v>0</v>
      </c>
      <c r="Y25">
        <f>Tabel24256[[#This Row],[Stand Cappucino Plantaardig einde maand]]-Tabel24256[[#This Row],[Stand Cappucino Plantaardig vorige maand]]</f>
        <v>0</v>
      </c>
      <c r="Z25" s="25"/>
      <c r="AA25">
        <f>Tabel2425[[#This Row],[Stand Latte Macchiato Plantaardig einde maand]]</f>
        <v>0</v>
      </c>
      <c r="AB25" s="12">
        <f>Tabel24256[[#This Row],[Stand Latte Macchiato Plantaardig einde maand]]-Tabel24256[[#This Row],[Stand Latte Macchiato Plantaardig vorige maand]]</f>
        <v>0</v>
      </c>
      <c r="AC25" s="3">
        <f>Tabel24256[[#This Row],[Verbruik Stand Latte Macchiato Plantaardig deze maand]]+Tabel24256[[#This Row],[Verbruik  Cappucino Plantaardig deze maand]]+Tabel24256[[#This Row],[Verbruik Cappucino deze maand]]+Tabel24256[[#This Row],[Verbruik Hot Water deze maand]]+Tabel24256[[#This Row],[Verbruik Coffee Latte deze maand]]+Tabel24256[[#This Row],[Verbruik Latte Macchiato deze maand]]+Tabel24256[[#This Row],[Verbruik Espresso deze maand]]+Tabel24256[[#This Row],[Verbruik Coffee deze maand]]</f>
        <v>0</v>
      </c>
      <c r="AD25" s="25"/>
      <c r="AG25" s="2"/>
      <c r="AH25" s="25"/>
      <c r="AK25" s="2"/>
      <c r="AL25" s="25"/>
      <c r="AO25" s="2"/>
      <c r="AP25" s="25"/>
      <c r="AS25" s="2"/>
      <c r="AT25" s="25"/>
      <c r="AW25" s="20"/>
      <c r="AX25" s="3"/>
      <c r="AY25" s="4">
        <f>Tabel24256[[#This Row],[Subtotaal waterbar in consumpties]]+Tabel24256[[#This Row],[Subtotaal koffieautomaten]]</f>
        <v>0</v>
      </c>
    </row>
    <row r="26" spans="1:51" x14ac:dyDescent="0.25">
      <c r="A26" t="s">
        <v>32</v>
      </c>
      <c r="B26" t="s">
        <v>75</v>
      </c>
      <c r="C26" t="s">
        <v>47</v>
      </c>
      <c r="E26" s="25">
        <v>1471</v>
      </c>
      <c r="F26">
        <f>Tabel2425[[#This Row],[Stand Coffee einde maand]]</f>
        <v>1198</v>
      </c>
      <c r="G26" s="12">
        <f>Tabel24256[[#This Row],[Stand Coffee einde maand]]-Tabel24256[[#This Row],[Coffee vorige maand]]</f>
        <v>273</v>
      </c>
      <c r="H26" s="25">
        <v>189</v>
      </c>
      <c r="I26">
        <f>Tabel2425[[#This Row],[Stand Espresso Einde maand]]</f>
        <v>152</v>
      </c>
      <c r="J26" s="12">
        <f>Tabel24256[[#This Row],[Stand Espresso Einde maand]]-Tabel24256[[#This Row],[Espresso vorige maand]]</f>
        <v>37</v>
      </c>
      <c r="K26" s="25">
        <v>552</v>
      </c>
      <c r="L26">
        <f>Tabel2425[[#This Row],[Stand Latte Macchiato einde maand]]</f>
        <v>457</v>
      </c>
      <c r="M26">
        <f>Tabel24256[[#This Row],[Stand Latte Macchiato einde maand]]-Tabel24256[[#This Row],[Latte Macchiato vorige maand]]</f>
        <v>95</v>
      </c>
      <c r="N26" s="25">
        <v>199</v>
      </c>
      <c r="O26">
        <f>Tabel2425[[#This Row],[Stand Coffee Latte einde maand]]</f>
        <v>175</v>
      </c>
      <c r="P26">
        <f>Tabel24256[[#This Row],[Stand Coffee Latte einde maand]]-Tabel24256[[#This Row],[Coffee Latte vorige maand]]</f>
        <v>24</v>
      </c>
      <c r="Q26" s="25">
        <v>1</v>
      </c>
      <c r="R26">
        <f>Tabel2425[[#This Row],[Stand Hot Water einde maand]]</f>
        <v>1</v>
      </c>
      <c r="S26">
        <f>Tabel24256[[#This Row],[Stand Hot Water einde maand]]-Tabel24256[[#This Row],[Hot Water vorige maand]]</f>
        <v>0</v>
      </c>
      <c r="T26" s="25">
        <v>1025</v>
      </c>
      <c r="U26">
        <f>Tabel2425[[#This Row],[Stand Cappucino einde maand]]</f>
        <v>817</v>
      </c>
      <c r="V26">
        <f>Tabel24256[[#This Row],[Stand Cappucino einde maand]]-Tabel24256[[#This Row],[Stand Cappucino vorige maand]]</f>
        <v>208</v>
      </c>
      <c r="W26" s="25">
        <v>128</v>
      </c>
      <c r="X26">
        <f>Tabel2425[[#This Row],[Stand Cappucino Plantaardig einde maand]]</f>
        <v>87</v>
      </c>
      <c r="Y26">
        <f>Tabel24256[[#This Row],[Stand Cappucino Plantaardig einde maand]]-Tabel24256[[#This Row],[Stand Cappucino Plantaardig vorige maand]]</f>
        <v>41</v>
      </c>
      <c r="Z26" s="25">
        <v>162</v>
      </c>
      <c r="AA26">
        <f>Tabel2425[[#This Row],[Stand Latte Macchiato Plantaardig einde maand]]</f>
        <v>149</v>
      </c>
      <c r="AB26" s="12">
        <f>Tabel24256[[#This Row],[Stand Latte Macchiato Plantaardig einde maand]]-Tabel24256[[#This Row],[Stand Latte Macchiato Plantaardig vorige maand]]</f>
        <v>13</v>
      </c>
      <c r="AC26" s="3">
        <f>Tabel24256[[#This Row],[Verbruik Stand Latte Macchiato Plantaardig deze maand]]+Tabel24256[[#This Row],[Verbruik  Cappucino Plantaardig deze maand]]+Tabel24256[[#This Row],[Verbruik Cappucino deze maand]]+Tabel24256[[#This Row],[Verbruik Hot Water deze maand]]+Tabel24256[[#This Row],[Verbruik Coffee Latte deze maand]]+Tabel24256[[#This Row],[Verbruik Latte Macchiato deze maand]]+Tabel24256[[#This Row],[Verbruik Espresso deze maand]]+Tabel24256[[#This Row],[Verbruik Coffee deze maand]]</f>
        <v>691</v>
      </c>
      <c r="AD26" s="25">
        <v>55.4</v>
      </c>
      <c r="AE26">
        <f>Tabel2425[[#This Row],[Stand Kamertemp liter einde maand]]</f>
        <v>44</v>
      </c>
      <c r="AF26">
        <f>Tabel24256[[#This Row],[Stand Kamertemp liter einde maand]]-Tabel24256[[#This Row],[Stand Kamertemp liter vorige maand]]</f>
        <v>11.399999999999999</v>
      </c>
      <c r="AG26" s="2">
        <f>Tabel24256[[#This Row],[Verbruik Kamertemp liter deze maand]]/0.15</f>
        <v>76</v>
      </c>
      <c r="AH26" s="25">
        <v>216.1</v>
      </c>
      <c r="AI26">
        <f>Tabel2425[[#This Row],[Stand Gekoeld liter einde maand]]</f>
        <v>153.9</v>
      </c>
      <c r="AJ26">
        <f>Tabel24256[[#This Row],[Stand Gekoeld liter einde maand]]-Tabel24256[[#This Row],[Stand Gekoeld liter vorige maand]]</f>
        <v>62.199999999999989</v>
      </c>
      <c r="AK26" s="2">
        <f>Tabel24256[[#This Row],[Verbruik Gekoeld liter deze maand]]/0.15</f>
        <v>414.66666666666663</v>
      </c>
      <c r="AL26" s="25">
        <v>186.8</v>
      </c>
      <c r="AM26">
        <f>Tabel2425[[#This Row],[Stand Bruisend liter einde maand]]</f>
        <v>141.30000000000001</v>
      </c>
      <c r="AN26">
        <f>Tabel24256[[#This Row],[Stand Bruisend liter einde maand]]-Tabel24256[[#This Row],[Stand Bruisend liter vorige maand]]</f>
        <v>45.5</v>
      </c>
      <c r="AO26" s="2">
        <f>Tabel24256[[#This Row],[Verbruik Bruisend liter deze maand]]/0.15</f>
        <v>303.33333333333337</v>
      </c>
      <c r="AP26" s="25">
        <v>116.1</v>
      </c>
      <c r="AQ26">
        <f>Tabel2425[[#This Row],[Stand licht bruisend liter einde maand]]</f>
        <v>87.7</v>
      </c>
      <c r="AR26">
        <f>Tabel24256[[#This Row],[Stand licht bruisend liter einde maand]]-Tabel24256[[#This Row],[Stand licht bruisend liter vorige maand]]</f>
        <v>28.399999999999991</v>
      </c>
      <c r="AS26" s="2">
        <f>Tabel24256[[#This Row],[Verbruik licht bruisend liter deze maand]]/0.15</f>
        <v>189.33333333333329</v>
      </c>
      <c r="AT26" s="25">
        <v>988.1</v>
      </c>
      <c r="AU26">
        <f>Tabel2425[[#This Row],[Stand heet water liter einde maand]]</f>
        <v>788</v>
      </c>
      <c r="AV26">
        <f>Tabel24256[[#This Row],[Stand heet water liter einde maand]]-Tabel24256[[#This Row],[Stand heet water liter vorige maand]]</f>
        <v>200.10000000000002</v>
      </c>
      <c r="AW26" s="20">
        <f>Tabel24256[[#This Row],[Verbruik heet Water liter deze maand ]]/0.15</f>
        <v>1334.0000000000002</v>
      </c>
      <c r="AX26" s="4">
        <f>Tabel24256[[#This Row],[Aantal consumpties heet water deze maand]]+Tabel24256[[#This Row],[Aantal consumpties licht bruisend water deze maand]]+Tabel24256[[#This Row],[aantal consumpties Bruisend water deze maand]]+Tabel24256[[#This Row],[Aantal consumpties gekoeld water deze maand]]+Tabel24256[[#This Row],[Aantal consumpties Kamertemp deze maand]]</f>
        <v>2317.3333333333335</v>
      </c>
      <c r="AY26" s="4">
        <f>Tabel24256[[#This Row],[Subtotaal waterbar in consumpties]]+Tabel24256[[#This Row],[Subtotaal koffieautomaten]]</f>
        <v>3008.3333333333335</v>
      </c>
    </row>
    <row r="27" spans="1:51" x14ac:dyDescent="0.25">
      <c r="A27" t="s">
        <v>39</v>
      </c>
      <c r="B27" t="s">
        <v>76</v>
      </c>
      <c r="C27" t="s">
        <v>31</v>
      </c>
      <c r="E27" s="25">
        <v>6870</v>
      </c>
      <c r="F27">
        <f>Tabel2425[[#This Row],[Stand Coffee einde maand]]</f>
        <v>5682</v>
      </c>
      <c r="G27" s="12">
        <f>Tabel24256[[#This Row],[Stand Coffee einde maand]]-Tabel24256[[#This Row],[Coffee vorige maand]]</f>
        <v>1188</v>
      </c>
      <c r="H27" s="25">
        <v>1596</v>
      </c>
      <c r="I27">
        <f>Tabel2425[[#This Row],[Stand Espresso Einde maand]]</f>
        <v>1337</v>
      </c>
      <c r="J27" s="12">
        <f>Tabel24256[[#This Row],[Stand Espresso Einde maand]]-Tabel24256[[#This Row],[Espresso vorige maand]]</f>
        <v>259</v>
      </c>
      <c r="K27" s="25">
        <v>812</v>
      </c>
      <c r="L27">
        <f>Tabel2425[[#This Row],[Stand Latte Macchiato einde maand]]</f>
        <v>678</v>
      </c>
      <c r="M27">
        <f>Tabel24256[[#This Row],[Stand Latte Macchiato einde maand]]-Tabel24256[[#This Row],[Latte Macchiato vorige maand]]</f>
        <v>134</v>
      </c>
      <c r="N27" s="25">
        <v>377</v>
      </c>
      <c r="O27">
        <f>Tabel2425[[#This Row],[Stand Coffee Latte einde maand]]</f>
        <v>321</v>
      </c>
      <c r="P27">
        <f>Tabel24256[[#This Row],[Stand Coffee Latte einde maand]]-Tabel24256[[#This Row],[Coffee Latte vorige maand]]</f>
        <v>56</v>
      </c>
      <c r="Q27" s="25">
        <v>5519</v>
      </c>
      <c r="R27">
        <f>Tabel2425[[#This Row],[Stand Hot Water einde maand]]</f>
        <v>4656</v>
      </c>
      <c r="S27">
        <f>Tabel24256[[#This Row],[Stand Hot Water einde maand]]-Tabel24256[[#This Row],[Hot Water vorige maand]]</f>
        <v>863</v>
      </c>
      <c r="T27" s="25">
        <v>4686</v>
      </c>
      <c r="U27">
        <f>Tabel2425[[#This Row],[Stand Cappucino einde maand]]</f>
        <v>3814</v>
      </c>
      <c r="V27">
        <f>Tabel24256[[#This Row],[Stand Cappucino einde maand]]-Tabel24256[[#This Row],[Stand Cappucino vorige maand]]</f>
        <v>872</v>
      </c>
      <c r="W27" s="25">
        <v>713</v>
      </c>
      <c r="X27">
        <f>Tabel2425[[#This Row],[Stand Cappucino Plantaardig einde maand]]</f>
        <v>616</v>
      </c>
      <c r="Y27">
        <f>Tabel24256[[#This Row],[Stand Cappucino Plantaardig einde maand]]-Tabel24256[[#This Row],[Stand Cappucino Plantaardig vorige maand]]</f>
        <v>97</v>
      </c>
      <c r="Z27" s="25">
        <v>223</v>
      </c>
      <c r="AA27">
        <f>Tabel2425[[#This Row],[Stand Latte Macchiato Plantaardig einde maand]]</f>
        <v>188</v>
      </c>
      <c r="AB27" s="12">
        <f>Tabel24256[[#This Row],[Stand Latte Macchiato Plantaardig einde maand]]-Tabel24256[[#This Row],[Stand Latte Macchiato Plantaardig vorige maand]]</f>
        <v>35</v>
      </c>
      <c r="AC27" s="3">
        <f>Tabel24256[[#This Row],[Verbruik Stand Latte Macchiato Plantaardig deze maand]]+Tabel24256[[#This Row],[Verbruik  Cappucino Plantaardig deze maand]]+Tabel24256[[#This Row],[Verbruik Cappucino deze maand]]+Tabel24256[[#This Row],[Verbruik Hot Water deze maand]]+Tabel24256[[#This Row],[Verbruik Coffee Latte deze maand]]+Tabel24256[[#This Row],[Verbruik Latte Macchiato deze maand]]+Tabel24256[[#This Row],[Verbruik Espresso deze maand]]+Tabel24256[[#This Row],[Verbruik Coffee deze maand]]</f>
        <v>3504</v>
      </c>
      <c r="AD27" s="26"/>
      <c r="AE27" s="5"/>
      <c r="AF27" s="5"/>
      <c r="AG27" s="7"/>
      <c r="AH27" s="26"/>
      <c r="AI27" s="5"/>
      <c r="AJ27" s="5"/>
      <c r="AK27" s="7"/>
      <c r="AL27" s="26"/>
      <c r="AM27" s="5"/>
      <c r="AN27" s="5"/>
      <c r="AO27" s="7"/>
      <c r="AP27" s="26"/>
      <c r="AQ27" s="5"/>
      <c r="AR27" s="5"/>
      <c r="AS27" s="7"/>
      <c r="AT27" s="26"/>
      <c r="AU27" s="5">
        <f>Tabel242[[#This Row],[Stand heet water liter einde maand]]</f>
        <v>0</v>
      </c>
      <c r="AV27" s="5"/>
      <c r="AW27" s="21"/>
      <c r="AX27" s="8"/>
      <c r="AY27" s="4">
        <f>Tabel24256[[#This Row],[Subtotaal waterbar in consumpties]]+Tabel24256[[#This Row],[Subtotaal koffieautomaten]]</f>
        <v>3504</v>
      </c>
    </row>
    <row r="28" spans="1:51" x14ac:dyDescent="0.25">
      <c r="A28" t="s">
        <v>39</v>
      </c>
      <c r="B28" t="s">
        <v>77</v>
      </c>
      <c r="C28" t="s">
        <v>36</v>
      </c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25">
        <v>27.6</v>
      </c>
      <c r="AE28">
        <f>Tabel2425[[#This Row],[Stand Kamertemp liter einde maand]]</f>
        <v>27.6</v>
      </c>
      <c r="AF28">
        <f>Tabel24256[[#This Row],[Stand Kamertemp liter einde maand]]-Tabel24256[[#This Row],[Stand Kamertemp liter vorige maand]]</f>
        <v>0</v>
      </c>
      <c r="AG28" s="2">
        <f>Tabel24256[[#This Row],[Verbruik Kamertemp liter deze maand]]/0.15</f>
        <v>0</v>
      </c>
      <c r="AH28" s="25">
        <v>243.2</v>
      </c>
      <c r="AI28">
        <f>Tabel2425[[#This Row],[Stand Gekoeld liter einde maand]]</f>
        <v>243.2</v>
      </c>
      <c r="AJ28">
        <f>Tabel24256[[#This Row],[Stand Gekoeld liter einde maand]]-Tabel24256[[#This Row],[Stand Gekoeld liter vorige maand]]</f>
        <v>0</v>
      </c>
      <c r="AK28" s="2">
        <f>Tabel24256[[#This Row],[Verbruik Gekoeld liter deze maand]]/0.15</f>
        <v>0</v>
      </c>
      <c r="AL28" s="25">
        <v>102.5</v>
      </c>
      <c r="AM28">
        <f>Tabel2425[[#This Row],[Stand Bruisend liter einde maand]]</f>
        <v>102.5</v>
      </c>
      <c r="AN28">
        <f>Tabel24256[[#This Row],[Stand Bruisend liter einde maand]]-Tabel24256[[#This Row],[Stand Bruisend liter vorige maand]]</f>
        <v>0</v>
      </c>
      <c r="AO28" s="2">
        <f>Tabel24256[[#This Row],[Verbruik Bruisend liter deze maand]]/0.15</f>
        <v>0</v>
      </c>
      <c r="AP28" s="25">
        <v>63.8</v>
      </c>
      <c r="AQ28">
        <f>Tabel2425[[#This Row],[Stand licht bruisend liter einde maand]]</f>
        <v>63.8</v>
      </c>
      <c r="AR28">
        <f>Tabel24256[[#This Row],[Stand licht bruisend liter einde maand]]-Tabel24256[[#This Row],[Stand licht bruisend liter vorige maand]]</f>
        <v>0</v>
      </c>
      <c r="AS28" s="2">
        <f>Tabel24256[[#This Row],[Verbruik licht bruisend liter deze maand]]/0.15</f>
        <v>0</v>
      </c>
      <c r="AT28" s="25">
        <v>197.2</v>
      </c>
      <c r="AU28">
        <f>Tabel2425[[#This Row],[Stand heet water liter einde maand]]</f>
        <v>197.2</v>
      </c>
      <c r="AV28">
        <f>Tabel24256[[#This Row],[Stand heet water liter einde maand]]-Tabel24256[[#This Row],[Stand heet water liter vorige maand]]</f>
        <v>0</v>
      </c>
      <c r="AW28" s="20">
        <f>Tabel24256[[#This Row],[Verbruik heet Water liter deze maand ]]/0.15</f>
        <v>0</v>
      </c>
      <c r="AX28" s="4">
        <f>Tabel24256[[#This Row],[Aantal consumpties heet water deze maand]]+Tabel24256[[#This Row],[Aantal consumpties licht bruisend water deze maand]]+Tabel24256[[#This Row],[aantal consumpties Bruisend water deze maand]]+Tabel24256[[#This Row],[Aantal consumpties gekoeld water deze maand]]+Tabel24256[[#This Row],[Aantal consumpties Kamertemp deze maand]]</f>
        <v>0</v>
      </c>
      <c r="AY28" s="4">
        <f>Tabel24256[[#This Row],[Subtotaal waterbar in consumpties]]+Tabel24256[[#This Row],[Subtotaal koffieautomaten]]</f>
        <v>0</v>
      </c>
    </row>
    <row r="29" spans="1:51" x14ac:dyDescent="0.25">
      <c r="A29" t="s">
        <v>41</v>
      </c>
      <c r="B29" t="s">
        <v>78</v>
      </c>
      <c r="C29" t="s">
        <v>47</v>
      </c>
      <c r="E29" s="25">
        <v>1250</v>
      </c>
      <c r="F29">
        <f>Tabel2425[[#This Row],[Stand Coffee einde maand]]</f>
        <v>1074</v>
      </c>
      <c r="G29" s="12">
        <f>Tabel24256[[#This Row],[Stand Coffee einde maand]]-Tabel24256[[#This Row],[Coffee vorige maand]]</f>
        <v>176</v>
      </c>
      <c r="H29" s="25">
        <v>630</v>
      </c>
      <c r="I29">
        <f>Tabel2425[[#This Row],[Stand Espresso Einde maand]]</f>
        <v>516</v>
      </c>
      <c r="J29" s="12">
        <f>Tabel24256[[#This Row],[Stand Espresso Einde maand]]-Tabel24256[[#This Row],[Espresso vorige maand]]</f>
        <v>114</v>
      </c>
      <c r="K29" s="25">
        <v>67</v>
      </c>
      <c r="L29">
        <f>Tabel2425[[#This Row],[Stand Latte Macchiato einde maand]]</f>
        <v>39</v>
      </c>
      <c r="M29">
        <f>Tabel24256[[#This Row],[Stand Latte Macchiato einde maand]]-Tabel24256[[#This Row],[Latte Macchiato vorige maand]]</f>
        <v>28</v>
      </c>
      <c r="N29" s="25">
        <v>95</v>
      </c>
      <c r="O29">
        <f>Tabel2425[[#This Row],[Stand Coffee Latte einde maand]]</f>
        <v>93</v>
      </c>
      <c r="P29">
        <f>Tabel24256[[#This Row],[Stand Coffee Latte einde maand]]-Tabel24256[[#This Row],[Coffee Latte vorige maand]]</f>
        <v>2</v>
      </c>
      <c r="Q29" s="25">
        <v>1</v>
      </c>
      <c r="R29">
        <f>Tabel2425[[#This Row],[Stand Hot Water einde maand]]</f>
        <v>1</v>
      </c>
      <c r="S29">
        <f>Tabel24256[[#This Row],[Stand Hot Water einde maand]]-Tabel24256[[#This Row],[Hot Water vorige maand]]</f>
        <v>0</v>
      </c>
      <c r="T29" s="25">
        <v>704</v>
      </c>
      <c r="U29">
        <f>Tabel2425[[#This Row],[Stand Cappucino einde maand]]</f>
        <v>559</v>
      </c>
      <c r="V29">
        <f>Tabel24256[[#This Row],[Stand Cappucino einde maand]]-Tabel24256[[#This Row],[Stand Cappucino vorige maand]]</f>
        <v>145</v>
      </c>
      <c r="W29" s="25">
        <v>476</v>
      </c>
      <c r="X29">
        <f>Tabel2425[[#This Row],[Stand Cappucino Plantaardig einde maand]]</f>
        <v>418</v>
      </c>
      <c r="Y29">
        <f>Tabel24256[[#This Row],[Stand Cappucino Plantaardig einde maand]]-Tabel24256[[#This Row],[Stand Cappucino Plantaardig vorige maand]]</f>
        <v>58</v>
      </c>
      <c r="Z29" s="25">
        <v>187</v>
      </c>
      <c r="AA29">
        <f>Tabel2425[[#This Row],[Stand Latte Macchiato Plantaardig einde maand]]</f>
        <v>152</v>
      </c>
      <c r="AB29" s="12">
        <f>Tabel24256[[#This Row],[Stand Latte Macchiato Plantaardig einde maand]]-Tabel24256[[#This Row],[Stand Latte Macchiato Plantaardig vorige maand]]</f>
        <v>35</v>
      </c>
      <c r="AC29" s="3">
        <f>Tabel24256[[#This Row],[Verbruik Stand Latte Macchiato Plantaardig deze maand]]+Tabel24256[[#This Row],[Verbruik  Cappucino Plantaardig deze maand]]+Tabel24256[[#This Row],[Verbruik Cappucino deze maand]]+Tabel24256[[#This Row],[Verbruik Hot Water deze maand]]+Tabel24256[[#This Row],[Verbruik Coffee Latte deze maand]]+Tabel24256[[#This Row],[Verbruik Latte Macchiato deze maand]]+Tabel24256[[#This Row],[Verbruik Espresso deze maand]]+Tabel24256[[#This Row],[Verbruik Coffee deze maand]]</f>
        <v>558</v>
      </c>
      <c r="AD29" s="11">
        <v>40.299999999999997</v>
      </c>
      <c r="AE29">
        <f>Tabel2425[[#This Row],[Stand Kamertemp liter einde maand]]</f>
        <v>34.299999999999997</v>
      </c>
      <c r="AF29">
        <f>Tabel24256[[#This Row],[Stand Kamertemp liter einde maand]]-Tabel24256[[#This Row],[Stand Kamertemp liter vorige maand]]</f>
        <v>6</v>
      </c>
      <c r="AG29" s="2">
        <f>Tabel24256[[#This Row],[Verbruik Kamertemp liter deze maand]]/0.15</f>
        <v>40</v>
      </c>
      <c r="AH29" s="11">
        <v>296.39999999999998</v>
      </c>
      <c r="AI29">
        <f>Tabel2425[[#This Row],[Stand Gekoeld liter einde maand]]</f>
        <v>219.5</v>
      </c>
      <c r="AJ29">
        <f>Tabel24256[[#This Row],[Stand Gekoeld liter einde maand]]-Tabel24256[[#This Row],[Stand Gekoeld liter vorige maand]]</f>
        <v>76.899999999999977</v>
      </c>
      <c r="AK29" s="2">
        <f>Tabel24256[[#This Row],[Verbruik Gekoeld liter deze maand]]/0.15</f>
        <v>512.66666666666652</v>
      </c>
      <c r="AL29" s="11">
        <v>450.1</v>
      </c>
      <c r="AM29">
        <f>Tabel2425[[#This Row],[Stand Bruisend liter einde maand]]</f>
        <v>362</v>
      </c>
      <c r="AN29">
        <f>Tabel24256[[#This Row],[Stand Bruisend liter einde maand]]-Tabel24256[[#This Row],[Stand Bruisend liter vorige maand]]</f>
        <v>88.100000000000023</v>
      </c>
      <c r="AO29" s="2">
        <f>Tabel24256[[#This Row],[Verbruik Bruisend liter deze maand]]/0.15</f>
        <v>587.33333333333348</v>
      </c>
      <c r="AP29" s="11">
        <v>347.4</v>
      </c>
      <c r="AQ29">
        <f>Tabel2425[[#This Row],[Stand licht bruisend liter einde maand]]</f>
        <v>288.10000000000002</v>
      </c>
      <c r="AR29">
        <f>Tabel24256[[#This Row],[Stand licht bruisend liter einde maand]]-Tabel24256[[#This Row],[Stand licht bruisend liter vorige maand]]</f>
        <v>59.299999999999955</v>
      </c>
      <c r="AS29" s="2">
        <f>Tabel24256[[#This Row],[Verbruik licht bruisend liter deze maand]]/0.15</f>
        <v>395.33333333333303</v>
      </c>
      <c r="AT29" s="11">
        <v>1513.2</v>
      </c>
      <c r="AU29">
        <f>Tabel2425[[#This Row],[Stand heet water liter einde maand]]</f>
        <v>1242.0999999999999</v>
      </c>
      <c r="AV29">
        <f>Tabel24256[[#This Row],[Stand heet water liter einde maand]]-Tabel24256[[#This Row],[Stand heet water liter vorige maand]]</f>
        <v>271.10000000000014</v>
      </c>
      <c r="AW29" s="20">
        <f>Tabel24256[[#This Row],[Verbruik heet Water liter deze maand ]]/0.15</f>
        <v>1807.3333333333344</v>
      </c>
      <c r="AX29" s="4">
        <f>Tabel24256[[#This Row],[Aantal consumpties heet water deze maand]]+Tabel24256[[#This Row],[Aantal consumpties licht bruisend water deze maand]]+Tabel24256[[#This Row],[aantal consumpties Bruisend water deze maand]]+Tabel24256[[#This Row],[Aantal consumpties gekoeld water deze maand]]+Tabel24256[[#This Row],[Aantal consumpties Kamertemp deze maand]]</f>
        <v>3342.6666666666674</v>
      </c>
      <c r="AY29" s="4">
        <f>Tabel24256[[#This Row],[Subtotaal waterbar in consumpties]]+Tabel24256[[#This Row],[Subtotaal koffieautomaten]]</f>
        <v>3900.6666666666674</v>
      </c>
    </row>
    <row r="30" spans="1:51" x14ac:dyDescent="0.25">
      <c r="A30" t="s">
        <v>43</v>
      </c>
      <c r="B30" t="s">
        <v>79</v>
      </c>
      <c r="C30" t="s">
        <v>31</v>
      </c>
      <c r="E30" s="25">
        <v>2148</v>
      </c>
      <c r="F30">
        <f>Tabel2425[[#This Row],[Stand Coffee einde maand]]</f>
        <v>1754</v>
      </c>
      <c r="G30" s="12">
        <f>Tabel24256[[#This Row],[Stand Coffee einde maand]]-Tabel24256[[#This Row],[Coffee vorige maand]]</f>
        <v>394</v>
      </c>
      <c r="H30" s="25">
        <v>755</v>
      </c>
      <c r="I30">
        <f>Tabel2425[[#This Row],[Stand Espresso Einde maand]]</f>
        <v>678</v>
      </c>
      <c r="J30" s="12">
        <f>Tabel24256[[#This Row],[Stand Espresso Einde maand]]-Tabel24256[[#This Row],[Espresso vorige maand]]</f>
        <v>77</v>
      </c>
      <c r="K30" s="25">
        <v>55</v>
      </c>
      <c r="L30">
        <f>Tabel2425[[#This Row],[Stand Latte Macchiato einde maand]]</f>
        <v>45</v>
      </c>
      <c r="M30">
        <f>Tabel24256[[#This Row],[Stand Latte Macchiato einde maand]]-Tabel24256[[#This Row],[Latte Macchiato vorige maand]]</f>
        <v>10</v>
      </c>
      <c r="N30" s="25">
        <v>26</v>
      </c>
      <c r="O30">
        <f>Tabel2425[[#This Row],[Stand Coffee Latte einde maand]]</f>
        <v>25</v>
      </c>
      <c r="P30">
        <f>Tabel24256[[#This Row],[Stand Coffee Latte einde maand]]-Tabel24256[[#This Row],[Coffee Latte vorige maand]]</f>
        <v>1</v>
      </c>
      <c r="Q30" s="25">
        <v>1834</v>
      </c>
      <c r="R30">
        <f>Tabel2425[[#This Row],[Stand Hot Water einde maand]]</f>
        <v>1593</v>
      </c>
      <c r="S30">
        <f>Tabel24256[[#This Row],[Stand Hot Water einde maand]]-Tabel24256[[#This Row],[Hot Water vorige maand]]</f>
        <v>241</v>
      </c>
      <c r="T30" s="25">
        <v>1044</v>
      </c>
      <c r="U30">
        <f>Tabel2425[[#This Row],[Stand Cappucino einde maand]]</f>
        <v>859</v>
      </c>
      <c r="V30">
        <f>Tabel24256[[#This Row],[Stand Cappucino einde maand]]-Tabel24256[[#This Row],[Stand Cappucino vorige maand]]</f>
        <v>185</v>
      </c>
      <c r="W30" s="25">
        <v>75</v>
      </c>
      <c r="X30">
        <f>Tabel2425[[#This Row],[Stand Cappucino Plantaardig einde maand]]</f>
        <v>63</v>
      </c>
      <c r="Y30">
        <f>Tabel24256[[#This Row],[Stand Cappucino Plantaardig einde maand]]-Tabel24256[[#This Row],[Stand Cappucino Plantaardig vorige maand]]</f>
        <v>12</v>
      </c>
      <c r="Z30" s="25">
        <v>12</v>
      </c>
      <c r="AA30">
        <f>Tabel2425[[#This Row],[Stand Latte Macchiato Plantaardig einde maand]]</f>
        <v>11</v>
      </c>
      <c r="AB30" s="12">
        <f>Tabel24256[[#This Row],[Stand Latte Macchiato Plantaardig einde maand]]-Tabel24256[[#This Row],[Stand Latte Macchiato Plantaardig vorige maand]]</f>
        <v>1</v>
      </c>
      <c r="AC30" s="3">
        <f>Tabel24256[[#This Row],[Verbruik Stand Latte Macchiato Plantaardig deze maand]]+Tabel24256[[#This Row],[Verbruik  Cappucino Plantaardig deze maand]]+Tabel24256[[#This Row],[Verbruik Cappucino deze maand]]+Tabel24256[[#This Row],[Verbruik Hot Water deze maand]]+Tabel24256[[#This Row],[Verbruik Coffee Latte deze maand]]+Tabel24256[[#This Row],[Verbruik Latte Macchiato deze maand]]+Tabel24256[[#This Row],[Verbruik Espresso deze maand]]+Tabel24256[[#This Row],[Verbruik Coffee deze maand]]</f>
        <v>921</v>
      </c>
      <c r="AD30" s="26"/>
      <c r="AE30" s="5"/>
      <c r="AF30" s="5"/>
      <c r="AG30" s="5"/>
      <c r="AH30" s="26"/>
      <c r="AI30" s="5"/>
      <c r="AJ30" s="5"/>
      <c r="AK30" s="7"/>
      <c r="AL30" s="26"/>
      <c r="AM30" s="5"/>
      <c r="AN30" s="5"/>
      <c r="AO30" s="7"/>
      <c r="AP30" s="26"/>
      <c r="AQ30" s="5"/>
      <c r="AR30" s="5"/>
      <c r="AS30" s="7"/>
      <c r="AT30" s="26"/>
      <c r="AU30" s="5">
        <f>Tabel242[[#This Row],[Stand heet water liter einde maand]]</f>
        <v>0</v>
      </c>
      <c r="AV30" s="5"/>
      <c r="AW30" s="21"/>
      <c r="AX30" s="8"/>
      <c r="AY30" s="4">
        <f>Tabel24256[[#This Row],[Subtotaal waterbar in consumpties]]+Tabel24256[[#This Row],[Subtotaal koffieautomaten]]</f>
        <v>921</v>
      </c>
    </row>
    <row r="31" spans="1:51" x14ac:dyDescent="0.25">
      <c r="A31" t="s">
        <v>45</v>
      </c>
      <c r="B31" t="s">
        <v>80</v>
      </c>
      <c r="C31" t="s">
        <v>36</v>
      </c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25">
        <v>27</v>
      </c>
      <c r="AE31">
        <f>Tabel2425[[#This Row],[Stand Kamertemp liter einde maand]]</f>
        <v>17.7</v>
      </c>
      <c r="AF31">
        <f>Tabel24256[[#This Row],[Stand Kamertemp liter einde maand]]-Tabel24256[[#This Row],[Stand Kamertemp liter vorige maand]]</f>
        <v>9.3000000000000007</v>
      </c>
      <c r="AG31" s="2">
        <f>Tabel24256[[#This Row],[Verbruik Kamertemp liter deze maand]]/0.15</f>
        <v>62.000000000000007</v>
      </c>
      <c r="AH31" s="25">
        <v>133.9</v>
      </c>
      <c r="AI31">
        <f>Tabel2425[[#This Row],[Stand Gekoeld liter einde maand]]</f>
        <v>80</v>
      </c>
      <c r="AJ31">
        <f>Tabel24256[[#This Row],[Stand Gekoeld liter einde maand]]-Tabel24256[[#This Row],[Stand Gekoeld liter vorige maand]]</f>
        <v>53.900000000000006</v>
      </c>
      <c r="AK31" s="2">
        <f>Tabel24256[[#This Row],[Verbruik Gekoeld liter deze maand]]/0.15</f>
        <v>359.33333333333337</v>
      </c>
      <c r="AL31" s="25">
        <v>193.4</v>
      </c>
      <c r="AM31">
        <f>Tabel2425[[#This Row],[Stand Bruisend liter einde maand]]</f>
        <v>124.5</v>
      </c>
      <c r="AN31">
        <f>Tabel24256[[#This Row],[Stand Bruisend liter einde maand]]-Tabel24256[[#This Row],[Stand Bruisend liter vorige maand]]</f>
        <v>68.900000000000006</v>
      </c>
      <c r="AO31" s="2">
        <f>Tabel24256[[#This Row],[Verbruik Bruisend liter deze maand]]/0.15</f>
        <v>459.33333333333337</v>
      </c>
      <c r="AP31" s="25">
        <v>133.30000000000001</v>
      </c>
      <c r="AQ31">
        <f>Tabel2425[[#This Row],[Stand licht bruisend liter einde maand]]</f>
        <v>89</v>
      </c>
      <c r="AR31">
        <f>Tabel24256[[#This Row],[Stand licht bruisend liter einde maand]]-Tabel24256[[#This Row],[Stand licht bruisend liter vorige maand]]</f>
        <v>44.300000000000011</v>
      </c>
      <c r="AS31" s="2">
        <f>Tabel24256[[#This Row],[Verbruik licht bruisend liter deze maand]]/0.15</f>
        <v>295.33333333333343</v>
      </c>
      <c r="AT31" s="25">
        <v>735.7</v>
      </c>
      <c r="AU31">
        <f>Tabel2425[[#This Row],[Stand heet water liter einde maand]]</f>
        <v>482</v>
      </c>
      <c r="AV31">
        <f>Tabel24256[[#This Row],[Stand heet water liter einde maand]]-Tabel24256[[#This Row],[Stand heet water liter vorige maand]]</f>
        <v>253.70000000000005</v>
      </c>
      <c r="AW31" s="20">
        <f>Tabel24256[[#This Row],[Verbruik heet Water liter deze maand ]]/0.15</f>
        <v>1691.3333333333337</v>
      </c>
      <c r="AX31" s="4">
        <f>Tabel24256[[#This Row],[Aantal consumpties heet water deze maand]]+Tabel24256[[#This Row],[Aantal consumpties licht bruisend water deze maand]]+Tabel24256[[#This Row],[aantal consumpties Bruisend water deze maand]]+Tabel24256[[#This Row],[Aantal consumpties gekoeld water deze maand]]+Tabel24256[[#This Row],[Aantal consumpties Kamertemp deze maand]]</f>
        <v>2867.3333333333339</v>
      </c>
      <c r="AY31" s="4">
        <f>Tabel24256[[#This Row],[Subtotaal waterbar in consumpties]]+Tabel24256[[#This Row],[Subtotaal koffieautomaten]]</f>
        <v>2867.3333333333339</v>
      </c>
    </row>
    <row r="32" spans="1:51" x14ac:dyDescent="0.25">
      <c r="A32" t="s">
        <v>48</v>
      </c>
      <c r="B32" t="s">
        <v>81</v>
      </c>
      <c r="C32" t="s">
        <v>31</v>
      </c>
      <c r="E32" s="25">
        <v>1831</v>
      </c>
      <c r="F32">
        <f>Tabel2425[[#This Row],[Stand Coffee einde maand]]</f>
        <v>1473</v>
      </c>
      <c r="G32" s="12">
        <f>Tabel24256[[#This Row],[Stand Coffee einde maand]]-Tabel24256[[#This Row],[Coffee vorige maand]]</f>
        <v>358</v>
      </c>
      <c r="H32" s="25">
        <v>168</v>
      </c>
      <c r="I32">
        <f>Tabel2425[[#This Row],[Stand Espresso Einde maand]]</f>
        <v>150</v>
      </c>
      <c r="J32" s="12">
        <f>Tabel24256[[#This Row],[Stand Espresso Einde maand]]-Tabel24256[[#This Row],[Espresso vorige maand]]</f>
        <v>18</v>
      </c>
      <c r="K32" s="25">
        <v>98</v>
      </c>
      <c r="L32">
        <f>Tabel2425[[#This Row],[Stand Latte Macchiato einde maand]]</f>
        <v>65</v>
      </c>
      <c r="M32">
        <f>Tabel24256[[#This Row],[Stand Latte Macchiato einde maand]]-Tabel24256[[#This Row],[Latte Macchiato vorige maand]]</f>
        <v>33</v>
      </c>
      <c r="N32" s="25">
        <v>55</v>
      </c>
      <c r="O32">
        <f>Tabel2425[[#This Row],[Stand Coffee Latte einde maand]]</f>
        <v>53</v>
      </c>
      <c r="P32">
        <f>Tabel24256[[#This Row],[Stand Coffee Latte einde maand]]-Tabel24256[[#This Row],[Coffee Latte vorige maand]]</f>
        <v>2</v>
      </c>
      <c r="Q32" s="25">
        <v>3721</v>
      </c>
      <c r="R32">
        <f>Tabel2425[[#This Row],[Stand Hot Water einde maand]]</f>
        <v>2991</v>
      </c>
      <c r="S32">
        <f>Tabel24256[[#This Row],[Stand Hot Water einde maand]]-Tabel24256[[#This Row],[Hot Water vorige maand]]</f>
        <v>730</v>
      </c>
      <c r="T32" s="25">
        <v>712</v>
      </c>
      <c r="U32">
        <f>Tabel2425[[#This Row],[Stand Cappucino einde maand]]</f>
        <v>594</v>
      </c>
      <c r="V32">
        <f>Tabel24256[[#This Row],[Stand Cappucino einde maand]]-Tabel24256[[#This Row],[Stand Cappucino vorige maand]]</f>
        <v>118</v>
      </c>
      <c r="W32" s="25">
        <v>59</v>
      </c>
      <c r="X32">
        <f>Tabel2425[[#This Row],[Stand Cappucino Plantaardig einde maand]]</f>
        <v>52</v>
      </c>
      <c r="Y32">
        <f>Tabel24256[[#This Row],[Stand Cappucino Plantaardig einde maand]]-Tabel24256[[#This Row],[Stand Cappucino Plantaardig vorige maand]]</f>
        <v>7</v>
      </c>
      <c r="Z32" s="25">
        <v>9</v>
      </c>
      <c r="AA32">
        <f>Tabel2425[[#This Row],[Stand Latte Macchiato Plantaardig einde maand]]</f>
        <v>8</v>
      </c>
      <c r="AB32" s="12">
        <f>Tabel24256[[#This Row],[Stand Latte Macchiato Plantaardig einde maand]]-Tabel24256[[#This Row],[Stand Latte Macchiato Plantaardig vorige maand]]</f>
        <v>1</v>
      </c>
      <c r="AC32" s="3">
        <f>Tabel24256[[#This Row],[Verbruik Stand Latte Macchiato Plantaardig deze maand]]+Tabel24256[[#This Row],[Verbruik  Cappucino Plantaardig deze maand]]+Tabel24256[[#This Row],[Verbruik Cappucino deze maand]]+Tabel24256[[#This Row],[Verbruik Hot Water deze maand]]+Tabel24256[[#This Row],[Verbruik Coffee Latte deze maand]]+Tabel24256[[#This Row],[Verbruik Latte Macchiato deze maand]]+Tabel24256[[#This Row],[Verbruik Espresso deze maand]]+Tabel24256[[#This Row],[Verbruik Coffee deze maand]]</f>
        <v>1267</v>
      </c>
      <c r="AD32" s="26"/>
      <c r="AE32" s="5"/>
      <c r="AF32" s="5"/>
      <c r="AG32" s="5"/>
      <c r="AH32" s="26"/>
      <c r="AI32" s="5"/>
      <c r="AJ32" s="5"/>
      <c r="AK32" s="7"/>
      <c r="AL32" s="26"/>
      <c r="AM32" s="5"/>
      <c r="AN32" s="5"/>
      <c r="AO32" s="7"/>
      <c r="AP32" s="26"/>
      <c r="AQ32" s="5"/>
      <c r="AR32" s="5"/>
      <c r="AS32" s="7"/>
      <c r="AT32" s="26"/>
      <c r="AU32" s="5"/>
      <c r="AV32" s="5"/>
      <c r="AW32" s="21"/>
      <c r="AX32" s="8"/>
      <c r="AY32" s="4">
        <f>Tabel24256[[#This Row],[Subtotaal waterbar in consumpties]]+Tabel24256[[#This Row],[Subtotaal koffieautomaten]]</f>
        <v>1267</v>
      </c>
    </row>
    <row r="33" spans="1:51" ht="15" customHeight="1" x14ac:dyDescent="0.25">
      <c r="A33" t="s">
        <v>50</v>
      </c>
      <c r="B33" t="s">
        <v>82</v>
      </c>
      <c r="C33" t="s">
        <v>47</v>
      </c>
      <c r="E33" s="11">
        <v>1210</v>
      </c>
      <c r="F33">
        <f>Tabel2425[[#This Row],[Stand Coffee einde maand]]</f>
        <v>978</v>
      </c>
      <c r="G33" s="12">
        <f>Tabel24256[[#This Row],[Stand Coffee einde maand]]-Tabel24256[[#This Row],[Coffee vorige maand]]</f>
        <v>232</v>
      </c>
      <c r="H33" s="11">
        <v>120</v>
      </c>
      <c r="I33">
        <f>Tabel2425[[#This Row],[Stand Espresso Einde maand]]</f>
        <v>101</v>
      </c>
      <c r="J33" s="12">
        <f>Tabel24256[[#This Row],[Stand Espresso Einde maand]]-Tabel24256[[#This Row],[Espresso vorige maand]]</f>
        <v>19</v>
      </c>
      <c r="K33" s="11">
        <v>288</v>
      </c>
      <c r="L33">
        <f>Tabel2425[[#This Row],[Stand Latte Macchiato einde maand]]</f>
        <v>230</v>
      </c>
      <c r="M33">
        <f>Tabel24256[[#This Row],[Stand Latte Macchiato einde maand]]-Tabel24256[[#This Row],[Latte Macchiato vorige maand]]</f>
        <v>58</v>
      </c>
      <c r="N33" s="11">
        <v>156</v>
      </c>
      <c r="O33">
        <f>Tabel2425[[#This Row],[Stand Coffee Latte einde maand]]</f>
        <v>123</v>
      </c>
      <c r="P33">
        <f>Tabel24256[[#This Row],[Stand Coffee Latte einde maand]]-Tabel24256[[#This Row],[Coffee Latte vorige maand]]</f>
        <v>33</v>
      </c>
      <c r="Q33" s="11">
        <v>1</v>
      </c>
      <c r="R33">
        <f>Tabel2425[[#This Row],[Stand Hot Water einde maand]]</f>
        <v>1</v>
      </c>
      <c r="S33">
        <f>Tabel24256[[#This Row],[Stand Hot Water einde maand]]-Tabel24256[[#This Row],[Hot Water vorige maand]]</f>
        <v>0</v>
      </c>
      <c r="T33" s="11">
        <v>754</v>
      </c>
      <c r="U33">
        <f>Tabel2425[[#This Row],[Stand Cappucino einde maand]]</f>
        <v>620</v>
      </c>
      <c r="V33">
        <f>Tabel24256[[#This Row],[Stand Cappucino einde maand]]-Tabel24256[[#This Row],[Stand Cappucino vorige maand]]</f>
        <v>134</v>
      </c>
      <c r="W33" s="11">
        <v>111</v>
      </c>
      <c r="X33">
        <f>Tabel2425[[#This Row],[Stand Cappucino Plantaardig einde maand]]</f>
        <v>101</v>
      </c>
      <c r="Y33">
        <f>Tabel24256[[#This Row],[Stand Cappucino Plantaardig einde maand]]-Tabel24256[[#This Row],[Stand Cappucino Plantaardig vorige maand]]</f>
        <v>10</v>
      </c>
      <c r="Z33" s="11">
        <v>18</v>
      </c>
      <c r="AA33">
        <f>Tabel2425[[#This Row],[Stand Latte Macchiato Plantaardig einde maand]]</f>
        <v>14</v>
      </c>
      <c r="AB33" s="12">
        <f>Tabel24256[[#This Row],[Stand Latte Macchiato Plantaardig einde maand]]-Tabel24256[[#This Row],[Stand Latte Macchiato Plantaardig vorige maand]]</f>
        <v>4</v>
      </c>
      <c r="AC33" s="3">
        <f>Tabel24256[[#This Row],[Verbruik Stand Latte Macchiato Plantaardig deze maand]]+Tabel24256[[#This Row],[Verbruik  Cappucino Plantaardig deze maand]]+Tabel24256[[#This Row],[Verbruik Cappucino deze maand]]+Tabel24256[[#This Row],[Verbruik Hot Water deze maand]]+Tabel24256[[#This Row],[Verbruik Coffee Latte deze maand]]+Tabel24256[[#This Row],[Verbruik Latte Macchiato deze maand]]+Tabel24256[[#This Row],[Verbruik Espresso deze maand]]+Tabel24256[[#This Row],[Verbruik Coffee deze maand]]</f>
        <v>490</v>
      </c>
      <c r="AD33" s="25">
        <v>32.4</v>
      </c>
      <c r="AE33">
        <f>Tabel2425[[#This Row],[Stand Kamertemp liter einde maand]]</f>
        <v>24.1</v>
      </c>
      <c r="AF33">
        <f>Tabel24256[[#This Row],[Stand Kamertemp liter einde maand]]-Tabel24256[[#This Row],[Stand Kamertemp liter vorige maand]]</f>
        <v>8.2999999999999972</v>
      </c>
      <c r="AG33" s="2">
        <f>Tabel24256[[#This Row],[Verbruik Kamertemp liter deze maand]]/0.15</f>
        <v>55.333333333333314</v>
      </c>
      <c r="AH33" s="25">
        <v>142.19999999999999</v>
      </c>
      <c r="AI33">
        <f>Tabel2425[[#This Row],[Stand Gekoeld liter einde maand]]</f>
        <v>116.3</v>
      </c>
      <c r="AJ33">
        <f>Tabel24256[[#This Row],[Stand Gekoeld liter einde maand]]-Tabel24256[[#This Row],[Stand Gekoeld liter vorige maand]]</f>
        <v>25.899999999999991</v>
      </c>
      <c r="AK33" s="2">
        <f>Tabel24256[[#This Row],[Verbruik Gekoeld liter deze maand]]/0.15</f>
        <v>172.66666666666663</v>
      </c>
      <c r="AL33" s="25">
        <v>208.9</v>
      </c>
      <c r="AM33">
        <f>Tabel2425[[#This Row],[Stand Bruisend liter einde maand]]</f>
        <v>153</v>
      </c>
      <c r="AN33">
        <f>Tabel24256[[#This Row],[Stand Bruisend liter einde maand]]-Tabel24256[[#This Row],[Stand Bruisend liter vorige maand]]</f>
        <v>55.900000000000006</v>
      </c>
      <c r="AO33" s="2">
        <f>Tabel24256[[#This Row],[Verbruik Bruisend liter deze maand]]/0.15</f>
        <v>372.66666666666674</v>
      </c>
      <c r="AP33" s="25">
        <v>44.6</v>
      </c>
      <c r="AQ33">
        <f>Tabel2425[[#This Row],[Stand licht bruisend liter einde maand]]</f>
        <v>34.700000000000003</v>
      </c>
      <c r="AR33">
        <f>Tabel24256[[#This Row],[Stand licht bruisend liter einde maand]]-Tabel24256[[#This Row],[Stand licht bruisend liter vorige maand]]</f>
        <v>9.8999999999999986</v>
      </c>
      <c r="AS33" s="2">
        <f>Tabel24256[[#This Row],[Verbruik licht bruisend liter deze maand]]/0.15</f>
        <v>66</v>
      </c>
      <c r="AT33" s="25">
        <v>630.9</v>
      </c>
      <c r="AU33">
        <f>Tabel2425[[#This Row],[Stand heet water liter einde maand]]</f>
        <v>511.6</v>
      </c>
      <c r="AV33">
        <f>Tabel24256[[#This Row],[Stand heet water liter einde maand]]-Tabel24256[[#This Row],[Stand heet water liter vorige maand]]</f>
        <v>119.29999999999995</v>
      </c>
      <c r="AW33" s="20">
        <f>Tabel24256[[#This Row],[Verbruik heet Water liter deze maand ]]/0.15</f>
        <v>795.33333333333303</v>
      </c>
      <c r="AX33" s="4">
        <f>Tabel24256[[#This Row],[Aantal consumpties heet water deze maand]]+Tabel24256[[#This Row],[Aantal consumpties licht bruisend water deze maand]]+Tabel24256[[#This Row],[aantal consumpties Bruisend water deze maand]]+Tabel24256[[#This Row],[Aantal consumpties gekoeld water deze maand]]+Tabel24256[[#This Row],[Aantal consumpties Kamertemp deze maand]]</f>
        <v>1461.9999999999998</v>
      </c>
      <c r="AY33" s="4">
        <f>Tabel24256[[#This Row],[Subtotaal waterbar in consumpties]]+Tabel24256[[#This Row],[Subtotaal koffieautomaten]]</f>
        <v>1951.9999999999998</v>
      </c>
    </row>
    <row r="34" spans="1:51" x14ac:dyDescent="0.25">
      <c r="A34" t="s">
        <v>52</v>
      </c>
      <c r="B34" t="s">
        <v>83</v>
      </c>
      <c r="C34" t="s">
        <v>47</v>
      </c>
      <c r="E34" s="25">
        <v>1492</v>
      </c>
      <c r="F34">
        <f>Tabel2425[[#This Row],[Stand Coffee einde maand]]</f>
        <v>1221</v>
      </c>
      <c r="G34" s="12">
        <f>Tabel24256[[#This Row],[Stand Coffee einde maand]]-Tabel24256[[#This Row],[Coffee vorige maand]]</f>
        <v>271</v>
      </c>
      <c r="H34" s="25">
        <v>438</v>
      </c>
      <c r="I34">
        <f>Tabel2425[[#This Row],[Stand Espresso Einde maand]]</f>
        <v>335</v>
      </c>
      <c r="J34" s="12">
        <f>Tabel24256[[#This Row],[Stand Espresso Einde maand]]-Tabel24256[[#This Row],[Espresso vorige maand]]</f>
        <v>103</v>
      </c>
      <c r="K34" s="25">
        <v>232</v>
      </c>
      <c r="L34">
        <f>Tabel2425[[#This Row],[Stand Latte Macchiato einde maand]]</f>
        <v>185</v>
      </c>
      <c r="M34">
        <f>Tabel24256[[#This Row],[Stand Latte Macchiato einde maand]]-Tabel24256[[#This Row],[Latte Macchiato vorige maand]]</f>
        <v>47</v>
      </c>
      <c r="N34" s="25">
        <v>98</v>
      </c>
      <c r="O34">
        <f>Tabel2425[[#This Row],[Stand Coffee Latte einde maand]]</f>
        <v>74</v>
      </c>
      <c r="P34">
        <f>Tabel24256[[#This Row],[Stand Coffee Latte einde maand]]-Tabel24256[[#This Row],[Coffee Latte vorige maand]]</f>
        <v>24</v>
      </c>
      <c r="Q34" s="25">
        <v>1</v>
      </c>
      <c r="R34">
        <f>Tabel2425[[#This Row],[Stand Hot Water einde maand]]</f>
        <v>1</v>
      </c>
      <c r="S34">
        <f>Tabel24256[[#This Row],[Stand Hot Water einde maand]]-Tabel24256[[#This Row],[Hot Water vorige maand]]</f>
        <v>0</v>
      </c>
      <c r="T34" s="25">
        <v>541</v>
      </c>
      <c r="U34">
        <f>Tabel2425[[#This Row],[Stand Cappucino einde maand]]</f>
        <v>421</v>
      </c>
      <c r="V34">
        <f>Tabel24256[[#This Row],[Stand Cappucino einde maand]]-Tabel24256[[#This Row],[Stand Cappucino vorige maand]]</f>
        <v>120</v>
      </c>
      <c r="W34" s="25">
        <v>211</v>
      </c>
      <c r="X34">
        <f>Tabel2425[[#This Row],[Stand Cappucino Plantaardig einde maand]]</f>
        <v>176</v>
      </c>
      <c r="Y34">
        <f>Tabel24256[[#This Row],[Stand Cappucino Plantaardig einde maand]]-Tabel24256[[#This Row],[Stand Cappucino Plantaardig vorige maand]]</f>
        <v>35</v>
      </c>
      <c r="Z34" s="25">
        <v>233</v>
      </c>
      <c r="AA34">
        <f>Tabel2425[[#This Row],[Stand Latte Macchiato Plantaardig einde maand]]</f>
        <v>198</v>
      </c>
      <c r="AB34" s="12">
        <f>Tabel24256[[#This Row],[Stand Latte Macchiato Plantaardig einde maand]]-Tabel24256[[#This Row],[Stand Latte Macchiato Plantaardig vorige maand]]</f>
        <v>35</v>
      </c>
      <c r="AC34" s="3">
        <f>Tabel24256[[#This Row],[Verbruik Stand Latte Macchiato Plantaardig deze maand]]+Tabel24256[[#This Row],[Verbruik  Cappucino Plantaardig deze maand]]+Tabel24256[[#This Row],[Verbruik Cappucino deze maand]]+Tabel24256[[#This Row],[Verbruik Hot Water deze maand]]+Tabel24256[[#This Row],[Verbruik Coffee Latte deze maand]]+Tabel24256[[#This Row],[Verbruik Latte Macchiato deze maand]]+Tabel24256[[#This Row],[Verbruik Espresso deze maand]]+Tabel24256[[#This Row],[Verbruik Coffee deze maand]]</f>
        <v>635</v>
      </c>
      <c r="AD34" s="25">
        <v>34.200000000000003</v>
      </c>
      <c r="AE34">
        <f>Tabel2425[[#This Row],[Stand Kamertemp liter einde maand]]</f>
        <v>26</v>
      </c>
      <c r="AF34">
        <f>Tabel24256[[#This Row],[Stand Kamertemp liter einde maand]]-Tabel24256[[#This Row],[Stand Kamertemp liter vorige maand]]</f>
        <v>8.2000000000000028</v>
      </c>
      <c r="AG34" s="2">
        <f>Tabel24256[[#This Row],[Verbruik Kamertemp liter deze maand]]/0.15</f>
        <v>54.666666666666686</v>
      </c>
      <c r="AH34" s="25">
        <v>177.3</v>
      </c>
      <c r="AI34">
        <f>Tabel2425[[#This Row],[Stand Gekoeld liter einde maand]]</f>
        <v>135.5</v>
      </c>
      <c r="AJ34">
        <f>Tabel24256[[#This Row],[Stand Gekoeld liter einde maand]]-Tabel24256[[#This Row],[Stand Gekoeld liter vorige maand]]</f>
        <v>41.800000000000011</v>
      </c>
      <c r="AK34" s="2">
        <f>Tabel24256[[#This Row],[Verbruik Gekoeld liter deze maand]]/0.15</f>
        <v>278.66666666666674</v>
      </c>
      <c r="AL34" s="25">
        <v>134.6</v>
      </c>
      <c r="AM34">
        <f>Tabel2425[[#This Row],[Stand Bruisend liter einde maand]]</f>
        <v>108.9</v>
      </c>
      <c r="AN34">
        <f>Tabel24256[[#This Row],[Stand Bruisend liter einde maand]]-Tabel24256[[#This Row],[Stand Bruisend liter vorige maand]]</f>
        <v>25.699999999999989</v>
      </c>
      <c r="AO34" s="2">
        <f>Tabel24256[[#This Row],[Verbruik Bruisend liter deze maand]]/0.15</f>
        <v>171.33333333333326</v>
      </c>
      <c r="AP34" s="25">
        <v>65.7</v>
      </c>
      <c r="AQ34">
        <f>Tabel2425[[#This Row],[Stand licht bruisend liter einde maand]]</f>
        <v>51.9</v>
      </c>
      <c r="AR34">
        <f>Tabel24256[[#This Row],[Stand licht bruisend liter einde maand]]-Tabel24256[[#This Row],[Stand licht bruisend liter vorige maand]]</f>
        <v>13.800000000000004</v>
      </c>
      <c r="AS34" s="2">
        <f>Tabel24256[[#This Row],[Verbruik licht bruisend liter deze maand]]/0.15</f>
        <v>92.000000000000028</v>
      </c>
      <c r="AT34" s="25">
        <v>1165.2</v>
      </c>
      <c r="AU34">
        <f>Tabel2425[[#This Row],[Stand heet water liter einde maand]]</f>
        <v>947.8</v>
      </c>
      <c r="AV34">
        <f>Tabel24256[[#This Row],[Stand heet water liter einde maand]]-Tabel24256[[#This Row],[Stand heet water liter vorige maand]]</f>
        <v>217.40000000000009</v>
      </c>
      <c r="AW34" s="20">
        <f>Tabel24256[[#This Row],[Verbruik heet Water liter deze maand ]]/0.15</f>
        <v>1449.3333333333339</v>
      </c>
      <c r="AX34" s="4">
        <f>Tabel24256[[#This Row],[Aantal consumpties heet water deze maand]]+Tabel24256[[#This Row],[Aantal consumpties licht bruisend water deze maand]]+Tabel24256[[#This Row],[aantal consumpties Bruisend water deze maand]]+Tabel24256[[#This Row],[Aantal consumpties gekoeld water deze maand]]+Tabel24256[[#This Row],[Aantal consumpties Kamertemp deze maand]]</f>
        <v>2046.0000000000007</v>
      </c>
      <c r="AY34" s="4">
        <f>Tabel24256[[#This Row],[Subtotaal waterbar in consumpties]]+Tabel24256[[#This Row],[Subtotaal koffieautomaten]]</f>
        <v>2681.0000000000009</v>
      </c>
    </row>
    <row r="35" spans="1:51" x14ac:dyDescent="0.25">
      <c r="A35" t="s">
        <v>54</v>
      </c>
      <c r="B35" t="s">
        <v>84</v>
      </c>
      <c r="C35" t="s">
        <v>31</v>
      </c>
      <c r="E35" s="25">
        <v>1678</v>
      </c>
      <c r="F35">
        <f>Tabel2425[[#This Row],[Stand Coffee einde maand]]</f>
        <v>1356</v>
      </c>
      <c r="G35" s="12">
        <f>Tabel24256[[#This Row],[Stand Coffee einde maand]]-Tabel24256[[#This Row],[Coffee vorige maand]]</f>
        <v>322</v>
      </c>
      <c r="H35" s="25">
        <v>298</v>
      </c>
      <c r="I35">
        <f>Tabel2425[[#This Row],[Stand Espresso Einde maand]]</f>
        <v>222</v>
      </c>
      <c r="J35" s="12">
        <f>Tabel24256[[#This Row],[Stand Espresso Einde maand]]-Tabel24256[[#This Row],[Espresso vorige maand]]</f>
        <v>76</v>
      </c>
      <c r="K35" s="25">
        <v>226</v>
      </c>
      <c r="L35">
        <f>Tabel2425[[#This Row],[Stand Latte Macchiato einde maand]]</f>
        <v>190</v>
      </c>
      <c r="M35">
        <f>Tabel24256[[#This Row],[Stand Latte Macchiato einde maand]]-Tabel24256[[#This Row],[Latte Macchiato vorige maand]]</f>
        <v>36</v>
      </c>
      <c r="N35" s="25">
        <v>66</v>
      </c>
      <c r="O35">
        <f>Tabel2425[[#This Row],[Stand Coffee Latte einde maand]]</f>
        <v>53</v>
      </c>
      <c r="P35">
        <f>Tabel24256[[#This Row],[Stand Coffee Latte einde maand]]-Tabel24256[[#This Row],[Coffee Latte vorige maand]]</f>
        <v>13</v>
      </c>
      <c r="Q35" s="25">
        <v>2410</v>
      </c>
      <c r="R35">
        <f>Tabel2425[[#This Row],[Stand Hot Water einde maand]]</f>
        <v>1855</v>
      </c>
      <c r="S35">
        <f>Tabel24256[[#This Row],[Stand Hot Water einde maand]]-Tabel24256[[#This Row],[Hot Water vorige maand]]</f>
        <v>555</v>
      </c>
      <c r="T35" s="25">
        <v>644</v>
      </c>
      <c r="U35">
        <f>Tabel2425[[#This Row],[Stand Cappucino einde maand]]</f>
        <v>535</v>
      </c>
      <c r="V35">
        <f>Tabel24256[[#This Row],[Stand Cappucino einde maand]]-Tabel24256[[#This Row],[Stand Cappucino vorige maand]]</f>
        <v>109</v>
      </c>
      <c r="W35" s="25">
        <v>79</v>
      </c>
      <c r="X35">
        <f>Tabel2425[[#This Row],[Stand Cappucino Plantaardig einde maand]]</f>
        <v>58</v>
      </c>
      <c r="Y35">
        <f>Tabel24256[[#This Row],[Stand Cappucino Plantaardig einde maand]]-Tabel24256[[#This Row],[Stand Cappucino Plantaardig vorige maand]]</f>
        <v>21</v>
      </c>
      <c r="Z35" s="25">
        <v>137</v>
      </c>
      <c r="AA35">
        <f>Tabel2425[[#This Row],[Stand Latte Macchiato Plantaardig einde maand]]</f>
        <v>115</v>
      </c>
      <c r="AB35" s="12">
        <f>Tabel24256[[#This Row],[Stand Latte Macchiato Plantaardig einde maand]]-Tabel24256[[#This Row],[Stand Latte Macchiato Plantaardig vorige maand]]</f>
        <v>22</v>
      </c>
      <c r="AC35" s="3">
        <f>Tabel24256[[#This Row],[Verbruik Stand Latte Macchiato Plantaardig deze maand]]+Tabel24256[[#This Row],[Verbruik  Cappucino Plantaardig deze maand]]+Tabel24256[[#This Row],[Verbruik Cappucino deze maand]]+Tabel24256[[#This Row],[Verbruik Hot Water deze maand]]+Tabel24256[[#This Row],[Verbruik Coffee Latte deze maand]]+Tabel24256[[#This Row],[Verbruik Latte Macchiato deze maand]]+Tabel24256[[#This Row],[Verbruik Espresso deze maand]]+Tabel24256[[#This Row],[Verbruik Coffee deze maand]]</f>
        <v>1154</v>
      </c>
      <c r="AD35" s="26"/>
      <c r="AE35" s="5"/>
      <c r="AF35" s="5"/>
      <c r="AG35" s="5"/>
      <c r="AH35" s="26"/>
      <c r="AI35" s="5"/>
      <c r="AJ35" s="5"/>
      <c r="AK35" s="5"/>
      <c r="AL35" s="26"/>
      <c r="AM35" s="5"/>
      <c r="AN35" s="5"/>
      <c r="AO35" s="7"/>
      <c r="AP35" s="26"/>
      <c r="AQ35" s="5"/>
      <c r="AR35" s="5"/>
      <c r="AS35" s="7"/>
      <c r="AT35" s="26"/>
      <c r="AU35" s="5"/>
      <c r="AV35" s="5"/>
      <c r="AW35" s="21"/>
      <c r="AX35" s="8"/>
      <c r="AY35" s="4">
        <f>Tabel24256[[#This Row],[Subtotaal waterbar in consumpties]]+Tabel24256[[#This Row],[Subtotaal koffieautomaten]]</f>
        <v>1154</v>
      </c>
    </row>
    <row r="36" spans="1:51" x14ac:dyDescent="0.25">
      <c r="A36" t="s">
        <v>56</v>
      </c>
      <c r="B36" t="s">
        <v>85</v>
      </c>
      <c r="C36" t="s">
        <v>36</v>
      </c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25">
        <v>20.9</v>
      </c>
      <c r="AE36">
        <f>Tabel2425[[#This Row],[Stand Kamertemp liter einde maand]]</f>
        <v>13.4</v>
      </c>
      <c r="AF36">
        <f>Tabel24256[[#This Row],[Stand Kamertemp liter einde maand]]-Tabel24256[[#This Row],[Stand Kamertemp liter vorige maand]]</f>
        <v>7.4999999999999982</v>
      </c>
      <c r="AG36" s="2">
        <f>Tabel24256[[#This Row],[Verbruik Kamertemp liter deze maand]]/0.15</f>
        <v>49.999999999999993</v>
      </c>
      <c r="AH36" s="25">
        <v>264.8</v>
      </c>
      <c r="AI36">
        <f>Tabel2425[[#This Row],[Stand Gekoeld liter einde maand]]</f>
        <v>200.7</v>
      </c>
      <c r="AJ36">
        <f>Tabel24256[[#This Row],[Stand Gekoeld liter einde maand]]-Tabel24256[[#This Row],[Stand Gekoeld liter vorige maand]]</f>
        <v>64.100000000000023</v>
      </c>
      <c r="AK36" s="2">
        <f>Tabel24256[[#This Row],[Verbruik Gekoeld liter deze maand]]/0.15</f>
        <v>427.33333333333348</v>
      </c>
      <c r="AL36" s="25">
        <v>99.1</v>
      </c>
      <c r="AM36">
        <f>Tabel2425[[#This Row],[Stand Bruisend liter einde maand]]</f>
        <v>73</v>
      </c>
      <c r="AN36">
        <f>Tabel24256[[#This Row],[Stand Bruisend liter einde maand]]-Tabel24256[[#This Row],[Stand Bruisend liter vorige maand]]</f>
        <v>26.099999999999994</v>
      </c>
      <c r="AO36" s="2">
        <f>Tabel24256[[#This Row],[Verbruik Bruisend liter deze maand]]/0.15</f>
        <v>173.99999999999997</v>
      </c>
      <c r="AP36" s="25">
        <v>105.8</v>
      </c>
      <c r="AQ36">
        <f>Tabel2425[[#This Row],[Stand licht bruisend liter einde maand]]</f>
        <v>81.7</v>
      </c>
      <c r="AR36">
        <f>Tabel24256[[#This Row],[Stand licht bruisend liter einde maand]]-Tabel24256[[#This Row],[Stand licht bruisend liter vorige maand]]</f>
        <v>24.099999999999994</v>
      </c>
      <c r="AS36" s="2">
        <f>Tabel24256[[#This Row],[Verbruik licht bruisend liter deze maand]]/0.15</f>
        <v>160.66666666666663</v>
      </c>
      <c r="AT36" s="25">
        <v>939.8</v>
      </c>
      <c r="AU36">
        <f>Tabel2425[[#This Row],[Stand heet water liter einde maand]]</f>
        <v>748.8</v>
      </c>
      <c r="AV36">
        <f>Tabel24256[[#This Row],[Stand heet water liter einde maand]]-Tabel24256[[#This Row],[Stand heet water liter vorige maand]]</f>
        <v>191</v>
      </c>
      <c r="AW36" s="20">
        <f>Tabel24256[[#This Row],[Verbruik heet Water liter deze maand ]]/0.15</f>
        <v>1273.3333333333335</v>
      </c>
      <c r="AX36" s="4">
        <f>Tabel24256[[#This Row],[Aantal consumpties heet water deze maand]]+Tabel24256[[#This Row],[Aantal consumpties licht bruisend water deze maand]]+Tabel24256[[#This Row],[aantal consumpties Bruisend water deze maand]]+Tabel24256[[#This Row],[Aantal consumpties gekoeld water deze maand]]+Tabel24256[[#This Row],[Aantal consumpties Kamertemp deze maand]]</f>
        <v>2085.3333333333335</v>
      </c>
      <c r="AY36" s="4">
        <f>Tabel24256[[#This Row],[Subtotaal waterbar in consumpties]]+Tabel24256[[#This Row],[Subtotaal koffieautomaten]]</f>
        <v>2085.3333333333335</v>
      </c>
    </row>
    <row r="37" spans="1:51" x14ac:dyDescent="0.25">
      <c r="A37" t="s">
        <v>58</v>
      </c>
      <c r="B37" t="s">
        <v>86</v>
      </c>
      <c r="C37" t="s">
        <v>47</v>
      </c>
      <c r="E37" s="25">
        <v>2318</v>
      </c>
      <c r="F37">
        <f>Tabel2425[[#This Row],[Stand Coffee einde maand]]</f>
        <v>1900</v>
      </c>
      <c r="G37" s="12">
        <f>Tabel24256[[#This Row],[Stand Coffee einde maand]]-Tabel24256[[#This Row],[Coffee vorige maand]]</f>
        <v>418</v>
      </c>
      <c r="H37" s="25">
        <v>616</v>
      </c>
      <c r="I37">
        <f>Tabel2425[[#This Row],[Stand Espresso Einde maand]]</f>
        <v>481</v>
      </c>
      <c r="J37" s="12">
        <f>Tabel24256[[#This Row],[Stand Espresso Einde maand]]-Tabel24256[[#This Row],[Espresso vorige maand]]</f>
        <v>135</v>
      </c>
      <c r="K37" s="25">
        <v>272</v>
      </c>
      <c r="L37">
        <f>Tabel2425[[#This Row],[Stand Latte Macchiato einde maand]]</f>
        <v>229</v>
      </c>
      <c r="M37">
        <f>Tabel24256[[#This Row],[Stand Latte Macchiato einde maand]]-Tabel24256[[#This Row],[Latte Macchiato vorige maand]]</f>
        <v>43</v>
      </c>
      <c r="N37" s="25">
        <v>136</v>
      </c>
      <c r="O37">
        <f>Tabel2425[[#This Row],[Stand Coffee Latte einde maand]]</f>
        <v>114</v>
      </c>
      <c r="P37">
        <f>Tabel24256[[#This Row],[Stand Coffee Latte einde maand]]-Tabel24256[[#This Row],[Coffee Latte vorige maand]]</f>
        <v>22</v>
      </c>
      <c r="Q37" s="25">
        <v>1</v>
      </c>
      <c r="R37">
        <f>Tabel2425[[#This Row],[Stand Hot Water einde maand]]</f>
        <v>1</v>
      </c>
      <c r="S37">
        <f>Tabel24256[[#This Row],[Stand Hot Water einde maand]]-Tabel24256[[#This Row],[Hot Water vorige maand]]</f>
        <v>0</v>
      </c>
      <c r="T37" s="25">
        <v>1119</v>
      </c>
      <c r="U37">
        <f>Tabel2425[[#This Row],[Stand Cappucino einde maand]]</f>
        <v>890</v>
      </c>
      <c r="V37">
        <f>Tabel24256[[#This Row],[Stand Cappucino einde maand]]-Tabel24256[[#This Row],[Stand Cappucino vorige maand]]</f>
        <v>229</v>
      </c>
      <c r="W37" s="25">
        <v>205</v>
      </c>
      <c r="X37">
        <f>Tabel2425[[#This Row],[Stand Cappucino Plantaardig einde maand]]</f>
        <v>168</v>
      </c>
      <c r="Y37">
        <f>Tabel24256[[#This Row],[Stand Cappucino Plantaardig einde maand]]-Tabel24256[[#This Row],[Stand Cappucino Plantaardig vorige maand]]</f>
        <v>37</v>
      </c>
      <c r="Z37" s="25">
        <v>140</v>
      </c>
      <c r="AA37">
        <f>Tabel2425[[#This Row],[Stand Latte Macchiato Plantaardig einde maand]]</f>
        <v>107</v>
      </c>
      <c r="AB37" s="12">
        <f>Tabel24256[[#This Row],[Stand Latte Macchiato Plantaardig einde maand]]-Tabel24256[[#This Row],[Stand Latte Macchiato Plantaardig vorige maand]]</f>
        <v>33</v>
      </c>
      <c r="AC37" s="3">
        <f>Tabel24256[[#This Row],[Verbruik Stand Latte Macchiato Plantaardig deze maand]]+Tabel24256[[#This Row],[Verbruik  Cappucino Plantaardig deze maand]]+Tabel24256[[#This Row],[Verbruik Cappucino deze maand]]+Tabel24256[[#This Row],[Verbruik Hot Water deze maand]]+Tabel24256[[#This Row],[Verbruik Coffee Latte deze maand]]+Tabel24256[[#This Row],[Verbruik Latte Macchiato deze maand]]+Tabel24256[[#This Row],[Verbruik Espresso deze maand]]+Tabel24256[[#This Row],[Verbruik Coffee deze maand]]</f>
        <v>917</v>
      </c>
      <c r="AD37" s="25">
        <v>59</v>
      </c>
      <c r="AE37">
        <f>Tabel2425[[#This Row],[Stand Kamertemp liter einde maand]]</f>
        <v>45.6</v>
      </c>
      <c r="AF37">
        <f>Tabel24256[[#This Row],[Stand Kamertemp liter einde maand]]-Tabel24256[[#This Row],[Stand Kamertemp liter vorige maand]]</f>
        <v>13.399999999999999</v>
      </c>
      <c r="AG37" s="2">
        <f>Tabel24256[[#This Row],[Verbruik Kamertemp liter deze maand]]/0.15</f>
        <v>89.333333333333329</v>
      </c>
      <c r="AH37" s="25">
        <v>266.5</v>
      </c>
      <c r="AI37">
        <f>Tabel2425[[#This Row],[Stand Gekoeld liter einde maand]]</f>
        <v>200.6</v>
      </c>
      <c r="AJ37">
        <f>Tabel24256[[#This Row],[Stand Gekoeld liter einde maand]]-Tabel24256[[#This Row],[Stand Gekoeld liter vorige maand]]</f>
        <v>65.900000000000006</v>
      </c>
      <c r="AK37" s="2">
        <f>Tabel24256[[#This Row],[Verbruik Gekoeld liter deze maand]]/0.15</f>
        <v>439.33333333333337</v>
      </c>
      <c r="AL37" s="25">
        <v>130.9</v>
      </c>
      <c r="AM37">
        <f>Tabel2425[[#This Row],[Stand Bruisend liter einde maand]]</f>
        <v>101.7</v>
      </c>
      <c r="AN37">
        <f>Tabel24256[[#This Row],[Stand Bruisend liter einde maand]]-Tabel24256[[#This Row],[Stand Bruisend liter vorige maand]]</f>
        <v>29.200000000000003</v>
      </c>
      <c r="AO37" s="2">
        <f>Tabel24256[[#This Row],[Verbruik Bruisend liter deze maand]]/0.15</f>
        <v>194.66666666666669</v>
      </c>
      <c r="AP37" s="25">
        <v>57.3</v>
      </c>
      <c r="AQ37">
        <f>Tabel2425[[#This Row],[Stand licht bruisend liter einde maand]]</f>
        <v>47.6</v>
      </c>
      <c r="AR37">
        <f>Tabel24256[[#This Row],[Stand licht bruisend liter einde maand]]-Tabel24256[[#This Row],[Stand licht bruisend liter vorige maand]]</f>
        <v>9.6999999999999957</v>
      </c>
      <c r="AS37" s="2">
        <f>Tabel24256[[#This Row],[Verbruik licht bruisend liter deze maand]]/0.15</f>
        <v>64.666666666666643</v>
      </c>
      <c r="AT37" s="25">
        <v>1002.6</v>
      </c>
      <c r="AU37">
        <f>Tabel2425[[#This Row],[Stand heet water liter einde maand]]</f>
        <v>817.8</v>
      </c>
      <c r="AV37">
        <f>Tabel24256[[#This Row],[Stand heet water liter einde maand]]-Tabel24256[[#This Row],[Stand heet water liter vorige maand]]</f>
        <v>184.80000000000007</v>
      </c>
      <c r="AW37" s="20">
        <f>Tabel24256[[#This Row],[Verbruik heet Water liter deze maand ]]/0.15</f>
        <v>1232.0000000000005</v>
      </c>
      <c r="AX37" s="4">
        <f>Tabel24256[[#This Row],[Aantal consumpties heet water deze maand]]+Tabel24256[[#This Row],[Aantal consumpties licht bruisend water deze maand]]+Tabel24256[[#This Row],[aantal consumpties Bruisend water deze maand]]+Tabel24256[[#This Row],[Aantal consumpties gekoeld water deze maand]]+Tabel24256[[#This Row],[Aantal consumpties Kamertemp deze maand]]</f>
        <v>2020.0000000000007</v>
      </c>
      <c r="AY37" s="4">
        <f>Tabel24256[[#This Row],[Subtotaal waterbar in consumpties]]+Tabel24256[[#This Row],[Subtotaal koffieautomaten]]</f>
        <v>2937.0000000000009</v>
      </c>
    </row>
    <row r="38" spans="1:51" x14ac:dyDescent="0.25">
      <c r="A38" t="s">
        <v>60</v>
      </c>
      <c r="B38" t="s">
        <v>87</v>
      </c>
      <c r="C38" t="s">
        <v>31</v>
      </c>
      <c r="E38" s="25">
        <v>1009</v>
      </c>
      <c r="F38">
        <f>Tabel2425[[#This Row],[Stand Coffee einde maand]]</f>
        <v>774</v>
      </c>
      <c r="G38" s="12">
        <f>Tabel24256[[#This Row],[Stand Coffee einde maand]]-Tabel24256[[#This Row],[Coffee vorige maand]]</f>
        <v>235</v>
      </c>
      <c r="H38" s="25">
        <v>209</v>
      </c>
      <c r="I38">
        <f>Tabel2425[[#This Row],[Stand Espresso Einde maand]]</f>
        <v>150</v>
      </c>
      <c r="J38" s="12">
        <f>Tabel24256[[#This Row],[Stand Espresso Einde maand]]-Tabel24256[[#This Row],[Espresso vorige maand]]</f>
        <v>59</v>
      </c>
      <c r="K38" s="25">
        <v>256</v>
      </c>
      <c r="L38">
        <f>Tabel2425[[#This Row],[Stand Latte Macchiato einde maand]]</f>
        <v>225</v>
      </c>
      <c r="M38">
        <f>Tabel24256[[#This Row],[Stand Latte Macchiato einde maand]]-Tabel24256[[#This Row],[Latte Macchiato vorige maand]]</f>
        <v>31</v>
      </c>
      <c r="N38" s="25">
        <v>197</v>
      </c>
      <c r="O38">
        <f>Tabel2425[[#This Row],[Stand Coffee Latte einde maand]]</f>
        <v>170</v>
      </c>
      <c r="P38">
        <f>Tabel24256[[#This Row],[Stand Coffee Latte einde maand]]-Tabel24256[[#This Row],[Coffee Latte vorige maand]]</f>
        <v>27</v>
      </c>
      <c r="Q38" s="25">
        <v>4010</v>
      </c>
      <c r="R38">
        <f>Tabel2425[[#This Row],[Stand Hot Water einde maand]]</f>
        <v>3416</v>
      </c>
      <c r="S38">
        <f>Tabel24256[[#This Row],[Stand Hot Water einde maand]]-Tabel24256[[#This Row],[Hot Water vorige maand]]</f>
        <v>594</v>
      </c>
      <c r="T38" s="25">
        <v>802</v>
      </c>
      <c r="U38">
        <f>Tabel2425[[#This Row],[Stand Cappucino einde maand]]</f>
        <v>655</v>
      </c>
      <c r="V38">
        <f>Tabel24256[[#This Row],[Stand Cappucino einde maand]]-Tabel24256[[#This Row],[Stand Cappucino vorige maand]]</f>
        <v>147</v>
      </c>
      <c r="W38" s="25">
        <v>158</v>
      </c>
      <c r="X38">
        <f>Tabel2425[[#This Row],[Stand Cappucino Plantaardig einde maand]]</f>
        <v>145</v>
      </c>
      <c r="Y38">
        <f>Tabel24256[[#This Row],[Stand Cappucino Plantaardig einde maand]]-Tabel24256[[#This Row],[Stand Cappucino Plantaardig vorige maand]]</f>
        <v>13</v>
      </c>
      <c r="Z38" s="25">
        <v>110</v>
      </c>
      <c r="AA38">
        <f>Tabel2425[[#This Row],[Stand Latte Macchiato Plantaardig einde maand]]</f>
        <v>104</v>
      </c>
      <c r="AB38" s="12">
        <f>Tabel24256[[#This Row],[Stand Latte Macchiato Plantaardig einde maand]]-Tabel24256[[#This Row],[Stand Latte Macchiato Plantaardig vorige maand]]</f>
        <v>6</v>
      </c>
      <c r="AC38" s="3">
        <f>Tabel24256[[#This Row],[Verbruik Stand Latte Macchiato Plantaardig deze maand]]+Tabel24256[[#This Row],[Verbruik  Cappucino Plantaardig deze maand]]+Tabel24256[[#This Row],[Verbruik Cappucino deze maand]]+Tabel24256[[#This Row],[Verbruik Hot Water deze maand]]+Tabel24256[[#This Row],[Verbruik Coffee Latte deze maand]]+Tabel24256[[#This Row],[Verbruik Latte Macchiato deze maand]]+Tabel24256[[#This Row],[Verbruik Espresso deze maand]]+Tabel24256[[#This Row],[Verbruik Coffee deze maand]]</f>
        <v>1112</v>
      </c>
      <c r="AD38" s="26"/>
      <c r="AE38" s="5"/>
      <c r="AF38" s="5"/>
      <c r="AG38" s="5"/>
      <c r="AH38" s="26"/>
      <c r="AI38" s="5"/>
      <c r="AJ38" s="5"/>
      <c r="AK38" s="5"/>
      <c r="AL38" s="26"/>
      <c r="AM38" s="5"/>
      <c r="AN38" s="5"/>
      <c r="AO38" s="5"/>
      <c r="AP38" s="26"/>
      <c r="AQ38" s="5"/>
      <c r="AR38" s="5"/>
      <c r="AS38" s="5"/>
      <c r="AT38" s="26"/>
      <c r="AU38" s="5"/>
      <c r="AV38" s="5"/>
      <c r="AW38" s="16"/>
      <c r="AX38" s="6"/>
      <c r="AY38" s="4">
        <f>Tabel24256[[#This Row],[Subtotaal waterbar in consumpties]]+Tabel24256[[#This Row],[Subtotaal koffieautomaten]]</f>
        <v>1112</v>
      </c>
    </row>
    <row r="39" spans="1:51" x14ac:dyDescent="0.25">
      <c r="A39" s="3" t="s">
        <v>88</v>
      </c>
      <c r="E39" s="25"/>
      <c r="F39">
        <f>Tabel2425[[#This Row],[Stand Coffee einde maand]]</f>
        <v>0</v>
      </c>
      <c r="G39" s="12">
        <f>Tabel24256[[#This Row],[Stand Coffee einde maand]]-Tabel24256[[#This Row],[Coffee vorige maand]]</f>
        <v>0</v>
      </c>
      <c r="H39" s="25"/>
      <c r="I39">
        <f>Tabel2425[[#This Row],[Stand Espresso Einde maand]]</f>
        <v>0</v>
      </c>
      <c r="J39" s="12">
        <f>Tabel24256[[#This Row],[Stand Espresso Einde maand]]-Tabel24256[[#This Row],[Espresso vorige maand]]</f>
        <v>0</v>
      </c>
      <c r="K39" s="25"/>
      <c r="L39">
        <f>Tabel2425[[#This Row],[Stand Latte Macchiato einde maand]]</f>
        <v>0</v>
      </c>
      <c r="M39">
        <f>Tabel24256[[#This Row],[Stand Latte Macchiato einde maand]]-Tabel24256[[#This Row],[Latte Macchiato vorige maand]]</f>
        <v>0</v>
      </c>
      <c r="N39" s="25"/>
      <c r="O39">
        <f>Tabel2425[[#This Row],[Stand Coffee Latte einde maand]]</f>
        <v>0</v>
      </c>
      <c r="P39">
        <f>Tabel24256[[#This Row],[Stand Coffee Latte einde maand]]-Tabel24256[[#This Row],[Coffee Latte vorige maand]]</f>
        <v>0</v>
      </c>
      <c r="Q39" s="25"/>
      <c r="R39">
        <f>Tabel2425[[#This Row],[Stand Hot Water einde maand]]</f>
        <v>0</v>
      </c>
      <c r="S39">
        <f>Tabel24256[[#This Row],[Stand Hot Water einde maand]]-Tabel24256[[#This Row],[Hot Water vorige maand]]</f>
        <v>0</v>
      </c>
      <c r="T39" s="25"/>
      <c r="U39">
        <f>Tabel2425[[#This Row],[Stand Cappucino einde maand]]</f>
        <v>0</v>
      </c>
      <c r="V39">
        <f>Tabel24256[[#This Row],[Stand Cappucino einde maand]]-Tabel24256[[#This Row],[Stand Cappucino vorige maand]]</f>
        <v>0</v>
      </c>
      <c r="W39" s="25"/>
      <c r="X39">
        <f>Tabel2425[[#This Row],[Stand Cappucino Plantaardig einde maand]]</f>
        <v>0</v>
      </c>
      <c r="Y39">
        <f>Tabel24256[[#This Row],[Stand Cappucino Plantaardig einde maand]]-Tabel24256[[#This Row],[Stand Cappucino Plantaardig vorige maand]]</f>
        <v>0</v>
      </c>
      <c r="Z39" s="25"/>
      <c r="AA39">
        <f>Tabel2425[[#This Row],[Stand Latte Macchiato Plantaardig einde maand]]</f>
        <v>0</v>
      </c>
      <c r="AB39" s="12">
        <f>Tabel24256[[#This Row],[Stand Latte Macchiato Plantaardig einde maand]]-Tabel24256[[#This Row],[Stand Latte Macchiato Plantaardig vorige maand]]</f>
        <v>0</v>
      </c>
      <c r="AC39" s="3">
        <f>Tabel24256[[#This Row],[Verbruik Stand Latte Macchiato Plantaardig deze maand]]+Tabel24256[[#This Row],[Verbruik  Cappucino Plantaardig deze maand]]+Tabel24256[[#This Row],[Verbruik Cappucino deze maand]]+Tabel24256[[#This Row],[Verbruik Hot Water deze maand]]+Tabel24256[[#This Row],[Verbruik Coffee Latte deze maand]]+Tabel24256[[#This Row],[Verbruik Latte Macchiato deze maand]]+Tabel24256[[#This Row],[Verbruik Espresso deze maand]]+Tabel24256[[#This Row],[Verbruik Coffee deze maand]]</f>
        <v>0</v>
      </c>
      <c r="AD39" s="25"/>
      <c r="AG39" s="2"/>
      <c r="AH39" s="25"/>
      <c r="AK39" s="2"/>
      <c r="AL39" s="25"/>
      <c r="AO39" s="2"/>
      <c r="AP39" s="25"/>
      <c r="AS39" s="2"/>
      <c r="AT39" s="25"/>
      <c r="AW39" s="20"/>
      <c r="AX39" s="4"/>
      <c r="AY39" s="4">
        <f>Tabel24256[[#This Row],[Subtotaal waterbar in consumpties]]+Tabel24256[[#This Row],[Subtotaal koffieautomaten]]</f>
        <v>0</v>
      </c>
    </row>
    <row r="40" spans="1:51" x14ac:dyDescent="0.25">
      <c r="A40" t="s">
        <v>39</v>
      </c>
      <c r="B40" t="s">
        <v>89</v>
      </c>
      <c r="C40" t="s">
        <v>36</v>
      </c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25">
        <v>79.099999999999994</v>
      </c>
      <c r="AE40">
        <f>Tabel2425[[#This Row],[Stand Kamertemp liter einde maand]]</f>
        <v>63.5</v>
      </c>
      <c r="AF40">
        <f>Tabel24256[[#This Row],[Stand Kamertemp liter einde maand]]-Tabel24256[[#This Row],[Stand Kamertemp liter vorige maand]]</f>
        <v>15.599999999999994</v>
      </c>
      <c r="AG40" s="2">
        <f>Tabel24256[[#This Row],[Verbruik Kamertemp liter deze maand]]/0.15</f>
        <v>103.99999999999997</v>
      </c>
      <c r="AH40" s="25">
        <v>742.7</v>
      </c>
      <c r="AI40">
        <f>Tabel2425[[#This Row],[Stand Gekoeld liter einde maand]]</f>
        <v>586.6</v>
      </c>
      <c r="AJ40">
        <f>Tabel24256[[#This Row],[Stand Gekoeld liter einde maand]]-Tabel24256[[#This Row],[Stand Gekoeld liter vorige maand]]</f>
        <v>156.10000000000002</v>
      </c>
      <c r="AK40" s="2">
        <f>Tabel24256[[#This Row],[Verbruik Gekoeld liter deze maand]]/0.15</f>
        <v>1040.666666666667</v>
      </c>
      <c r="AL40" s="25">
        <v>343.5</v>
      </c>
      <c r="AM40">
        <f>Tabel2425[[#This Row],[Stand Bruisend liter einde maand]]</f>
        <v>281.3</v>
      </c>
      <c r="AN40">
        <f>Tabel24256[[#This Row],[Stand Bruisend liter einde maand]]-Tabel24256[[#This Row],[Stand Bruisend liter vorige maand]]</f>
        <v>62.199999999999989</v>
      </c>
      <c r="AO40" s="2">
        <f>Tabel24256[[#This Row],[Verbruik Bruisend liter deze maand]]/0.15</f>
        <v>414.66666666666663</v>
      </c>
      <c r="AP40" s="25">
        <v>122.7</v>
      </c>
      <c r="AQ40">
        <f>Tabel2425[[#This Row],[Stand licht bruisend liter einde maand]]</f>
        <v>99.6</v>
      </c>
      <c r="AR40">
        <f>Tabel24256[[#This Row],[Stand licht bruisend liter einde maand]]-Tabel24256[[#This Row],[Stand licht bruisend liter vorige maand]]</f>
        <v>23.100000000000009</v>
      </c>
      <c r="AS40" s="2">
        <f>Tabel24256[[#This Row],[Verbruik licht bruisend liter deze maand]]/0.15</f>
        <v>154.00000000000006</v>
      </c>
      <c r="AT40" s="25">
        <v>624.1</v>
      </c>
      <c r="AU40">
        <f>Tabel2425[[#This Row],[Stand heet water liter einde maand]]</f>
        <v>516.5</v>
      </c>
      <c r="AV40">
        <f>Tabel24256[[#This Row],[Stand heet water liter einde maand]]-Tabel24256[[#This Row],[Stand heet water liter vorige maand]]</f>
        <v>107.60000000000002</v>
      </c>
      <c r="AW40" s="20">
        <f>Tabel24256[[#This Row],[Verbruik heet Water liter deze maand ]]/0.15</f>
        <v>717.33333333333348</v>
      </c>
      <c r="AX40" s="4">
        <f>Tabel24256[[#This Row],[Aantal consumpties heet water deze maand]]+Tabel24256[[#This Row],[Aantal consumpties licht bruisend water deze maand]]+Tabel24256[[#This Row],[aantal consumpties Bruisend water deze maand]]+Tabel24256[[#This Row],[Aantal consumpties gekoeld water deze maand]]+Tabel24256[[#This Row],[Aantal consumpties Kamertemp deze maand]]</f>
        <v>2430.666666666667</v>
      </c>
      <c r="AY40" s="4">
        <f>Tabel24256[[#This Row],[Subtotaal waterbar in consumpties]]+Tabel24256[[#This Row],[Subtotaal koffieautomaten]]</f>
        <v>2430.666666666667</v>
      </c>
    </row>
    <row r="41" spans="1:51" x14ac:dyDescent="0.25">
      <c r="A41" t="s">
        <v>41</v>
      </c>
      <c r="B41" t="s">
        <v>90</v>
      </c>
      <c r="C41" t="s">
        <v>31</v>
      </c>
      <c r="E41" s="25">
        <v>1949</v>
      </c>
      <c r="F41">
        <f>Tabel2425[[#This Row],[Stand Coffee einde maand]]</f>
        <v>1462</v>
      </c>
      <c r="G41" s="12">
        <f>Tabel24256[[#This Row],[Stand Coffee einde maand]]-Tabel24256[[#This Row],[Coffee vorige maand]]</f>
        <v>487</v>
      </c>
      <c r="H41" s="25">
        <v>786</v>
      </c>
      <c r="I41">
        <f>Tabel2425[[#This Row],[Stand Espresso Einde maand]]</f>
        <v>679</v>
      </c>
      <c r="J41" s="12">
        <f>Tabel24256[[#This Row],[Stand Espresso Einde maand]]-Tabel24256[[#This Row],[Espresso vorige maand]]</f>
        <v>107</v>
      </c>
      <c r="K41" s="25">
        <v>268</v>
      </c>
      <c r="L41">
        <f>Tabel2425[[#This Row],[Stand Latte Macchiato einde maand]]</f>
        <v>197</v>
      </c>
      <c r="M41">
        <f>Tabel24256[[#This Row],[Stand Latte Macchiato einde maand]]-Tabel24256[[#This Row],[Latte Macchiato vorige maand]]</f>
        <v>71</v>
      </c>
      <c r="N41" s="25">
        <v>270</v>
      </c>
      <c r="O41">
        <f>Tabel2425[[#This Row],[Stand Coffee Latte einde maand]]</f>
        <v>161</v>
      </c>
      <c r="P41">
        <f>Tabel24256[[#This Row],[Stand Coffee Latte einde maand]]-Tabel24256[[#This Row],[Coffee Latte vorige maand]]</f>
        <v>109</v>
      </c>
      <c r="Q41" s="25">
        <v>6233</v>
      </c>
      <c r="R41">
        <v>4939</v>
      </c>
      <c r="S41">
        <f>Tabel24256[[#This Row],[Stand Hot Water einde maand]]-Tabel24256[[#This Row],[Hot Water vorige maand]]</f>
        <v>1294</v>
      </c>
      <c r="T41" s="25">
        <v>903</v>
      </c>
      <c r="U41">
        <f>Tabel2425[[#This Row],[Stand Cappucino einde maand]]</f>
        <v>678</v>
      </c>
      <c r="V41">
        <f>Tabel24256[[#This Row],[Stand Cappucino einde maand]]-Tabel24256[[#This Row],[Stand Cappucino vorige maand]]</f>
        <v>225</v>
      </c>
      <c r="W41" s="25">
        <v>116</v>
      </c>
      <c r="X41">
        <f>Tabel2425[[#This Row],[Stand Cappucino Plantaardig einde maand]]</f>
        <v>79</v>
      </c>
      <c r="Y41">
        <f>Tabel24256[[#This Row],[Stand Cappucino Plantaardig einde maand]]-Tabel24256[[#This Row],[Stand Cappucino Plantaardig vorige maand]]</f>
        <v>37</v>
      </c>
      <c r="Z41" s="25">
        <v>45</v>
      </c>
      <c r="AA41">
        <f>Tabel2425[[#This Row],[Stand Latte Macchiato Plantaardig einde maand]]</f>
        <v>35</v>
      </c>
      <c r="AB41" s="12">
        <f>Tabel24256[[#This Row],[Stand Latte Macchiato Plantaardig einde maand]]-Tabel24256[[#This Row],[Stand Latte Macchiato Plantaardig vorige maand]]</f>
        <v>10</v>
      </c>
      <c r="AC41" s="3">
        <f>Tabel24256[[#This Row],[Verbruik Stand Latte Macchiato Plantaardig deze maand]]+Tabel24256[[#This Row],[Verbruik  Cappucino Plantaardig deze maand]]+Tabel24256[[#This Row],[Verbruik Cappucino deze maand]]+Tabel24256[[#This Row],[Verbruik Hot Water deze maand]]+Tabel24256[[#This Row],[Verbruik Coffee Latte deze maand]]+Tabel24256[[#This Row],[Verbruik Latte Macchiato deze maand]]+Tabel24256[[#This Row],[Verbruik Espresso deze maand]]+Tabel24256[[#This Row],[Verbruik Coffee deze maand]]</f>
        <v>2340</v>
      </c>
      <c r="AD41" s="26"/>
      <c r="AE41" s="5"/>
      <c r="AF41" s="5"/>
      <c r="AG41" s="5"/>
      <c r="AH41" s="26"/>
      <c r="AI41" s="5"/>
      <c r="AJ41" s="5"/>
      <c r="AK41" s="5"/>
      <c r="AL41" s="26"/>
      <c r="AM41" s="5"/>
      <c r="AN41" s="5"/>
      <c r="AO41" s="5"/>
      <c r="AP41" s="26"/>
      <c r="AQ41" s="5"/>
      <c r="AR41" s="5"/>
      <c r="AS41" s="5"/>
      <c r="AT41" s="26"/>
      <c r="AU41" s="5"/>
      <c r="AV41" s="5"/>
      <c r="AW41" s="16"/>
      <c r="AX41" s="6"/>
      <c r="AY41" s="4">
        <f>Tabel24256[[#This Row],[Subtotaal waterbar in consumpties]]+Tabel24256[[#This Row],[Subtotaal koffieautomaten]]</f>
        <v>2340</v>
      </c>
    </row>
    <row r="42" spans="1:51" x14ac:dyDescent="0.25">
      <c r="A42" t="s">
        <v>43</v>
      </c>
      <c r="B42" t="s">
        <v>91</v>
      </c>
      <c r="C42" t="s">
        <v>47</v>
      </c>
      <c r="E42" s="25">
        <v>2592</v>
      </c>
      <c r="F42">
        <f>Tabel2425[[#This Row],[Stand Coffee einde maand]]</f>
        <v>2126</v>
      </c>
      <c r="G42" s="12">
        <f>Tabel24256[[#This Row],[Stand Coffee einde maand]]-Tabel24256[[#This Row],[Coffee vorige maand]]</f>
        <v>466</v>
      </c>
      <c r="H42" s="25">
        <v>826</v>
      </c>
      <c r="I42">
        <f>Tabel2425[[#This Row],[Stand Espresso Einde maand]]</f>
        <v>753</v>
      </c>
      <c r="J42" s="12">
        <f>Tabel24256[[#This Row],[Stand Espresso Einde maand]]-Tabel24256[[#This Row],[Espresso vorige maand]]</f>
        <v>73</v>
      </c>
      <c r="K42" s="25">
        <v>194</v>
      </c>
      <c r="L42">
        <f>Tabel2425[[#This Row],[Stand Latte Macchiato einde maand]]</f>
        <v>175</v>
      </c>
      <c r="M42">
        <f>Tabel24256[[#This Row],[Stand Latte Macchiato einde maand]]-Tabel24256[[#This Row],[Latte Macchiato vorige maand]]</f>
        <v>19</v>
      </c>
      <c r="N42" s="25">
        <v>153</v>
      </c>
      <c r="O42">
        <f>Tabel2425[[#This Row],[Stand Coffee Latte einde maand]]</f>
        <v>120</v>
      </c>
      <c r="P42">
        <f>Tabel24256[[#This Row],[Stand Coffee Latte einde maand]]-Tabel24256[[#This Row],[Coffee Latte vorige maand]]</f>
        <v>33</v>
      </c>
      <c r="Q42" s="25">
        <v>213</v>
      </c>
      <c r="R42">
        <f>Tabel2425[[#This Row],[Stand Hot Water einde maand]]</f>
        <v>126</v>
      </c>
      <c r="S42">
        <f>Tabel24256[[#This Row],[Stand Hot Water einde maand]]-Tabel24256[[#This Row],[Hot Water vorige maand]]</f>
        <v>87</v>
      </c>
      <c r="T42" s="25">
        <v>907</v>
      </c>
      <c r="U42">
        <f>Tabel2425[[#This Row],[Stand Cappucino einde maand]]</f>
        <v>749</v>
      </c>
      <c r="V42">
        <f>Tabel24256[[#This Row],[Stand Cappucino einde maand]]-Tabel24256[[#This Row],[Stand Cappucino vorige maand]]</f>
        <v>158</v>
      </c>
      <c r="W42" s="25">
        <v>963</v>
      </c>
      <c r="X42">
        <f>Tabel2425[[#This Row],[Stand Cappucino Plantaardig einde maand]]</f>
        <v>774</v>
      </c>
      <c r="Y42">
        <f>Tabel24256[[#This Row],[Stand Cappucino Plantaardig einde maand]]-Tabel24256[[#This Row],[Stand Cappucino Plantaardig vorige maand]]</f>
        <v>189</v>
      </c>
      <c r="Z42" s="25">
        <v>91</v>
      </c>
      <c r="AA42">
        <f>Tabel2425[[#This Row],[Stand Latte Macchiato Plantaardig einde maand]]</f>
        <v>48</v>
      </c>
      <c r="AB42" s="12">
        <f>Tabel24256[[#This Row],[Stand Latte Macchiato Plantaardig einde maand]]-Tabel24256[[#This Row],[Stand Latte Macchiato Plantaardig vorige maand]]</f>
        <v>43</v>
      </c>
      <c r="AC42" s="3">
        <f>Tabel24256[[#This Row],[Verbruik Stand Latte Macchiato Plantaardig deze maand]]+Tabel24256[[#This Row],[Verbruik  Cappucino Plantaardig deze maand]]+Tabel24256[[#This Row],[Verbruik Cappucino deze maand]]+Tabel24256[[#This Row],[Verbruik Hot Water deze maand]]+Tabel24256[[#This Row],[Verbruik Coffee Latte deze maand]]+Tabel24256[[#This Row],[Verbruik Latte Macchiato deze maand]]+Tabel24256[[#This Row],[Verbruik Espresso deze maand]]+Tabel24256[[#This Row],[Verbruik Coffee deze maand]]</f>
        <v>1068</v>
      </c>
      <c r="AD42" s="25">
        <v>35.799999999999997</v>
      </c>
      <c r="AE42">
        <f>Tabel2425[[#This Row],[Stand Kamertemp liter einde maand]]</f>
        <v>33.9</v>
      </c>
      <c r="AF42">
        <f>Tabel24256[[#This Row],[Stand Kamertemp liter einde maand]]-Tabel24256[[#This Row],[Stand Kamertemp liter vorige maand]]</f>
        <v>1.8999999999999986</v>
      </c>
      <c r="AG42" s="2">
        <f>Tabel24256[[#This Row],[Verbruik Kamertemp liter deze maand]]/0.15</f>
        <v>12.666666666666657</v>
      </c>
      <c r="AH42" s="25">
        <v>457.9</v>
      </c>
      <c r="AI42">
        <f>Tabel2425[[#This Row],[Stand Gekoeld liter einde maand]]</f>
        <v>358.9</v>
      </c>
      <c r="AJ42">
        <f>Tabel24256[[#This Row],[Stand Gekoeld liter einde maand]]-Tabel24256[[#This Row],[Stand Gekoeld liter vorige maand]]</f>
        <v>99</v>
      </c>
      <c r="AK42" s="2">
        <f>Tabel24256[[#This Row],[Verbruik Gekoeld liter deze maand]]/0.15</f>
        <v>660</v>
      </c>
      <c r="AL42" s="25">
        <v>629.4</v>
      </c>
      <c r="AM42">
        <f>Tabel2425[[#This Row],[Stand Bruisend liter einde maand]]</f>
        <v>481.7</v>
      </c>
      <c r="AN42">
        <f>Tabel24256[[#This Row],[Stand Bruisend liter einde maand]]-Tabel24256[[#This Row],[Stand Bruisend liter vorige maand]]</f>
        <v>147.69999999999999</v>
      </c>
      <c r="AO42" s="2">
        <f>Tabel24256[[#This Row],[Verbruik Bruisend liter deze maand]]/0.15</f>
        <v>984.66666666666663</v>
      </c>
      <c r="AP42" s="25">
        <v>471.7</v>
      </c>
      <c r="AQ42">
        <f>Tabel2425[[#This Row],[Stand licht bruisend liter einde maand]]</f>
        <v>373</v>
      </c>
      <c r="AR42">
        <f>Tabel24256[[#This Row],[Stand licht bruisend liter einde maand]]-Tabel24256[[#This Row],[Stand licht bruisend liter vorige maand]]</f>
        <v>98.699999999999989</v>
      </c>
      <c r="AS42" s="2">
        <f>Tabel24256[[#This Row],[Verbruik licht bruisend liter deze maand]]/0.15</f>
        <v>658</v>
      </c>
      <c r="AT42" s="25">
        <v>2352.5</v>
      </c>
      <c r="AU42">
        <f>Tabel2425[[#This Row],[Stand heet water liter einde maand]]</f>
        <v>1903.3</v>
      </c>
      <c r="AV42">
        <f>Tabel24256[[#This Row],[Stand heet water liter einde maand]]-Tabel24256[[#This Row],[Stand heet water liter vorige maand]]</f>
        <v>449.20000000000005</v>
      </c>
      <c r="AW42" s="20">
        <f>Tabel24256[[#This Row],[Verbruik heet Water liter deze maand ]]/0.15</f>
        <v>2994.666666666667</v>
      </c>
      <c r="AX42" s="4">
        <f>Tabel24256[[#This Row],[Aantal consumpties heet water deze maand]]+Tabel24256[[#This Row],[Aantal consumpties licht bruisend water deze maand]]+Tabel24256[[#This Row],[aantal consumpties Bruisend water deze maand]]+Tabel24256[[#This Row],[Aantal consumpties gekoeld water deze maand]]+Tabel24256[[#This Row],[Aantal consumpties Kamertemp deze maand]]</f>
        <v>5310.0000000000009</v>
      </c>
      <c r="AY42" s="4">
        <f>Tabel24256[[#This Row],[Subtotaal waterbar in consumpties]]+Tabel24256[[#This Row],[Subtotaal koffieautomaten]]</f>
        <v>6378.0000000000009</v>
      </c>
    </row>
    <row r="43" spans="1:51" x14ac:dyDescent="0.25">
      <c r="A43" t="s">
        <v>45</v>
      </c>
      <c r="B43" t="s">
        <v>92</v>
      </c>
      <c r="C43" t="s">
        <v>36</v>
      </c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25">
        <v>36.4</v>
      </c>
      <c r="AE43">
        <f>Tabel2425[[#This Row],[Stand Kamertemp liter einde maand]]</f>
        <v>25.2</v>
      </c>
      <c r="AF43">
        <f>Tabel24256[[#This Row],[Stand Kamertemp liter einde maand]]-Tabel24256[[#This Row],[Stand Kamertemp liter vorige maand]]</f>
        <v>11.2</v>
      </c>
      <c r="AG43" s="2">
        <f>Tabel24256[[#This Row],[Verbruik Kamertemp liter deze maand]]/0.15</f>
        <v>74.666666666666671</v>
      </c>
      <c r="AH43" s="25">
        <v>253</v>
      </c>
      <c r="AI43">
        <f>Tabel2425[[#This Row],[Stand Gekoeld liter einde maand]]</f>
        <v>168.9</v>
      </c>
      <c r="AJ43">
        <f>Tabel24256[[#This Row],[Stand Gekoeld liter einde maand]]-Tabel24256[[#This Row],[Stand Gekoeld liter vorige maand]]</f>
        <v>84.1</v>
      </c>
      <c r="AK43" s="2">
        <f>Tabel24256[[#This Row],[Verbruik Gekoeld liter deze maand]]/0.15</f>
        <v>560.66666666666663</v>
      </c>
      <c r="AL43" s="25">
        <v>212.9</v>
      </c>
      <c r="AM43">
        <f>Tabel2425[[#This Row],[Stand Bruisend liter einde maand]]</f>
        <v>152.1</v>
      </c>
      <c r="AN43">
        <f>Tabel24256[[#This Row],[Stand Bruisend liter einde maand]]-Tabel24256[[#This Row],[Stand Bruisend liter vorige maand]]</f>
        <v>60.800000000000011</v>
      </c>
      <c r="AO43" s="2">
        <f>Tabel24256[[#This Row],[Verbruik Bruisend liter deze maand]]/0.15</f>
        <v>405.33333333333343</v>
      </c>
      <c r="AP43" s="25">
        <v>65.599999999999994</v>
      </c>
      <c r="AQ43">
        <f>Tabel2425[[#This Row],[Stand licht bruisend liter einde maand]]</f>
        <v>46</v>
      </c>
      <c r="AR43">
        <f>Tabel24256[[#This Row],[Stand licht bruisend liter einde maand]]-Tabel24256[[#This Row],[Stand licht bruisend liter vorige maand]]</f>
        <v>19.599999999999994</v>
      </c>
      <c r="AS43" s="2">
        <f>Tabel24256[[#This Row],[Verbruik licht bruisend liter deze maand]]/0.15</f>
        <v>130.66666666666663</v>
      </c>
      <c r="AT43" s="25">
        <v>928.7</v>
      </c>
      <c r="AU43">
        <f>Tabel2425[[#This Row],[Stand heet water liter einde maand]]</f>
        <v>754.5</v>
      </c>
      <c r="AV43">
        <f>Tabel24256[[#This Row],[Stand heet water liter einde maand]]-Tabel24256[[#This Row],[Stand heet water liter vorige maand]]</f>
        <v>174.20000000000005</v>
      </c>
      <c r="AW43" s="20">
        <f>Tabel24256[[#This Row],[Verbruik heet Water liter deze maand ]]/0.15</f>
        <v>1161.3333333333337</v>
      </c>
      <c r="AX43" s="4">
        <f>Tabel24256[[#This Row],[Aantal consumpties heet water deze maand]]+Tabel24256[[#This Row],[Aantal consumpties licht bruisend water deze maand]]+Tabel24256[[#This Row],[aantal consumpties Bruisend water deze maand]]+Tabel24256[[#This Row],[Aantal consumpties gekoeld water deze maand]]+Tabel24256[[#This Row],[Aantal consumpties Kamertemp deze maand]]</f>
        <v>2332.666666666667</v>
      </c>
      <c r="AY43" s="4">
        <f>Tabel24256[[#This Row],[Subtotaal waterbar in consumpties]]+Tabel24256[[#This Row],[Subtotaal koffieautomaten]]</f>
        <v>2332.666666666667</v>
      </c>
    </row>
    <row r="44" spans="1:51" x14ac:dyDescent="0.25">
      <c r="A44" t="s">
        <v>48</v>
      </c>
      <c r="B44" t="s">
        <v>158</v>
      </c>
      <c r="C44" t="s">
        <v>31</v>
      </c>
      <c r="E44" s="25">
        <v>3319</v>
      </c>
      <c r="F44">
        <f>Tabel2425[[#This Row],[Stand Coffee einde maand]]</f>
        <v>2570</v>
      </c>
      <c r="G44" s="12">
        <f>Tabel24256[[#This Row],[Stand Coffee einde maand]]-Tabel24256[[#This Row],[Coffee vorige maand]]</f>
        <v>749</v>
      </c>
      <c r="H44" s="25">
        <v>813</v>
      </c>
      <c r="I44">
        <f>Tabel2425[[#This Row],[Stand Espresso Einde maand]]</f>
        <v>602</v>
      </c>
      <c r="J44" s="12">
        <f>Tabel24256[[#This Row],[Stand Espresso Einde maand]]-Tabel24256[[#This Row],[Espresso vorige maand]]</f>
        <v>211</v>
      </c>
      <c r="K44" s="25">
        <v>439</v>
      </c>
      <c r="L44">
        <f>Tabel2425[[#This Row],[Stand Latte Macchiato einde maand]]</f>
        <v>368</v>
      </c>
      <c r="M44">
        <f>Tabel24256[[#This Row],[Stand Latte Macchiato einde maand]]-Tabel24256[[#This Row],[Latte Macchiato vorige maand]]</f>
        <v>71</v>
      </c>
      <c r="N44" s="25">
        <v>82</v>
      </c>
      <c r="O44">
        <f>Tabel2425[[#This Row],[Stand Coffee Latte einde maand]]</f>
        <v>54</v>
      </c>
      <c r="P44">
        <f>Tabel24256[[#This Row],[Stand Coffee Latte einde maand]]-Tabel24256[[#This Row],[Coffee Latte vorige maand]]</f>
        <v>28</v>
      </c>
      <c r="Q44" s="25">
        <v>3763</v>
      </c>
      <c r="R44">
        <f>Tabel2425[[#This Row],[Stand Hot Water einde maand]]</f>
        <v>3022</v>
      </c>
      <c r="S44">
        <f>Tabel24256[[#This Row],[Stand Hot Water einde maand]]-Tabel24256[[#This Row],[Hot Water vorige maand]]</f>
        <v>741</v>
      </c>
      <c r="T44" s="25">
        <v>1302</v>
      </c>
      <c r="U44">
        <f>Tabel2425[[#This Row],[Stand Cappucino einde maand]]</f>
        <v>1018</v>
      </c>
      <c r="V44">
        <f>Tabel24256[[#This Row],[Stand Cappucino einde maand]]-Tabel24256[[#This Row],[Stand Cappucino vorige maand]]</f>
        <v>284</v>
      </c>
      <c r="W44" s="25">
        <v>254</v>
      </c>
      <c r="X44">
        <f>Tabel2425[[#This Row],[Stand Cappucino Plantaardig einde maand]]</f>
        <v>198</v>
      </c>
      <c r="Y44">
        <f>Tabel24256[[#This Row],[Stand Cappucino Plantaardig einde maand]]-Tabel24256[[#This Row],[Stand Cappucino Plantaardig vorige maand]]</f>
        <v>56</v>
      </c>
      <c r="Z44" s="25">
        <v>199</v>
      </c>
      <c r="AA44">
        <f>Tabel2425[[#This Row],[Stand Latte Macchiato Plantaardig einde maand]]</f>
        <v>152</v>
      </c>
      <c r="AB44" s="12">
        <f>Tabel24256[[#This Row],[Stand Latte Macchiato Plantaardig einde maand]]-Tabel24256[[#This Row],[Stand Latte Macchiato Plantaardig vorige maand]]</f>
        <v>47</v>
      </c>
      <c r="AC44" s="3">
        <f>Tabel24256[[#This Row],[Verbruik Stand Latte Macchiato Plantaardig deze maand]]+Tabel24256[[#This Row],[Verbruik  Cappucino Plantaardig deze maand]]+Tabel24256[[#This Row],[Verbruik Cappucino deze maand]]+Tabel24256[[#This Row],[Verbruik Hot Water deze maand]]+Tabel24256[[#This Row],[Verbruik Coffee Latte deze maand]]+Tabel24256[[#This Row],[Verbruik Latte Macchiato deze maand]]+Tabel24256[[#This Row],[Verbruik Espresso deze maand]]+Tabel24256[[#This Row],[Verbruik Coffee deze maand]]</f>
        <v>2187</v>
      </c>
      <c r="AD44" s="26"/>
      <c r="AE44" s="5"/>
      <c r="AF44" s="5"/>
      <c r="AG44" s="7"/>
      <c r="AH44" s="26"/>
      <c r="AI44" s="5"/>
      <c r="AJ44" s="5"/>
      <c r="AK44" s="7"/>
      <c r="AL44" s="26"/>
      <c r="AM44" s="5"/>
      <c r="AN44" s="5"/>
      <c r="AO44" s="7"/>
      <c r="AP44" s="26"/>
      <c r="AQ44" s="5"/>
      <c r="AR44" s="5"/>
      <c r="AS44" s="7"/>
      <c r="AT44" s="26"/>
      <c r="AU44" s="5"/>
      <c r="AV44" s="5"/>
      <c r="AW44" s="21"/>
      <c r="AX44" s="4">
        <f>Tabel24256[[#This Row],[Aantal consumpties heet water deze maand]]+Tabel24256[[#This Row],[Aantal consumpties licht bruisend water deze maand]]+Tabel24256[[#This Row],[aantal consumpties Bruisend water deze maand]]+Tabel24256[[#This Row],[Aantal consumpties gekoeld water deze maand]]+Tabel24256[[#This Row],[Aantal consumpties Kamertemp deze maand]]</f>
        <v>0</v>
      </c>
      <c r="AY44" s="4">
        <f>Tabel24256[[#This Row],[Subtotaal waterbar in consumpties]]+Tabel24256[[#This Row],[Subtotaal koffieautomaten]]</f>
        <v>2187</v>
      </c>
    </row>
    <row r="45" spans="1:51" x14ac:dyDescent="0.25">
      <c r="A45" t="s">
        <v>50</v>
      </c>
      <c r="B45" t="s">
        <v>93</v>
      </c>
      <c r="C45" t="s">
        <v>36</v>
      </c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25">
        <v>40.5</v>
      </c>
      <c r="AE45">
        <f>Tabel2425[[#This Row],[Stand Kamertemp liter einde maand]]</f>
        <v>22.8</v>
      </c>
      <c r="AF45">
        <f>Tabel24256[[#This Row],[Stand Kamertemp liter einde maand]]-Tabel24256[[#This Row],[Stand Kamertemp liter vorige maand]]</f>
        <v>17.7</v>
      </c>
      <c r="AG45" s="2">
        <f>Tabel24256[[#This Row],[Verbruik Kamertemp liter deze maand]]/0.15</f>
        <v>118</v>
      </c>
      <c r="AH45" s="25">
        <v>258.39999999999998</v>
      </c>
      <c r="AI45">
        <f>Tabel2425[[#This Row],[Stand Gekoeld liter einde maand]]</f>
        <v>188.6</v>
      </c>
      <c r="AJ45">
        <f>Tabel24256[[#This Row],[Stand Gekoeld liter einde maand]]-Tabel24256[[#This Row],[Stand Gekoeld liter vorige maand]]</f>
        <v>69.799999999999983</v>
      </c>
      <c r="AK45" s="2">
        <f>Tabel24256[[#This Row],[Verbruik Gekoeld liter deze maand]]/0.15</f>
        <v>465.33333333333326</v>
      </c>
      <c r="AL45" s="25">
        <v>238.3</v>
      </c>
      <c r="AM45">
        <f>Tabel2425[[#This Row],[Stand Bruisend liter einde maand]]</f>
        <v>178.3</v>
      </c>
      <c r="AN45">
        <f>Tabel24256[[#This Row],[Stand Bruisend liter einde maand]]-Tabel24256[[#This Row],[Stand Bruisend liter vorige maand]]</f>
        <v>60</v>
      </c>
      <c r="AO45" s="2">
        <f>Tabel24256[[#This Row],[Verbruik Bruisend liter deze maand]]/0.15</f>
        <v>400</v>
      </c>
      <c r="AP45" s="25">
        <v>118.9</v>
      </c>
      <c r="AQ45">
        <f>Tabel2425[[#This Row],[Stand licht bruisend liter einde maand]]</f>
        <v>96.1</v>
      </c>
      <c r="AR45">
        <f>Tabel24256[[#This Row],[Stand licht bruisend liter einde maand]]-Tabel24256[[#This Row],[Stand licht bruisend liter vorige maand]]</f>
        <v>22.800000000000011</v>
      </c>
      <c r="AS45" s="2">
        <f>Tabel24256[[#This Row],[Verbruik licht bruisend liter deze maand]]/0.15</f>
        <v>152.00000000000009</v>
      </c>
      <c r="AT45" s="25">
        <v>1016.3</v>
      </c>
      <c r="AU45">
        <f>Tabel2425[[#This Row],[Stand heet water liter einde maand]]</f>
        <v>836.2</v>
      </c>
      <c r="AV45">
        <f>Tabel24256[[#This Row],[Stand heet water liter einde maand]]-Tabel24256[[#This Row],[Stand heet water liter vorige maand]]</f>
        <v>180.09999999999991</v>
      </c>
      <c r="AW45" s="20">
        <f>Tabel24256[[#This Row],[Verbruik heet Water liter deze maand ]]/0.15</f>
        <v>1200.6666666666661</v>
      </c>
      <c r="AX45" s="4">
        <f>Tabel24256[[#This Row],[Aantal consumpties heet water deze maand]]+Tabel24256[[#This Row],[Aantal consumpties licht bruisend water deze maand]]+Tabel24256[[#This Row],[aantal consumpties Bruisend water deze maand]]+Tabel24256[[#This Row],[Aantal consumpties gekoeld water deze maand]]+Tabel24256[[#This Row],[Aantal consumpties Kamertemp deze maand]]</f>
        <v>2335.9999999999991</v>
      </c>
      <c r="AY45" s="4">
        <f>Tabel24256[[#This Row],[Subtotaal waterbar in consumpties]]+Tabel24256[[#This Row],[Subtotaal koffieautomaten]]</f>
        <v>2335.9999999999991</v>
      </c>
    </row>
    <row r="46" spans="1:51" x14ac:dyDescent="0.25">
      <c r="A46" t="s">
        <v>52</v>
      </c>
      <c r="B46" t="s">
        <v>94</v>
      </c>
      <c r="C46" t="s">
        <v>31</v>
      </c>
      <c r="E46" s="25">
        <v>1587</v>
      </c>
      <c r="F46">
        <f>Tabel2425[[#This Row],[Stand Coffee einde maand]]</f>
        <v>1198</v>
      </c>
      <c r="G46" s="12">
        <f>Tabel24256[[#This Row],[Stand Coffee einde maand]]-Tabel24256[[#This Row],[Coffee vorige maand]]</f>
        <v>389</v>
      </c>
      <c r="H46" s="25">
        <v>1003</v>
      </c>
      <c r="I46">
        <f>Tabel2425[[#This Row],[Stand Espresso Einde maand]]</f>
        <v>788</v>
      </c>
      <c r="J46" s="12">
        <f>Tabel24256[[#This Row],[Stand Espresso Einde maand]]-Tabel24256[[#This Row],[Espresso vorige maand]]</f>
        <v>215</v>
      </c>
      <c r="K46" s="25">
        <v>240</v>
      </c>
      <c r="L46">
        <f>Tabel2425[[#This Row],[Stand Latte Macchiato einde maand]]</f>
        <v>187</v>
      </c>
      <c r="M46">
        <f>Tabel24256[[#This Row],[Stand Latte Macchiato einde maand]]-Tabel24256[[#This Row],[Latte Macchiato vorige maand]]</f>
        <v>53</v>
      </c>
      <c r="N46" s="25">
        <v>157</v>
      </c>
      <c r="O46">
        <f>Tabel2425[[#This Row],[Stand Coffee Latte einde maand]]</f>
        <v>115</v>
      </c>
      <c r="P46">
        <f>Tabel24256[[#This Row],[Stand Coffee Latte einde maand]]-Tabel24256[[#This Row],[Coffee Latte vorige maand]]</f>
        <v>42</v>
      </c>
      <c r="Q46" s="25">
        <v>3331</v>
      </c>
      <c r="R46">
        <f>Tabel2425[[#This Row],[Stand Hot Water einde maand]]</f>
        <v>2646</v>
      </c>
      <c r="S46">
        <f>Tabel24256[[#This Row],[Stand Hot Water einde maand]]-Tabel24256[[#This Row],[Hot Water vorige maand]]</f>
        <v>685</v>
      </c>
      <c r="T46" s="25">
        <v>1477</v>
      </c>
      <c r="U46">
        <f>Tabel2425[[#This Row],[Stand Cappucino einde maand]]</f>
        <v>1151</v>
      </c>
      <c r="V46">
        <f>Tabel24256[[#This Row],[Stand Cappucino einde maand]]-Tabel24256[[#This Row],[Stand Cappucino vorige maand]]</f>
        <v>326</v>
      </c>
      <c r="W46" s="25">
        <v>167</v>
      </c>
      <c r="X46">
        <f>Tabel2425[[#This Row],[Stand Cappucino Plantaardig einde maand]]</f>
        <v>133</v>
      </c>
      <c r="Y46">
        <f>Tabel24256[[#This Row],[Stand Cappucino Plantaardig einde maand]]-Tabel24256[[#This Row],[Stand Cappucino Plantaardig vorige maand]]</f>
        <v>34</v>
      </c>
      <c r="Z46" s="25">
        <v>38</v>
      </c>
      <c r="AA46">
        <f>Tabel2425[[#This Row],[Stand Latte Macchiato Plantaardig einde maand]]</f>
        <v>32</v>
      </c>
      <c r="AB46" s="12">
        <f>Tabel24256[[#This Row],[Stand Latte Macchiato Plantaardig einde maand]]-Tabel24256[[#This Row],[Stand Latte Macchiato Plantaardig vorige maand]]</f>
        <v>6</v>
      </c>
      <c r="AC46" s="3">
        <f>Tabel24256[[#This Row],[Verbruik Stand Latte Macchiato Plantaardig deze maand]]+Tabel24256[[#This Row],[Verbruik  Cappucino Plantaardig deze maand]]+Tabel24256[[#This Row],[Verbruik Cappucino deze maand]]+Tabel24256[[#This Row],[Verbruik Hot Water deze maand]]+Tabel24256[[#This Row],[Verbruik Coffee Latte deze maand]]+Tabel24256[[#This Row],[Verbruik Latte Macchiato deze maand]]+Tabel24256[[#This Row],[Verbruik Espresso deze maand]]+Tabel24256[[#This Row],[Verbruik Coffee deze maand]]</f>
        <v>1750</v>
      </c>
      <c r="AD46" s="26"/>
      <c r="AE46" s="5"/>
      <c r="AF46" s="5"/>
      <c r="AG46" s="7"/>
      <c r="AH46" s="26"/>
      <c r="AI46" s="5"/>
      <c r="AJ46" s="5"/>
      <c r="AK46" s="7"/>
      <c r="AL46" s="26"/>
      <c r="AM46" s="5"/>
      <c r="AN46" s="5"/>
      <c r="AO46" s="7"/>
      <c r="AP46" s="26"/>
      <c r="AQ46" s="5"/>
      <c r="AR46" s="5"/>
      <c r="AS46" s="7"/>
      <c r="AT46" s="26"/>
      <c r="AU46" s="5"/>
      <c r="AV46" s="5"/>
      <c r="AW46" s="21"/>
      <c r="AX46" s="8">
        <f>Tabel24256[[#This Row],[Aantal consumpties heet water deze maand]]+Tabel24256[[#This Row],[Aantal consumpties licht bruisend water deze maand]]+Tabel24256[[#This Row],[aantal consumpties Bruisend water deze maand]]+Tabel24256[[#This Row],[Aantal consumpties gekoeld water deze maand]]+Tabel24256[[#This Row],[Aantal consumpties Kamertemp deze maand]]</f>
        <v>0</v>
      </c>
      <c r="AY46" s="4">
        <f>Tabel24256[[#This Row],[Subtotaal waterbar in consumpties]]+Tabel24256[[#This Row],[Subtotaal koffieautomaten]]</f>
        <v>1750</v>
      </c>
    </row>
    <row r="47" spans="1:51" x14ac:dyDescent="0.25">
      <c r="A47" t="s">
        <v>54</v>
      </c>
      <c r="B47" t="s">
        <v>95</v>
      </c>
      <c r="C47" t="s">
        <v>47</v>
      </c>
      <c r="E47" s="25">
        <v>2411</v>
      </c>
      <c r="F47">
        <f>Tabel2425[[#This Row],[Stand Coffee einde maand]]</f>
        <v>1958</v>
      </c>
      <c r="G47" s="12">
        <f>Tabel24256[[#This Row],[Stand Coffee einde maand]]-Tabel24256[[#This Row],[Coffee vorige maand]]</f>
        <v>453</v>
      </c>
      <c r="H47" s="25">
        <v>617</v>
      </c>
      <c r="I47">
        <f>Tabel2425[[#This Row],[Stand Espresso Einde maand]]</f>
        <v>518</v>
      </c>
      <c r="J47" s="12">
        <f>Tabel24256[[#This Row],[Stand Espresso Einde maand]]-Tabel24256[[#This Row],[Espresso vorige maand]]</f>
        <v>99</v>
      </c>
      <c r="K47" s="25">
        <v>256</v>
      </c>
      <c r="L47">
        <f>Tabel2425[[#This Row],[Stand Latte Macchiato einde maand]]</f>
        <v>227</v>
      </c>
      <c r="M47">
        <f>Tabel24256[[#This Row],[Stand Latte Macchiato einde maand]]-Tabel24256[[#This Row],[Latte Macchiato vorige maand]]</f>
        <v>29</v>
      </c>
      <c r="N47" s="25">
        <v>155</v>
      </c>
      <c r="O47">
        <f>Tabel2425[[#This Row],[Stand Coffee Latte einde maand]]</f>
        <v>141</v>
      </c>
      <c r="P47">
        <f>Tabel24256[[#This Row],[Stand Coffee Latte einde maand]]-Tabel24256[[#This Row],[Coffee Latte vorige maand]]</f>
        <v>14</v>
      </c>
      <c r="Q47" s="25">
        <v>0</v>
      </c>
      <c r="R47">
        <f>Tabel2425[[#This Row],[Stand Hot Water einde maand]]</f>
        <v>0</v>
      </c>
      <c r="S47">
        <f>Tabel24256[[#This Row],[Stand Hot Water einde maand]]-Tabel24256[[#This Row],[Hot Water vorige maand]]</f>
        <v>0</v>
      </c>
      <c r="T47" s="25">
        <v>1088</v>
      </c>
      <c r="U47">
        <f>Tabel2425[[#This Row],[Stand Cappucino einde maand]]</f>
        <v>863</v>
      </c>
      <c r="V47">
        <f>Tabel24256[[#This Row],[Stand Cappucino einde maand]]-Tabel24256[[#This Row],[Stand Cappucino vorige maand]]</f>
        <v>225</v>
      </c>
      <c r="W47" s="25">
        <v>400</v>
      </c>
      <c r="X47">
        <f>Tabel2425[[#This Row],[Stand Cappucino Plantaardig einde maand]]</f>
        <v>341</v>
      </c>
      <c r="Y47">
        <f>Tabel24256[[#This Row],[Stand Cappucino Plantaardig einde maand]]-Tabel24256[[#This Row],[Stand Cappucino Plantaardig vorige maand]]</f>
        <v>59</v>
      </c>
      <c r="Z47" s="25">
        <v>237</v>
      </c>
      <c r="AA47">
        <f>Tabel2425[[#This Row],[Stand Latte Macchiato Plantaardig einde maand]]</f>
        <v>203</v>
      </c>
      <c r="AB47" s="12">
        <f>Tabel24256[[#This Row],[Stand Latte Macchiato Plantaardig einde maand]]-Tabel24256[[#This Row],[Stand Latte Macchiato Plantaardig vorige maand]]</f>
        <v>34</v>
      </c>
      <c r="AC47" s="3">
        <f>Tabel24256[[#This Row],[Verbruik Stand Latte Macchiato Plantaardig deze maand]]+Tabel24256[[#This Row],[Verbruik  Cappucino Plantaardig deze maand]]+Tabel24256[[#This Row],[Verbruik Cappucino deze maand]]+Tabel24256[[#This Row],[Verbruik Hot Water deze maand]]+Tabel24256[[#This Row],[Verbruik Coffee Latte deze maand]]+Tabel24256[[#This Row],[Verbruik Latte Macchiato deze maand]]+Tabel24256[[#This Row],[Verbruik Espresso deze maand]]+Tabel24256[[#This Row],[Verbruik Coffee deze maand]]</f>
        <v>913</v>
      </c>
      <c r="AD47" s="25">
        <v>94.2</v>
      </c>
      <c r="AE47">
        <f>Tabel2425[[#This Row],[Stand Kamertemp liter einde maand]]</f>
        <v>50.4</v>
      </c>
      <c r="AF47">
        <f>Tabel24256[[#This Row],[Stand Kamertemp liter einde maand]]-Tabel24256[[#This Row],[Stand Kamertemp liter vorige maand]]</f>
        <v>43.800000000000004</v>
      </c>
      <c r="AG47" s="2">
        <f>Tabel24256[[#This Row],[Verbruik Kamertemp liter deze maand]]/0.15</f>
        <v>292.00000000000006</v>
      </c>
      <c r="AH47" s="25">
        <v>345.7</v>
      </c>
      <c r="AI47">
        <f>Tabel2425[[#This Row],[Stand Gekoeld liter einde maand]]</f>
        <v>219.2</v>
      </c>
      <c r="AJ47">
        <f>Tabel24256[[#This Row],[Stand Gekoeld liter einde maand]]-Tabel24256[[#This Row],[Stand Gekoeld liter vorige maand]]</f>
        <v>126.5</v>
      </c>
      <c r="AK47" s="2">
        <f>Tabel24256[[#This Row],[Verbruik Gekoeld liter deze maand]]/0.15</f>
        <v>843.33333333333337</v>
      </c>
      <c r="AL47" s="25">
        <v>296</v>
      </c>
      <c r="AM47">
        <f>Tabel2425[[#This Row],[Stand Bruisend liter einde maand]]</f>
        <v>243.2</v>
      </c>
      <c r="AN47">
        <f>Tabel24256[[#This Row],[Stand Bruisend liter einde maand]]-Tabel24256[[#This Row],[Stand Bruisend liter vorige maand]]</f>
        <v>52.800000000000011</v>
      </c>
      <c r="AO47" s="2">
        <f>Tabel24256[[#This Row],[Verbruik Bruisend liter deze maand]]/0.15</f>
        <v>352.00000000000011</v>
      </c>
      <c r="AP47" s="25">
        <v>124.3</v>
      </c>
      <c r="AQ47">
        <f>Tabel2425[[#This Row],[Stand licht bruisend liter einde maand]]</f>
        <v>102.3</v>
      </c>
      <c r="AR47">
        <f>Tabel24256[[#This Row],[Stand licht bruisend liter einde maand]]-Tabel24256[[#This Row],[Stand licht bruisend liter vorige maand]]</f>
        <v>22</v>
      </c>
      <c r="AS47" s="2">
        <f>Tabel24256[[#This Row],[Verbruik licht bruisend liter deze maand]]/0.15</f>
        <v>146.66666666666669</v>
      </c>
      <c r="AT47" s="25">
        <v>1206.4000000000001</v>
      </c>
      <c r="AU47">
        <f>Tabel2425[[#This Row],[Stand heet water liter einde maand]]</f>
        <v>950.9</v>
      </c>
      <c r="AV47">
        <f>Tabel24256[[#This Row],[Stand heet water liter einde maand]]-Tabel24256[[#This Row],[Stand heet water liter vorige maand]]</f>
        <v>255.50000000000011</v>
      </c>
      <c r="AW47" s="20">
        <f>Tabel24256[[#This Row],[Verbruik heet Water liter deze maand ]]/0.15</f>
        <v>1703.3333333333342</v>
      </c>
      <c r="AX47" s="4">
        <f>Tabel24256[[#This Row],[Aantal consumpties heet water deze maand]]+Tabel24256[[#This Row],[Aantal consumpties licht bruisend water deze maand]]+Tabel24256[[#This Row],[aantal consumpties Bruisend water deze maand]]+Tabel24256[[#This Row],[Aantal consumpties gekoeld water deze maand]]+Tabel24256[[#This Row],[Aantal consumpties Kamertemp deze maand]]</f>
        <v>3337.3333333333344</v>
      </c>
      <c r="AY47" s="4">
        <f>Tabel24256[[#This Row],[Subtotaal waterbar in consumpties]]+Tabel24256[[#This Row],[Subtotaal koffieautomaten]]</f>
        <v>4250.3333333333339</v>
      </c>
    </row>
    <row r="48" spans="1:51" x14ac:dyDescent="0.25">
      <c r="A48" t="s">
        <v>56</v>
      </c>
      <c r="B48" t="s">
        <v>96</v>
      </c>
      <c r="C48" t="s">
        <v>36</v>
      </c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25">
        <v>76</v>
      </c>
      <c r="AE48">
        <f>Tabel2425[[#This Row],[Stand Kamertemp liter einde maand]]</f>
        <v>49.3</v>
      </c>
      <c r="AF48">
        <f>Tabel24256[[#This Row],[Stand Kamertemp liter einde maand]]-Tabel24256[[#This Row],[Stand Kamertemp liter vorige maand]]</f>
        <v>26.700000000000003</v>
      </c>
      <c r="AG48" s="2">
        <f>Tabel24256[[#This Row],[Verbruik Kamertemp liter deze maand]]/0.15</f>
        <v>178.00000000000003</v>
      </c>
      <c r="AH48" s="25">
        <v>451.7</v>
      </c>
      <c r="AI48">
        <f>Tabel2425[[#This Row],[Stand Gekoeld liter einde maand]]</f>
        <v>316.7</v>
      </c>
      <c r="AJ48">
        <f>Tabel24256[[#This Row],[Stand Gekoeld liter einde maand]]-Tabel24256[[#This Row],[Stand Gekoeld liter vorige maand]]</f>
        <v>135</v>
      </c>
      <c r="AK48" s="2">
        <f>Tabel24256[[#This Row],[Verbruik Gekoeld liter deze maand]]/0.15</f>
        <v>900</v>
      </c>
      <c r="AL48" s="25">
        <v>239.2</v>
      </c>
      <c r="AM48">
        <f>Tabel2425[[#This Row],[Stand Bruisend liter einde maand]]</f>
        <v>184.2</v>
      </c>
      <c r="AN48">
        <f>Tabel24256[[#This Row],[Stand Bruisend liter einde maand]]-Tabel24256[[#This Row],[Stand Bruisend liter vorige maand]]</f>
        <v>55</v>
      </c>
      <c r="AO48" s="2">
        <f>Tabel24256[[#This Row],[Verbruik Bruisend liter deze maand]]/0.15</f>
        <v>366.66666666666669</v>
      </c>
      <c r="AP48" s="25">
        <v>198.4</v>
      </c>
      <c r="AQ48">
        <f>Tabel2425[[#This Row],[Stand licht bruisend liter einde maand]]</f>
        <v>159.30000000000001</v>
      </c>
      <c r="AR48">
        <f>Tabel24256[[#This Row],[Stand licht bruisend liter einde maand]]-Tabel24256[[#This Row],[Stand licht bruisend liter vorige maand]]</f>
        <v>39.099999999999994</v>
      </c>
      <c r="AS48" s="2">
        <f>Tabel24256[[#This Row],[Verbruik licht bruisend liter deze maand]]/0.15</f>
        <v>260.66666666666663</v>
      </c>
      <c r="AT48" s="25">
        <v>1946</v>
      </c>
      <c r="AU48">
        <f>Tabel2425[[#This Row],[Stand heet water liter einde maand]]</f>
        <v>1617.6</v>
      </c>
      <c r="AV48">
        <f>Tabel24256[[#This Row],[Stand heet water liter einde maand]]-Tabel24256[[#This Row],[Stand heet water liter vorige maand]]</f>
        <v>328.40000000000009</v>
      </c>
      <c r="AW48" s="20">
        <f>Tabel24256[[#This Row],[Verbruik heet Water liter deze maand ]]/0.15</f>
        <v>2189.3333333333339</v>
      </c>
      <c r="AX48" s="4">
        <f>Tabel24256[[#This Row],[Aantal consumpties heet water deze maand]]+Tabel24256[[#This Row],[Aantal consumpties licht bruisend water deze maand]]+Tabel24256[[#This Row],[aantal consumpties Bruisend water deze maand]]+Tabel24256[[#This Row],[Aantal consumpties gekoeld water deze maand]]+Tabel24256[[#This Row],[Aantal consumpties Kamertemp deze maand]]</f>
        <v>3894.666666666667</v>
      </c>
      <c r="AY48" s="4">
        <f>Tabel24256[[#This Row],[Subtotaal waterbar in consumpties]]+Tabel24256[[#This Row],[Subtotaal koffieautomaten]]</f>
        <v>3894.666666666667</v>
      </c>
    </row>
    <row r="49" spans="1:51" x14ac:dyDescent="0.25">
      <c r="A49" t="s">
        <v>58</v>
      </c>
      <c r="B49" t="s">
        <v>97</v>
      </c>
      <c r="C49" t="s">
        <v>31</v>
      </c>
      <c r="E49" s="25">
        <v>2235</v>
      </c>
      <c r="F49">
        <f>Tabel2425[[#This Row],[Stand Coffee einde maand]]</f>
        <v>1838</v>
      </c>
      <c r="G49" s="12">
        <f>Tabel24256[[#This Row],[Stand Coffee einde maand]]-Tabel24256[[#This Row],[Coffee vorige maand]]</f>
        <v>397</v>
      </c>
      <c r="H49" s="25">
        <v>466</v>
      </c>
      <c r="I49">
        <f>Tabel2425[[#This Row],[Stand Espresso Einde maand]]</f>
        <v>311</v>
      </c>
      <c r="J49" s="12">
        <f>Tabel24256[[#This Row],[Stand Espresso Einde maand]]-Tabel24256[[#This Row],[Espresso vorige maand]]</f>
        <v>155</v>
      </c>
      <c r="K49" s="25">
        <v>210</v>
      </c>
      <c r="L49">
        <f>Tabel2425[[#This Row],[Stand Latte Macchiato einde maand]]</f>
        <v>181</v>
      </c>
      <c r="M49">
        <f>Tabel24256[[#This Row],[Stand Latte Macchiato einde maand]]-Tabel24256[[#This Row],[Latte Macchiato vorige maand]]</f>
        <v>29</v>
      </c>
      <c r="N49" s="25">
        <v>255</v>
      </c>
      <c r="O49">
        <f>Tabel2425[[#This Row],[Stand Coffee Latte einde maand]]</f>
        <v>186</v>
      </c>
      <c r="P49">
        <f>Tabel24256[[#This Row],[Stand Coffee Latte einde maand]]-Tabel24256[[#This Row],[Coffee Latte vorige maand]]</f>
        <v>69</v>
      </c>
      <c r="Q49" s="25">
        <v>2399</v>
      </c>
      <c r="R49">
        <f>Tabel2425[[#This Row],[Stand Hot Water einde maand]]</f>
        <v>1928</v>
      </c>
      <c r="S49">
        <f>Tabel24256[[#This Row],[Stand Hot Water einde maand]]-Tabel24256[[#This Row],[Hot Water vorige maand]]</f>
        <v>471</v>
      </c>
      <c r="T49" s="25">
        <v>1262</v>
      </c>
      <c r="U49">
        <f>Tabel2425[[#This Row],[Stand Cappucino einde maand]]</f>
        <v>985</v>
      </c>
      <c r="V49">
        <f>Tabel24256[[#This Row],[Stand Cappucino einde maand]]-Tabel24256[[#This Row],[Stand Cappucino vorige maand]]</f>
        <v>277</v>
      </c>
      <c r="W49" s="25">
        <v>519</v>
      </c>
      <c r="X49">
        <f>Tabel2425[[#This Row],[Stand Cappucino Plantaardig einde maand]]</f>
        <v>441</v>
      </c>
      <c r="Y49">
        <f>Tabel24256[[#This Row],[Stand Cappucino Plantaardig einde maand]]-Tabel24256[[#This Row],[Stand Cappucino Plantaardig vorige maand]]</f>
        <v>78</v>
      </c>
      <c r="Z49" s="25">
        <v>109</v>
      </c>
      <c r="AA49">
        <f>Tabel2425[[#This Row],[Stand Latte Macchiato Plantaardig einde maand]]</f>
        <v>105</v>
      </c>
      <c r="AB49" s="12">
        <f>Tabel24256[[#This Row],[Stand Latte Macchiato Plantaardig einde maand]]-Tabel24256[[#This Row],[Stand Latte Macchiato Plantaardig vorige maand]]</f>
        <v>4</v>
      </c>
      <c r="AC49" s="3">
        <f>Tabel24256[[#This Row],[Verbruik Stand Latte Macchiato Plantaardig deze maand]]+Tabel24256[[#This Row],[Verbruik  Cappucino Plantaardig deze maand]]+Tabel24256[[#This Row],[Verbruik Cappucino deze maand]]+Tabel24256[[#This Row],[Verbruik Hot Water deze maand]]+Tabel24256[[#This Row],[Verbruik Coffee Latte deze maand]]+Tabel24256[[#This Row],[Verbruik Latte Macchiato deze maand]]+Tabel24256[[#This Row],[Verbruik Espresso deze maand]]+Tabel24256[[#This Row],[Verbruik Coffee deze maand]]</f>
        <v>1480</v>
      </c>
      <c r="AD49" s="26"/>
      <c r="AE49" s="5"/>
      <c r="AF49" s="5"/>
      <c r="AG49" s="7"/>
      <c r="AH49" s="26"/>
      <c r="AI49" s="5"/>
      <c r="AJ49" s="5"/>
      <c r="AK49" s="7"/>
      <c r="AL49" s="26"/>
      <c r="AM49" s="5"/>
      <c r="AN49" s="5"/>
      <c r="AO49" s="7"/>
      <c r="AP49" s="26"/>
      <c r="AQ49" s="5"/>
      <c r="AR49" s="5"/>
      <c r="AS49" s="7"/>
      <c r="AT49" s="26"/>
      <c r="AU49" s="5">
        <f>Tabel242[[#This Row],[Stand heet water liter einde maand]]</f>
        <v>0</v>
      </c>
      <c r="AV49" s="5"/>
      <c r="AW49" s="21"/>
      <c r="AX49" s="8">
        <f>Tabel24256[[#This Row],[Aantal consumpties heet water deze maand]]+Tabel24256[[#This Row],[Aantal consumpties licht bruisend water deze maand]]+Tabel24256[[#This Row],[aantal consumpties Bruisend water deze maand]]+Tabel24256[[#This Row],[Aantal consumpties gekoeld water deze maand]]+Tabel24256[[#This Row],[Aantal consumpties Kamertemp deze maand]]</f>
        <v>0</v>
      </c>
      <c r="AY49" s="4">
        <f>Tabel24256[[#This Row],[Subtotaal waterbar in consumpties]]+Tabel24256[[#This Row],[Subtotaal koffieautomaten]]</f>
        <v>1480</v>
      </c>
    </row>
    <row r="50" spans="1:51" x14ac:dyDescent="0.25">
      <c r="A50" t="s">
        <v>60</v>
      </c>
      <c r="B50" t="s">
        <v>98</v>
      </c>
      <c r="C50" t="s">
        <v>47</v>
      </c>
      <c r="E50" s="25">
        <v>1090</v>
      </c>
      <c r="F50">
        <f>Tabel2425[[#This Row],[Stand Coffee einde maand]]</f>
        <v>807</v>
      </c>
      <c r="G50" s="12">
        <f>Tabel24256[[#This Row],[Stand Coffee einde maand]]-Tabel24256[[#This Row],[Coffee vorige maand]]</f>
        <v>283</v>
      </c>
      <c r="H50" s="25">
        <v>347</v>
      </c>
      <c r="I50">
        <f>Tabel2425[[#This Row],[Stand Espresso Einde maand]]</f>
        <v>285</v>
      </c>
      <c r="J50" s="12">
        <f>Tabel24256[[#This Row],[Stand Espresso Einde maand]]-Tabel24256[[#This Row],[Espresso vorige maand]]</f>
        <v>62</v>
      </c>
      <c r="K50" s="25">
        <v>245</v>
      </c>
      <c r="L50">
        <f>Tabel2425[[#This Row],[Stand Latte Macchiato einde maand]]</f>
        <v>225</v>
      </c>
      <c r="M50">
        <f>Tabel24256[[#This Row],[Stand Latte Macchiato einde maand]]-Tabel24256[[#This Row],[Latte Macchiato vorige maand]]</f>
        <v>20</v>
      </c>
      <c r="N50" s="25">
        <v>121</v>
      </c>
      <c r="O50">
        <f>Tabel2425[[#This Row],[Stand Coffee Latte einde maand]]</f>
        <v>93</v>
      </c>
      <c r="P50">
        <f>Tabel24256[[#This Row],[Stand Coffee Latte einde maand]]-Tabel24256[[#This Row],[Coffee Latte vorige maand]]</f>
        <v>28</v>
      </c>
      <c r="Q50" s="25">
        <v>1</v>
      </c>
      <c r="R50">
        <f>Tabel2425[[#This Row],[Stand Hot Water einde maand]]</f>
        <v>1</v>
      </c>
      <c r="S50">
        <f>Tabel24256[[#This Row],[Stand Hot Water einde maand]]-Tabel24256[[#This Row],[Hot Water vorige maand]]</f>
        <v>0</v>
      </c>
      <c r="T50" s="25">
        <v>664</v>
      </c>
      <c r="U50">
        <f>Tabel2425[[#This Row],[Stand Cappucino einde maand]]</f>
        <v>490</v>
      </c>
      <c r="V50">
        <f>Tabel24256[[#This Row],[Stand Cappucino einde maand]]-Tabel24256[[#This Row],[Stand Cappucino vorige maand]]</f>
        <v>174</v>
      </c>
      <c r="W50" s="25">
        <v>206</v>
      </c>
      <c r="X50">
        <f>Tabel2425[[#This Row],[Stand Cappucino Plantaardig einde maand]]</f>
        <v>180</v>
      </c>
      <c r="Y50">
        <f>Tabel24256[[#This Row],[Stand Cappucino Plantaardig einde maand]]-Tabel24256[[#This Row],[Stand Cappucino Plantaardig vorige maand]]</f>
        <v>26</v>
      </c>
      <c r="Z50" s="25">
        <v>60</v>
      </c>
      <c r="AA50">
        <f>Tabel2425[[#This Row],[Stand Latte Macchiato Plantaardig einde maand]]</f>
        <v>48</v>
      </c>
      <c r="AB50" s="12">
        <f>Tabel24256[[#This Row],[Stand Latte Macchiato Plantaardig einde maand]]-Tabel24256[[#This Row],[Stand Latte Macchiato Plantaardig vorige maand]]</f>
        <v>12</v>
      </c>
      <c r="AC50" s="3">
        <f>Tabel24256[[#This Row],[Verbruik Stand Latte Macchiato Plantaardig deze maand]]+Tabel24256[[#This Row],[Verbruik  Cappucino Plantaardig deze maand]]+Tabel24256[[#This Row],[Verbruik Cappucino deze maand]]+Tabel24256[[#This Row],[Verbruik Hot Water deze maand]]+Tabel24256[[#This Row],[Verbruik Coffee Latte deze maand]]+Tabel24256[[#This Row],[Verbruik Latte Macchiato deze maand]]+Tabel24256[[#This Row],[Verbruik Espresso deze maand]]+Tabel24256[[#This Row],[Verbruik Coffee deze maand]]</f>
        <v>605</v>
      </c>
      <c r="AD50" s="25">
        <v>69.2</v>
      </c>
      <c r="AE50">
        <f>Tabel2425[[#This Row],[Stand Kamertemp liter einde maand]]</f>
        <v>49.3</v>
      </c>
      <c r="AF50">
        <f>Tabel24256[[#This Row],[Stand Kamertemp liter einde maand]]-Tabel24256[[#This Row],[Stand Kamertemp liter vorige maand]]</f>
        <v>19.900000000000006</v>
      </c>
      <c r="AG50" s="2">
        <f>Tabel24256[[#This Row],[Verbruik Kamertemp liter deze maand]]/0.15</f>
        <v>132.66666666666671</v>
      </c>
      <c r="AH50" s="25">
        <v>304</v>
      </c>
      <c r="AI50">
        <f>Tabel2425[[#This Row],[Stand Gekoeld liter einde maand]]</f>
        <v>201.7</v>
      </c>
      <c r="AJ50">
        <f>Tabel24256[[#This Row],[Stand Gekoeld liter einde maand]]-Tabel24256[[#This Row],[Stand Gekoeld liter vorige maand]]</f>
        <v>102.30000000000001</v>
      </c>
      <c r="AK50" s="2">
        <f>Tabel24256[[#This Row],[Verbruik Gekoeld liter deze maand]]/0.15</f>
        <v>682.00000000000011</v>
      </c>
      <c r="AL50" s="25">
        <v>184</v>
      </c>
      <c r="AM50">
        <f>Tabel2425[[#This Row],[Stand Bruisend liter einde maand]]</f>
        <v>135</v>
      </c>
      <c r="AN50">
        <f>Tabel24256[[#This Row],[Stand Bruisend liter einde maand]]-Tabel24256[[#This Row],[Stand Bruisend liter vorige maand]]</f>
        <v>49</v>
      </c>
      <c r="AO50" s="2">
        <f>Tabel24256[[#This Row],[Verbruik Bruisend liter deze maand]]/0.15</f>
        <v>326.66666666666669</v>
      </c>
      <c r="AP50" s="25">
        <v>67.8</v>
      </c>
      <c r="AQ50">
        <f>Tabel2425[[#This Row],[Stand licht bruisend liter einde maand]]</f>
        <v>57.3</v>
      </c>
      <c r="AR50">
        <f>Tabel24256[[#This Row],[Stand licht bruisend liter einde maand]]-Tabel24256[[#This Row],[Stand licht bruisend liter vorige maand]]</f>
        <v>10.5</v>
      </c>
      <c r="AS50" s="2">
        <f>Tabel24256[[#This Row],[Verbruik licht bruisend liter deze maand]]/0.15</f>
        <v>70</v>
      </c>
      <c r="AT50" s="25">
        <v>1101.5999999999999</v>
      </c>
      <c r="AU50">
        <f>Tabel2425[[#This Row],[Stand heet water liter einde maand]]</f>
        <v>867.3</v>
      </c>
      <c r="AV50">
        <f>Tabel24256[[#This Row],[Stand heet water liter einde maand]]-Tabel24256[[#This Row],[Stand heet water liter vorige maand]]</f>
        <v>234.29999999999995</v>
      </c>
      <c r="AW50" s="20">
        <f>Tabel24256[[#This Row],[Verbruik heet Water liter deze maand ]]/0.15</f>
        <v>1561.9999999999998</v>
      </c>
      <c r="AX50" s="4">
        <f>Tabel24256[[#This Row],[Aantal consumpties heet water deze maand]]+Tabel24256[[#This Row],[Aantal consumpties licht bruisend water deze maand]]+Tabel24256[[#This Row],[aantal consumpties Bruisend water deze maand]]+Tabel24256[[#This Row],[Aantal consumpties gekoeld water deze maand]]+Tabel24256[[#This Row],[Aantal consumpties Kamertemp deze maand]]</f>
        <v>2773.333333333333</v>
      </c>
      <c r="AY50" s="4">
        <f>Tabel24256[[#This Row],[Subtotaal waterbar in consumpties]]+Tabel24256[[#This Row],[Subtotaal koffieautomaten]]</f>
        <v>3378.333333333333</v>
      </c>
    </row>
    <row r="51" spans="1:51" x14ac:dyDescent="0.25">
      <c r="A51" s="3" t="s">
        <v>99</v>
      </c>
      <c r="E51" s="25"/>
      <c r="F51">
        <f>Tabel2425[[#This Row],[Stand Coffee einde maand]]</f>
        <v>0</v>
      </c>
      <c r="G51" s="12">
        <f>Tabel24256[[#This Row],[Stand Coffee einde maand]]-Tabel24256[[#This Row],[Coffee vorige maand]]</f>
        <v>0</v>
      </c>
      <c r="H51" s="25"/>
      <c r="I51">
        <f>Tabel2425[[#This Row],[Stand Espresso Einde maand]]</f>
        <v>0</v>
      </c>
      <c r="J51" s="12">
        <f>Tabel24256[[#This Row],[Stand Espresso Einde maand]]-Tabel24256[[#This Row],[Espresso vorige maand]]</f>
        <v>0</v>
      </c>
      <c r="K51" s="25"/>
      <c r="L51">
        <f>Tabel2425[[#This Row],[Stand Latte Macchiato einde maand]]</f>
        <v>0</v>
      </c>
      <c r="M51">
        <f>Tabel24256[[#This Row],[Stand Latte Macchiato einde maand]]-Tabel24256[[#This Row],[Latte Macchiato vorige maand]]</f>
        <v>0</v>
      </c>
      <c r="N51" s="25"/>
      <c r="O51">
        <f>Tabel2425[[#This Row],[Stand Coffee Latte einde maand]]</f>
        <v>0</v>
      </c>
      <c r="P51">
        <f>Tabel24256[[#This Row],[Stand Coffee Latte einde maand]]-Tabel24256[[#This Row],[Coffee Latte vorige maand]]</f>
        <v>0</v>
      </c>
      <c r="Q51" s="25"/>
      <c r="R51">
        <f>Tabel2425[[#This Row],[Stand Hot Water einde maand]]</f>
        <v>0</v>
      </c>
      <c r="S51">
        <f>Tabel24256[[#This Row],[Stand Hot Water einde maand]]-Tabel24256[[#This Row],[Hot Water vorige maand]]</f>
        <v>0</v>
      </c>
      <c r="T51" s="25"/>
      <c r="U51">
        <f>Tabel2425[[#This Row],[Stand Cappucino einde maand]]</f>
        <v>0</v>
      </c>
      <c r="V51">
        <f>Tabel24256[[#This Row],[Stand Cappucino einde maand]]-Tabel24256[[#This Row],[Stand Cappucino vorige maand]]</f>
        <v>0</v>
      </c>
      <c r="W51" s="25"/>
      <c r="X51">
        <f>Tabel2425[[#This Row],[Stand Cappucino Plantaardig einde maand]]</f>
        <v>0</v>
      </c>
      <c r="Y51">
        <f>Tabel24256[[#This Row],[Stand Cappucino Plantaardig einde maand]]-Tabel24256[[#This Row],[Stand Cappucino Plantaardig vorige maand]]</f>
        <v>0</v>
      </c>
      <c r="Z51" s="25"/>
      <c r="AA51">
        <f>Tabel2425[[#This Row],[Stand Latte Macchiato Plantaardig einde maand]]</f>
        <v>0</v>
      </c>
      <c r="AB51" s="12">
        <f>Tabel24256[[#This Row],[Stand Latte Macchiato Plantaardig einde maand]]-Tabel24256[[#This Row],[Stand Latte Macchiato Plantaardig vorige maand]]</f>
        <v>0</v>
      </c>
      <c r="AC51" s="3">
        <f>Tabel24256[[#This Row],[Verbruik Stand Latte Macchiato Plantaardig deze maand]]+Tabel24256[[#This Row],[Verbruik  Cappucino Plantaardig deze maand]]+Tabel24256[[#This Row],[Verbruik Cappucino deze maand]]+Tabel24256[[#This Row],[Verbruik Hot Water deze maand]]+Tabel24256[[#This Row],[Verbruik Coffee Latte deze maand]]+Tabel24256[[#This Row],[Verbruik Latte Macchiato deze maand]]+Tabel24256[[#This Row],[Verbruik Espresso deze maand]]+Tabel24256[[#This Row],[Verbruik Coffee deze maand]]</f>
        <v>0</v>
      </c>
      <c r="AD51" s="25"/>
      <c r="AG51" s="2"/>
      <c r="AH51" s="25"/>
      <c r="AK51" s="2"/>
      <c r="AL51" s="25"/>
      <c r="AO51" s="2"/>
      <c r="AP51" s="25"/>
      <c r="AS51" s="2"/>
      <c r="AT51" s="25"/>
      <c r="AU51">
        <f>Tabel242[[#This Row],[Stand heet water liter einde maand]]</f>
        <v>0</v>
      </c>
      <c r="AV51">
        <f>Tabel24256[[#This Row],[Stand heet water liter einde maand]]-Tabel24256[[#This Row],[Stand heet water liter vorige maand]]</f>
        <v>0</v>
      </c>
      <c r="AW51" s="20">
        <f>Tabel24256[[#This Row],[Verbruik heet Water liter deze maand ]]/0.15</f>
        <v>0</v>
      </c>
      <c r="AX51" s="4"/>
      <c r="AY51" s="4">
        <f>Tabel24256[[#This Row],[Subtotaal waterbar in consumpties]]+Tabel24256[[#This Row],[Subtotaal koffieautomaten]]</f>
        <v>0</v>
      </c>
    </row>
    <row r="52" spans="1:51" x14ac:dyDescent="0.25">
      <c r="A52" t="s">
        <v>43</v>
      </c>
      <c r="B52" t="s">
        <v>100</v>
      </c>
      <c r="C52" t="s">
        <v>31</v>
      </c>
      <c r="E52" s="25">
        <v>1646</v>
      </c>
      <c r="F52">
        <f>Tabel2425[[#This Row],[Stand Coffee einde maand]]</f>
        <v>1240</v>
      </c>
      <c r="G52" s="12">
        <f>Tabel24256[[#This Row],[Stand Coffee einde maand]]-Tabel24256[[#This Row],[Coffee vorige maand]]</f>
        <v>406</v>
      </c>
      <c r="H52" s="25">
        <v>526</v>
      </c>
      <c r="I52">
        <f>Tabel2425[[#This Row],[Stand Espresso Einde maand]]</f>
        <v>396</v>
      </c>
      <c r="J52" s="12">
        <f>Tabel24256[[#This Row],[Stand Espresso Einde maand]]-Tabel24256[[#This Row],[Espresso vorige maand]]</f>
        <v>130</v>
      </c>
      <c r="K52" s="25">
        <v>223</v>
      </c>
      <c r="L52">
        <f>Tabel2425[[#This Row],[Stand Latte Macchiato einde maand]]</f>
        <v>182</v>
      </c>
      <c r="M52">
        <f>Tabel24256[[#This Row],[Stand Latte Macchiato einde maand]]-Tabel24256[[#This Row],[Latte Macchiato vorige maand]]</f>
        <v>41</v>
      </c>
      <c r="N52" s="25">
        <v>162</v>
      </c>
      <c r="O52">
        <f>Tabel2425[[#This Row],[Stand Coffee Latte einde maand]]</f>
        <v>144</v>
      </c>
      <c r="P52">
        <f>Tabel24256[[#This Row],[Stand Coffee Latte einde maand]]-Tabel24256[[#This Row],[Coffee Latte vorige maand]]</f>
        <v>18</v>
      </c>
      <c r="Q52" s="25">
        <v>4724</v>
      </c>
      <c r="R52">
        <f>Tabel2425[[#This Row],[Stand Hot Water einde maand]]</f>
        <v>3677</v>
      </c>
      <c r="S52">
        <f>Tabel24256[[#This Row],[Stand Hot Water einde maand]]-Tabel24256[[#This Row],[Hot Water vorige maand]]</f>
        <v>1047</v>
      </c>
      <c r="T52" s="25">
        <v>423</v>
      </c>
      <c r="U52">
        <f>Tabel2425[[#This Row],[Stand Cappucino einde maand]]</f>
        <v>346</v>
      </c>
      <c r="V52">
        <f>Tabel24256[[#This Row],[Stand Cappucino einde maand]]-Tabel24256[[#This Row],[Stand Cappucino vorige maand]]</f>
        <v>77</v>
      </c>
      <c r="W52" s="25">
        <v>110</v>
      </c>
      <c r="X52">
        <f>Tabel2425[[#This Row],[Stand Cappucino Plantaardig einde maand]]</f>
        <v>88</v>
      </c>
      <c r="Y52">
        <f>Tabel24256[[#This Row],[Stand Cappucino Plantaardig einde maand]]-Tabel24256[[#This Row],[Stand Cappucino Plantaardig vorige maand]]</f>
        <v>22</v>
      </c>
      <c r="Z52" s="25">
        <v>81</v>
      </c>
      <c r="AA52">
        <f>Tabel2425[[#This Row],[Stand Latte Macchiato Plantaardig einde maand]]</f>
        <v>56</v>
      </c>
      <c r="AB52" s="12">
        <f>Tabel24256[[#This Row],[Stand Latte Macchiato Plantaardig einde maand]]-Tabel24256[[#This Row],[Stand Latte Macchiato Plantaardig vorige maand]]</f>
        <v>25</v>
      </c>
      <c r="AC52" s="3">
        <f>Tabel24256[[#This Row],[Verbruik Stand Latte Macchiato Plantaardig deze maand]]+Tabel24256[[#This Row],[Verbruik  Cappucino Plantaardig deze maand]]+Tabel24256[[#This Row],[Verbruik Cappucino deze maand]]+Tabel24256[[#This Row],[Verbruik Hot Water deze maand]]+Tabel24256[[#This Row],[Verbruik Coffee Latte deze maand]]+Tabel24256[[#This Row],[Verbruik Latte Macchiato deze maand]]+Tabel24256[[#This Row],[Verbruik Espresso deze maand]]+Tabel24256[[#This Row],[Verbruik Coffee deze maand]]</f>
        <v>1766</v>
      </c>
      <c r="AD52" s="26"/>
      <c r="AE52" s="5"/>
      <c r="AF52" s="5"/>
      <c r="AG52" s="7"/>
      <c r="AH52" s="26"/>
      <c r="AI52" s="5"/>
      <c r="AJ52" s="5"/>
      <c r="AK52" s="7"/>
      <c r="AL52" s="26"/>
      <c r="AM52" s="5"/>
      <c r="AN52" s="5"/>
      <c r="AO52" s="7"/>
      <c r="AP52" s="26"/>
      <c r="AQ52" s="5"/>
      <c r="AR52" s="5"/>
      <c r="AS52" s="7"/>
      <c r="AT52" s="26"/>
      <c r="AU52" s="5">
        <f>Tabel242[[#This Row],[Stand heet water liter einde maand]]</f>
        <v>0</v>
      </c>
      <c r="AV52" s="5"/>
      <c r="AW52" s="21"/>
      <c r="AX52" s="8"/>
      <c r="AY52" s="4">
        <f>Tabel24256[[#This Row],[Subtotaal waterbar in consumpties]]+Tabel24256[[#This Row],[Subtotaal koffieautomaten]]</f>
        <v>1766</v>
      </c>
    </row>
    <row r="53" spans="1:51" x14ac:dyDescent="0.25">
      <c r="A53" t="s">
        <v>45</v>
      </c>
      <c r="B53" t="s">
        <v>101</v>
      </c>
      <c r="C53" t="s">
        <v>47</v>
      </c>
      <c r="E53" s="25">
        <v>1896</v>
      </c>
      <c r="F53">
        <f>Tabel2425[[#This Row],[Stand Coffee einde maand]]</f>
        <v>1475</v>
      </c>
      <c r="G53" s="12">
        <f>Tabel24256[[#This Row],[Stand Coffee einde maand]]-Tabel24256[[#This Row],[Coffee vorige maand]]</f>
        <v>421</v>
      </c>
      <c r="H53" s="25">
        <v>578</v>
      </c>
      <c r="I53">
        <f>Tabel2425[[#This Row],[Stand Espresso Einde maand]]</f>
        <v>457</v>
      </c>
      <c r="J53" s="12">
        <f>Tabel24256[[#This Row],[Stand Espresso Einde maand]]-Tabel24256[[#This Row],[Espresso vorige maand]]</f>
        <v>121</v>
      </c>
      <c r="K53" s="25">
        <v>154</v>
      </c>
      <c r="L53">
        <f>Tabel2425[[#This Row],[Stand Latte Macchiato einde maand]]</f>
        <v>124</v>
      </c>
      <c r="M53">
        <f>Tabel24256[[#This Row],[Stand Latte Macchiato einde maand]]-Tabel24256[[#This Row],[Latte Macchiato vorige maand]]</f>
        <v>30</v>
      </c>
      <c r="N53" s="25">
        <v>103</v>
      </c>
      <c r="O53">
        <f>Tabel2425[[#This Row],[Stand Coffee Latte einde maand]]</f>
        <v>68</v>
      </c>
      <c r="P53">
        <f>Tabel24256[[#This Row],[Stand Coffee Latte einde maand]]-Tabel24256[[#This Row],[Coffee Latte vorige maand]]</f>
        <v>35</v>
      </c>
      <c r="Q53" s="25">
        <v>1</v>
      </c>
      <c r="R53">
        <f>Tabel2425[[#This Row],[Stand Hot Water einde maand]]</f>
        <v>1</v>
      </c>
      <c r="S53">
        <f>Tabel24256[[#This Row],[Stand Hot Water einde maand]]-Tabel24256[[#This Row],[Hot Water vorige maand]]</f>
        <v>0</v>
      </c>
      <c r="T53" s="25">
        <v>781</v>
      </c>
      <c r="U53">
        <f>Tabel2425[[#This Row],[Stand Cappucino einde maand]]</f>
        <v>603</v>
      </c>
      <c r="V53">
        <f>Tabel24256[[#This Row],[Stand Cappucino einde maand]]-Tabel24256[[#This Row],[Stand Cappucino vorige maand]]</f>
        <v>178</v>
      </c>
      <c r="W53" s="25">
        <v>180</v>
      </c>
      <c r="X53">
        <f>Tabel2425[[#This Row],[Stand Cappucino Plantaardig einde maand]]</f>
        <v>146</v>
      </c>
      <c r="Y53">
        <f>Tabel24256[[#This Row],[Stand Cappucino Plantaardig einde maand]]-Tabel24256[[#This Row],[Stand Cappucino Plantaardig vorige maand]]</f>
        <v>34</v>
      </c>
      <c r="Z53" s="25">
        <v>88</v>
      </c>
      <c r="AA53">
        <f>Tabel2425[[#This Row],[Stand Latte Macchiato Plantaardig einde maand]]</f>
        <v>69</v>
      </c>
      <c r="AB53" s="12">
        <f>Tabel24256[[#This Row],[Stand Latte Macchiato Plantaardig einde maand]]-Tabel24256[[#This Row],[Stand Latte Macchiato Plantaardig vorige maand]]</f>
        <v>19</v>
      </c>
      <c r="AC53" s="3">
        <f>Tabel24256[[#This Row],[Verbruik Stand Latte Macchiato Plantaardig deze maand]]+Tabel24256[[#This Row],[Verbruik  Cappucino Plantaardig deze maand]]+Tabel24256[[#This Row],[Verbruik Cappucino deze maand]]+Tabel24256[[#This Row],[Verbruik Hot Water deze maand]]+Tabel24256[[#This Row],[Verbruik Coffee Latte deze maand]]+Tabel24256[[#This Row],[Verbruik Latte Macchiato deze maand]]+Tabel24256[[#This Row],[Verbruik Espresso deze maand]]+Tabel24256[[#This Row],[Verbruik Coffee deze maand]]</f>
        <v>838</v>
      </c>
      <c r="AD53" s="25">
        <v>101.2</v>
      </c>
      <c r="AE53">
        <f>Tabel2425[[#This Row],[Stand Kamertemp liter einde maand]]</f>
        <v>69.5</v>
      </c>
      <c r="AF53">
        <f>Tabel24256[[#This Row],[Stand Kamertemp liter einde maand]]-Tabel24256[[#This Row],[Stand Kamertemp liter vorige maand]]</f>
        <v>31.700000000000003</v>
      </c>
      <c r="AG53" s="2">
        <f>Tabel24256[[#This Row],[Verbruik Kamertemp liter deze maand]]/0.15</f>
        <v>211.33333333333337</v>
      </c>
      <c r="AH53" s="25">
        <v>328.2</v>
      </c>
      <c r="AI53">
        <f>Tabel2425[[#This Row],[Stand Gekoeld liter einde maand]]</f>
        <v>247.6</v>
      </c>
      <c r="AJ53">
        <f>Tabel24256[[#This Row],[Stand Gekoeld liter einde maand]]-Tabel24256[[#This Row],[Stand Gekoeld liter vorige maand]]</f>
        <v>80.599999999999994</v>
      </c>
      <c r="AK53" s="2">
        <f>Tabel24256[[#This Row],[Verbruik Gekoeld liter deze maand]]/0.15</f>
        <v>537.33333333333337</v>
      </c>
      <c r="AL53" s="25">
        <v>567.20000000000005</v>
      </c>
      <c r="AM53">
        <f>Tabel2425[[#This Row],[Stand Bruisend liter einde maand]]</f>
        <v>418.6</v>
      </c>
      <c r="AN53">
        <f>Tabel24256[[#This Row],[Stand Bruisend liter einde maand]]-Tabel24256[[#This Row],[Stand Bruisend liter vorige maand]]</f>
        <v>148.60000000000002</v>
      </c>
      <c r="AO53" s="2">
        <f>Tabel24256[[#This Row],[Verbruik Bruisend liter deze maand]]/0.15</f>
        <v>990.66666666666686</v>
      </c>
      <c r="AP53" s="25">
        <v>221.9</v>
      </c>
      <c r="AQ53">
        <f>Tabel2425[[#This Row],[Stand licht bruisend liter einde maand]]</f>
        <v>161.9</v>
      </c>
      <c r="AR53">
        <f>Tabel24256[[#This Row],[Stand licht bruisend liter einde maand]]-Tabel24256[[#This Row],[Stand licht bruisend liter vorige maand]]</f>
        <v>60</v>
      </c>
      <c r="AS53" s="2">
        <f>Tabel24256[[#This Row],[Verbruik licht bruisend liter deze maand]]/0.15</f>
        <v>400</v>
      </c>
      <c r="AT53" s="25">
        <v>1456.2</v>
      </c>
      <c r="AU53">
        <f>Tabel2425[[#This Row],[Stand heet water liter einde maand]]</f>
        <v>1143.3</v>
      </c>
      <c r="AV53">
        <f>Tabel24256[[#This Row],[Stand heet water liter einde maand]]-Tabel24256[[#This Row],[Stand heet water liter vorige maand]]</f>
        <v>312.90000000000009</v>
      </c>
      <c r="AW53" s="20">
        <f>Tabel24256[[#This Row],[Verbruik heet Water liter deze maand ]]/0.15</f>
        <v>2086.0000000000009</v>
      </c>
      <c r="AX53" s="4">
        <f>Tabel24256[[#This Row],[Aantal consumpties heet water deze maand]]+Tabel24256[[#This Row],[Aantal consumpties licht bruisend water deze maand]]+Tabel24256[[#This Row],[aantal consumpties Bruisend water deze maand]]+Tabel24256[[#This Row],[Aantal consumpties gekoeld water deze maand]]+Tabel24256[[#This Row],[Aantal consumpties Kamertemp deze maand]]</f>
        <v>4225.3333333333348</v>
      </c>
      <c r="AY53" s="4">
        <f>Tabel24256[[#This Row],[Subtotaal waterbar in consumpties]]+Tabel24256[[#This Row],[Subtotaal koffieautomaten]]</f>
        <v>5063.3333333333348</v>
      </c>
    </row>
    <row r="54" spans="1:51" x14ac:dyDescent="0.25">
      <c r="A54" t="s">
        <v>48</v>
      </c>
      <c r="B54" t="s">
        <v>102</v>
      </c>
      <c r="C54" t="s">
        <v>31</v>
      </c>
      <c r="E54" s="25">
        <v>1178</v>
      </c>
      <c r="F54">
        <f>Tabel2425[[#This Row],[Stand Coffee einde maand]]</f>
        <v>925</v>
      </c>
      <c r="G54" s="12">
        <f>Tabel24256[[#This Row],[Stand Coffee einde maand]]-Tabel24256[[#This Row],[Coffee vorige maand]]</f>
        <v>253</v>
      </c>
      <c r="H54" s="25">
        <v>141</v>
      </c>
      <c r="I54">
        <f>Tabel2425[[#This Row],[Stand Espresso Einde maand]]</f>
        <v>98</v>
      </c>
      <c r="J54" s="12">
        <f>Tabel24256[[#This Row],[Stand Espresso Einde maand]]-Tabel24256[[#This Row],[Espresso vorige maand]]</f>
        <v>43</v>
      </c>
      <c r="K54" s="25">
        <v>57</v>
      </c>
      <c r="L54">
        <f>Tabel2425[[#This Row],[Stand Latte Macchiato einde maand]]</f>
        <v>48</v>
      </c>
      <c r="M54">
        <f>Tabel24256[[#This Row],[Stand Latte Macchiato einde maand]]-Tabel24256[[#This Row],[Latte Macchiato vorige maand]]</f>
        <v>9</v>
      </c>
      <c r="N54" s="25">
        <v>90</v>
      </c>
      <c r="O54">
        <f>Tabel2425[[#This Row],[Stand Coffee Latte einde maand]]</f>
        <v>68</v>
      </c>
      <c r="P54">
        <f>Tabel24256[[#This Row],[Stand Coffee Latte einde maand]]-Tabel24256[[#This Row],[Coffee Latte vorige maand]]</f>
        <v>22</v>
      </c>
      <c r="Q54" s="25">
        <v>2885</v>
      </c>
      <c r="R54">
        <f>Tabel2425[[#This Row],[Stand Hot Water einde maand]]</f>
        <v>2346</v>
      </c>
      <c r="S54">
        <f>Tabel24256[[#This Row],[Stand Hot Water einde maand]]-Tabel24256[[#This Row],[Hot Water vorige maand]]</f>
        <v>539</v>
      </c>
      <c r="T54" s="25">
        <v>489</v>
      </c>
      <c r="U54">
        <f>Tabel2425[[#This Row],[Stand Cappucino einde maand]]</f>
        <v>381</v>
      </c>
      <c r="V54">
        <f>Tabel24256[[#This Row],[Stand Cappucino einde maand]]-Tabel24256[[#This Row],[Stand Cappucino vorige maand]]</f>
        <v>108</v>
      </c>
      <c r="W54" s="25">
        <v>447</v>
      </c>
      <c r="X54">
        <f>Tabel2425[[#This Row],[Stand Cappucino Plantaardig einde maand]]</f>
        <v>339</v>
      </c>
      <c r="Y54">
        <f>Tabel24256[[#This Row],[Stand Cappucino Plantaardig einde maand]]-Tabel24256[[#This Row],[Stand Cappucino Plantaardig vorige maand]]</f>
        <v>108</v>
      </c>
      <c r="Z54" s="25">
        <v>45</v>
      </c>
      <c r="AA54">
        <f>Tabel2425[[#This Row],[Stand Latte Macchiato Plantaardig einde maand]]</f>
        <v>40</v>
      </c>
      <c r="AB54" s="12">
        <f>Tabel24256[[#This Row],[Stand Latte Macchiato Plantaardig einde maand]]-Tabel24256[[#This Row],[Stand Latte Macchiato Plantaardig vorige maand]]</f>
        <v>5</v>
      </c>
      <c r="AC54" s="3">
        <f>Tabel24256[[#This Row],[Verbruik Stand Latte Macchiato Plantaardig deze maand]]+Tabel24256[[#This Row],[Verbruik  Cappucino Plantaardig deze maand]]+Tabel24256[[#This Row],[Verbruik Cappucino deze maand]]+Tabel24256[[#This Row],[Verbruik Hot Water deze maand]]+Tabel24256[[#This Row],[Verbruik Coffee Latte deze maand]]+Tabel24256[[#This Row],[Verbruik Latte Macchiato deze maand]]+Tabel24256[[#This Row],[Verbruik Espresso deze maand]]+Tabel24256[[#This Row],[Verbruik Coffee deze maand]]</f>
        <v>1087</v>
      </c>
      <c r="AD54" s="26"/>
      <c r="AE54" s="5"/>
      <c r="AF54" s="5"/>
      <c r="AG54" s="7"/>
      <c r="AH54" s="26"/>
      <c r="AI54" s="5"/>
      <c r="AJ54" s="5"/>
      <c r="AK54" s="7"/>
      <c r="AL54" s="26"/>
      <c r="AM54" s="5"/>
      <c r="AN54" s="5"/>
      <c r="AO54" s="7"/>
      <c r="AP54" s="26"/>
      <c r="AQ54" s="5"/>
      <c r="AR54" s="5"/>
      <c r="AS54" s="7"/>
      <c r="AT54" s="26"/>
      <c r="AU54" s="5"/>
      <c r="AV54" s="5"/>
      <c r="AW54" s="21"/>
      <c r="AX54" s="8"/>
      <c r="AY54" s="4">
        <f>Tabel24256[[#This Row],[Subtotaal waterbar in consumpties]]+Tabel24256[[#This Row],[Subtotaal koffieautomaten]]</f>
        <v>1087</v>
      </c>
    </row>
    <row r="55" spans="1:51" x14ac:dyDescent="0.25">
      <c r="A55" t="s">
        <v>50</v>
      </c>
      <c r="B55" t="s">
        <v>103</v>
      </c>
      <c r="C55" t="s">
        <v>47</v>
      </c>
      <c r="E55" s="25">
        <v>1994</v>
      </c>
      <c r="F55">
        <f>Tabel2425[[#This Row],[Stand Coffee einde maand]]</f>
        <v>1590</v>
      </c>
      <c r="G55" s="12">
        <f>Tabel24256[[#This Row],[Stand Coffee einde maand]]-Tabel24256[[#This Row],[Coffee vorige maand]]</f>
        <v>404</v>
      </c>
      <c r="H55" s="25">
        <v>1292</v>
      </c>
      <c r="I55">
        <f>Tabel2425[[#This Row],[Stand Espresso Einde maand]]</f>
        <v>1155</v>
      </c>
      <c r="J55" s="12">
        <f>Tabel24256[[#This Row],[Stand Espresso Einde maand]]-Tabel24256[[#This Row],[Espresso vorige maand]]</f>
        <v>137</v>
      </c>
      <c r="K55" s="25">
        <v>105</v>
      </c>
      <c r="L55">
        <f>Tabel2425[[#This Row],[Stand Latte Macchiato einde maand]]</f>
        <v>85</v>
      </c>
      <c r="M55">
        <f>Tabel24256[[#This Row],[Stand Latte Macchiato einde maand]]-Tabel24256[[#This Row],[Latte Macchiato vorige maand]]</f>
        <v>20</v>
      </c>
      <c r="N55" s="25">
        <v>33</v>
      </c>
      <c r="O55">
        <f>Tabel2425[[#This Row],[Stand Coffee Latte einde maand]]</f>
        <v>28</v>
      </c>
      <c r="P55">
        <f>Tabel24256[[#This Row],[Stand Coffee Latte einde maand]]-Tabel24256[[#This Row],[Coffee Latte vorige maand]]</f>
        <v>5</v>
      </c>
      <c r="Q55" s="25">
        <v>1</v>
      </c>
      <c r="R55">
        <f>Tabel2425[[#This Row],[Stand Hot Water einde maand]]</f>
        <v>1</v>
      </c>
      <c r="S55">
        <f>Tabel24256[[#This Row],[Stand Hot Water einde maand]]-Tabel24256[[#This Row],[Hot Water vorige maand]]</f>
        <v>0</v>
      </c>
      <c r="T55" s="25">
        <v>2164</v>
      </c>
      <c r="U55">
        <f>Tabel2425[[#This Row],[Stand Cappucino einde maand]]</f>
        <v>1711</v>
      </c>
      <c r="V55">
        <f>Tabel24256[[#This Row],[Stand Cappucino einde maand]]-Tabel24256[[#This Row],[Stand Cappucino vorige maand]]</f>
        <v>453</v>
      </c>
      <c r="W55" s="25">
        <v>195</v>
      </c>
      <c r="X55">
        <f>Tabel2425[[#This Row],[Stand Cappucino Plantaardig einde maand]]</f>
        <v>172</v>
      </c>
      <c r="Y55">
        <f>Tabel24256[[#This Row],[Stand Cappucino Plantaardig einde maand]]-Tabel24256[[#This Row],[Stand Cappucino Plantaardig vorige maand]]</f>
        <v>23</v>
      </c>
      <c r="Z55" s="25">
        <v>41</v>
      </c>
      <c r="AA55">
        <f>Tabel2425[[#This Row],[Stand Latte Macchiato Plantaardig einde maand]]</f>
        <v>39</v>
      </c>
      <c r="AB55" s="12">
        <f>Tabel24256[[#This Row],[Stand Latte Macchiato Plantaardig einde maand]]-Tabel24256[[#This Row],[Stand Latte Macchiato Plantaardig vorige maand]]</f>
        <v>2</v>
      </c>
      <c r="AC55" s="3">
        <f>Tabel24256[[#This Row],[Verbruik Stand Latte Macchiato Plantaardig deze maand]]+Tabel24256[[#This Row],[Verbruik  Cappucino Plantaardig deze maand]]+Tabel24256[[#This Row],[Verbruik Cappucino deze maand]]+Tabel24256[[#This Row],[Verbruik Hot Water deze maand]]+Tabel24256[[#This Row],[Verbruik Coffee Latte deze maand]]+Tabel24256[[#This Row],[Verbruik Latte Macchiato deze maand]]+Tabel24256[[#This Row],[Verbruik Espresso deze maand]]+Tabel24256[[#This Row],[Verbruik Coffee deze maand]]</f>
        <v>1044</v>
      </c>
      <c r="AD55" s="25">
        <v>92</v>
      </c>
      <c r="AE55">
        <f>Tabel2425[[#This Row],[Stand Kamertemp liter einde maand]]</f>
        <v>71.5</v>
      </c>
      <c r="AF55">
        <f>Tabel24256[[#This Row],[Stand Kamertemp liter einde maand]]-Tabel24256[[#This Row],[Stand Kamertemp liter vorige maand]]</f>
        <v>20.5</v>
      </c>
      <c r="AG55" s="2">
        <f>Tabel24256[[#This Row],[Verbruik Kamertemp liter deze maand]]/0.15</f>
        <v>136.66666666666669</v>
      </c>
      <c r="AH55" s="25">
        <v>211.2</v>
      </c>
      <c r="AI55">
        <f>Tabel2425[[#This Row],[Stand Gekoeld liter einde maand]]</f>
        <v>152.4</v>
      </c>
      <c r="AJ55">
        <f>Tabel24256[[#This Row],[Stand Gekoeld liter einde maand]]-Tabel24256[[#This Row],[Stand Gekoeld liter vorige maand]]</f>
        <v>58.799999999999983</v>
      </c>
      <c r="AK55" s="2">
        <f>Tabel24256[[#This Row],[Verbruik Gekoeld liter deze maand]]/0.15</f>
        <v>391.99999999999989</v>
      </c>
      <c r="AL55" s="25">
        <v>434.9</v>
      </c>
      <c r="AM55">
        <f>Tabel2425[[#This Row],[Stand Bruisend liter einde maand]]</f>
        <v>327.2</v>
      </c>
      <c r="AN55">
        <f>Tabel24256[[#This Row],[Stand Bruisend liter einde maand]]-Tabel24256[[#This Row],[Stand Bruisend liter vorige maand]]</f>
        <v>107.69999999999999</v>
      </c>
      <c r="AO55" s="2">
        <f>Tabel24256[[#This Row],[Verbruik Bruisend liter deze maand]]/0.15</f>
        <v>718</v>
      </c>
      <c r="AP55" s="25">
        <v>143.6</v>
      </c>
      <c r="AQ55">
        <f>Tabel2425[[#This Row],[Stand licht bruisend liter einde maand]]</f>
        <v>109</v>
      </c>
      <c r="AR55">
        <f>Tabel24256[[#This Row],[Stand licht bruisend liter einde maand]]-Tabel24256[[#This Row],[Stand licht bruisend liter vorige maand]]</f>
        <v>34.599999999999994</v>
      </c>
      <c r="AS55" s="2">
        <f>Tabel24256[[#This Row],[Verbruik licht bruisend liter deze maand]]/0.15</f>
        <v>230.66666666666663</v>
      </c>
      <c r="AT55" s="25">
        <v>1224.5</v>
      </c>
      <c r="AU55">
        <f>Tabel2425[[#This Row],[Stand heet water liter einde maand]]</f>
        <v>977.2</v>
      </c>
      <c r="AV55">
        <f>Tabel24256[[#This Row],[Stand heet water liter einde maand]]-Tabel24256[[#This Row],[Stand heet water liter vorige maand]]</f>
        <v>247.29999999999995</v>
      </c>
      <c r="AW55" s="20">
        <f>Tabel24256[[#This Row],[Verbruik heet Water liter deze maand ]]/0.15</f>
        <v>1648.6666666666665</v>
      </c>
      <c r="AX55" s="4">
        <f>Tabel24256[[#This Row],[Aantal consumpties heet water deze maand]]+Tabel24256[[#This Row],[Aantal consumpties licht bruisend water deze maand]]+Tabel24256[[#This Row],[aantal consumpties Bruisend water deze maand]]+Tabel24256[[#This Row],[Aantal consumpties gekoeld water deze maand]]+Tabel24256[[#This Row],[Aantal consumpties Kamertemp deze maand]]</f>
        <v>3125.9999999999995</v>
      </c>
      <c r="AY55" s="4">
        <f>Tabel24256[[#This Row],[Subtotaal waterbar in consumpties]]+Tabel24256[[#This Row],[Subtotaal koffieautomaten]]</f>
        <v>4170</v>
      </c>
    </row>
    <row r="56" spans="1:51" x14ac:dyDescent="0.25">
      <c r="A56" t="s">
        <v>52</v>
      </c>
      <c r="B56" t="s">
        <v>104</v>
      </c>
      <c r="C56" t="s">
        <v>36</v>
      </c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25">
        <v>43.2</v>
      </c>
      <c r="AE56">
        <f>Tabel2425[[#This Row],[Stand Kamertemp liter einde maand]]</f>
        <v>34.1</v>
      </c>
      <c r="AF56">
        <f>Tabel24256[[#This Row],[Stand Kamertemp liter einde maand]]-Tabel24256[[#This Row],[Stand Kamertemp liter vorige maand]]</f>
        <v>9.1000000000000014</v>
      </c>
      <c r="AG56" s="2">
        <f>Tabel24256[[#This Row],[Verbruik Kamertemp liter deze maand]]/0.15</f>
        <v>60.666666666666679</v>
      </c>
      <c r="AH56" s="25">
        <v>183.9</v>
      </c>
      <c r="AI56">
        <f>Tabel2425[[#This Row],[Stand Gekoeld liter einde maand]]</f>
        <v>134</v>
      </c>
      <c r="AJ56">
        <f>Tabel24256[[#This Row],[Stand Gekoeld liter einde maand]]-Tabel24256[[#This Row],[Stand Gekoeld liter vorige maand]]</f>
        <v>49.900000000000006</v>
      </c>
      <c r="AK56" s="2">
        <f>Tabel24256[[#This Row],[Verbruik Gekoeld liter deze maand]]/0.15</f>
        <v>332.66666666666674</v>
      </c>
      <c r="AL56" s="25">
        <v>315.8</v>
      </c>
      <c r="AM56">
        <f>Tabel2425[[#This Row],[Stand Bruisend liter einde maand]]</f>
        <v>239.7</v>
      </c>
      <c r="AN56">
        <f>Tabel24256[[#This Row],[Stand Bruisend liter einde maand]]-Tabel24256[[#This Row],[Stand Bruisend liter vorige maand]]</f>
        <v>76.100000000000023</v>
      </c>
      <c r="AO56" s="2">
        <f>Tabel24256[[#This Row],[Verbruik Bruisend liter deze maand]]/0.15</f>
        <v>507.33333333333348</v>
      </c>
      <c r="AP56" s="25">
        <v>290.7</v>
      </c>
      <c r="AQ56">
        <f>Tabel2425[[#This Row],[Stand licht bruisend liter einde maand]]</f>
        <v>210.4</v>
      </c>
      <c r="AR56">
        <f>Tabel24256[[#This Row],[Stand licht bruisend liter einde maand]]-Tabel24256[[#This Row],[Stand licht bruisend liter vorige maand]]</f>
        <v>80.299999999999983</v>
      </c>
      <c r="AS56" s="2">
        <f>Tabel24256[[#This Row],[Verbruik licht bruisend liter deze maand]]/0.15</f>
        <v>535.33333333333326</v>
      </c>
      <c r="AT56" s="25">
        <v>1841.5</v>
      </c>
      <c r="AU56">
        <f>Tabel2425[[#This Row],[Stand heet water liter einde maand]]</f>
        <v>1484.7</v>
      </c>
      <c r="AV56">
        <f>Tabel24256[[#This Row],[Stand heet water liter einde maand]]-Tabel24256[[#This Row],[Stand heet water liter vorige maand]]</f>
        <v>356.79999999999995</v>
      </c>
      <c r="AW56" s="20">
        <f>Tabel24256[[#This Row],[Verbruik heet Water liter deze maand ]]/0.15</f>
        <v>2378.6666666666665</v>
      </c>
      <c r="AX56" s="4">
        <f>Tabel24256[[#This Row],[Aantal consumpties heet water deze maand]]+Tabel24256[[#This Row],[Aantal consumpties licht bruisend water deze maand]]+Tabel24256[[#This Row],[aantal consumpties Bruisend water deze maand]]+Tabel24256[[#This Row],[Aantal consumpties gekoeld water deze maand]]+Tabel24256[[#This Row],[Aantal consumpties Kamertemp deze maand]]</f>
        <v>3814.6666666666665</v>
      </c>
      <c r="AY56" s="4">
        <f>Tabel24256[[#This Row],[Subtotaal waterbar in consumpties]]+Tabel24256[[#This Row],[Subtotaal koffieautomaten]]</f>
        <v>3814.6666666666665</v>
      </c>
    </row>
    <row r="57" spans="1:51" x14ac:dyDescent="0.25">
      <c r="A57" t="s">
        <v>54</v>
      </c>
      <c r="B57" t="s">
        <v>105</v>
      </c>
      <c r="C57" t="s">
        <v>31</v>
      </c>
      <c r="E57" s="25">
        <v>1615</v>
      </c>
      <c r="F57">
        <f>Tabel2425[[#This Row],[Stand Coffee einde maand]]</f>
        <v>1329</v>
      </c>
      <c r="G57" s="12">
        <f>Tabel24256[[#This Row],[Stand Coffee einde maand]]-Tabel24256[[#This Row],[Coffee vorige maand]]</f>
        <v>286</v>
      </c>
      <c r="H57" s="25">
        <v>812</v>
      </c>
      <c r="I57">
        <f>Tabel2425[[#This Row],[Stand Espresso Einde maand]]</f>
        <v>646</v>
      </c>
      <c r="J57" s="12">
        <f>Tabel24256[[#This Row],[Stand Espresso Einde maand]]-Tabel24256[[#This Row],[Espresso vorige maand]]</f>
        <v>166</v>
      </c>
      <c r="K57" s="25">
        <v>359</v>
      </c>
      <c r="L57">
        <f>Tabel2425[[#This Row],[Stand Latte Macchiato einde maand]]</f>
        <v>279</v>
      </c>
      <c r="M57">
        <f>Tabel24256[[#This Row],[Stand Latte Macchiato einde maand]]-Tabel24256[[#This Row],[Latte Macchiato vorige maand]]</f>
        <v>80</v>
      </c>
      <c r="N57" s="25">
        <v>84</v>
      </c>
      <c r="O57">
        <f>Tabel2425[[#This Row],[Stand Coffee Latte einde maand]]</f>
        <v>64</v>
      </c>
      <c r="P57">
        <f>Tabel24256[[#This Row],[Stand Coffee Latte einde maand]]-Tabel24256[[#This Row],[Coffee Latte vorige maand]]</f>
        <v>20</v>
      </c>
      <c r="Q57" s="25">
        <v>5259</v>
      </c>
      <c r="R57">
        <f>Tabel2425[[#This Row],[Stand Hot Water einde maand]]</f>
        <v>4221</v>
      </c>
      <c r="S57">
        <f>Tabel24256[[#This Row],[Stand Hot Water einde maand]]-Tabel24256[[#This Row],[Hot Water vorige maand]]</f>
        <v>1038</v>
      </c>
      <c r="T57" s="25">
        <v>1277</v>
      </c>
      <c r="U57">
        <f>Tabel2425[[#This Row],[Stand Cappucino einde maand]]</f>
        <v>1022</v>
      </c>
      <c r="V57">
        <f>Tabel24256[[#This Row],[Stand Cappucino einde maand]]-Tabel24256[[#This Row],[Stand Cappucino vorige maand]]</f>
        <v>255</v>
      </c>
      <c r="W57" s="25">
        <v>285</v>
      </c>
      <c r="X57">
        <f>Tabel2425[[#This Row],[Stand Cappucino Plantaardig einde maand]]</f>
        <v>203</v>
      </c>
      <c r="Y57">
        <f>Tabel24256[[#This Row],[Stand Cappucino Plantaardig einde maand]]-Tabel24256[[#This Row],[Stand Cappucino Plantaardig vorige maand]]</f>
        <v>82</v>
      </c>
      <c r="Z57" s="25">
        <v>38</v>
      </c>
      <c r="AA57">
        <f>Tabel2425[[#This Row],[Stand Latte Macchiato Plantaardig einde maand]]</f>
        <v>29</v>
      </c>
      <c r="AB57" s="12">
        <f>Tabel24256[[#This Row],[Stand Latte Macchiato Plantaardig einde maand]]-Tabel24256[[#This Row],[Stand Latte Macchiato Plantaardig vorige maand]]</f>
        <v>9</v>
      </c>
      <c r="AC57" s="3">
        <f>Tabel24256[[#This Row],[Verbruik Stand Latte Macchiato Plantaardig deze maand]]+Tabel24256[[#This Row],[Verbruik  Cappucino Plantaardig deze maand]]+Tabel24256[[#This Row],[Verbruik Cappucino deze maand]]+Tabel24256[[#This Row],[Verbruik Hot Water deze maand]]+Tabel24256[[#This Row],[Verbruik Coffee Latte deze maand]]+Tabel24256[[#This Row],[Verbruik Latte Macchiato deze maand]]+Tabel24256[[#This Row],[Verbruik Espresso deze maand]]+Tabel24256[[#This Row],[Verbruik Coffee deze maand]]</f>
        <v>1936</v>
      </c>
      <c r="AD57" s="26"/>
      <c r="AE57" s="5"/>
      <c r="AF57" s="5"/>
      <c r="AG57" s="7"/>
      <c r="AH57" s="26"/>
      <c r="AI57" s="5"/>
      <c r="AJ57" s="5"/>
      <c r="AK57" s="7"/>
      <c r="AL57" s="26"/>
      <c r="AM57" s="5"/>
      <c r="AN57" s="5"/>
      <c r="AO57" s="7"/>
      <c r="AP57" s="26"/>
      <c r="AQ57" s="5"/>
      <c r="AR57" s="5"/>
      <c r="AS57" s="7"/>
      <c r="AT57" s="26"/>
      <c r="AU57" s="5"/>
      <c r="AV57" s="5"/>
      <c r="AW57" s="21"/>
      <c r="AX57" s="8"/>
      <c r="AY57" s="4">
        <f>Tabel24256[[#This Row],[Subtotaal waterbar in consumpties]]+Tabel24256[[#This Row],[Subtotaal koffieautomaten]]</f>
        <v>1936</v>
      </c>
    </row>
    <row r="58" spans="1:51" x14ac:dyDescent="0.25">
      <c r="A58" t="s">
        <v>56</v>
      </c>
      <c r="B58" t="s">
        <v>106</v>
      </c>
      <c r="C58" t="s">
        <v>47</v>
      </c>
      <c r="E58" s="25">
        <v>2186</v>
      </c>
      <c r="F58">
        <f>Tabel2425[[#This Row],[Stand Coffee einde maand]]</f>
        <v>1765</v>
      </c>
      <c r="G58" s="12">
        <f>Tabel24256[[#This Row],[Stand Coffee einde maand]]-Tabel24256[[#This Row],[Coffee vorige maand]]</f>
        <v>421</v>
      </c>
      <c r="H58" s="25">
        <v>623</v>
      </c>
      <c r="I58">
        <f>Tabel2425[[#This Row],[Stand Espresso Einde maand]]</f>
        <v>521</v>
      </c>
      <c r="J58" s="12">
        <f>Tabel24256[[#This Row],[Stand Espresso Einde maand]]-Tabel24256[[#This Row],[Espresso vorige maand]]</f>
        <v>102</v>
      </c>
      <c r="K58" s="25">
        <v>739</v>
      </c>
      <c r="L58">
        <f>Tabel2425[[#This Row],[Stand Latte Macchiato einde maand]]</f>
        <v>538</v>
      </c>
      <c r="M58">
        <f>Tabel24256[[#This Row],[Stand Latte Macchiato einde maand]]-Tabel24256[[#This Row],[Latte Macchiato vorige maand]]</f>
        <v>201</v>
      </c>
      <c r="N58" s="25">
        <v>79</v>
      </c>
      <c r="O58">
        <f>Tabel2425[[#This Row],[Stand Coffee Latte einde maand]]</f>
        <v>64</v>
      </c>
      <c r="P58">
        <f>Tabel24256[[#This Row],[Stand Coffee Latte einde maand]]-Tabel24256[[#This Row],[Coffee Latte vorige maand]]</f>
        <v>15</v>
      </c>
      <c r="Q58" s="25">
        <v>1</v>
      </c>
      <c r="R58">
        <f>Tabel2425[[#This Row],[Stand Hot Water einde maand]]</f>
        <v>1</v>
      </c>
      <c r="S58">
        <f>Tabel24256[[#This Row],[Stand Hot Water einde maand]]-Tabel24256[[#This Row],[Hot Water vorige maand]]</f>
        <v>0</v>
      </c>
      <c r="T58" s="25">
        <v>1284</v>
      </c>
      <c r="U58">
        <f>Tabel2425[[#This Row],[Stand Cappucino einde maand]]</f>
        <v>1038</v>
      </c>
      <c r="V58">
        <f>Tabel24256[[#This Row],[Stand Cappucino einde maand]]-Tabel24256[[#This Row],[Stand Cappucino vorige maand]]</f>
        <v>246</v>
      </c>
      <c r="W58" s="25">
        <v>407</v>
      </c>
      <c r="X58">
        <f>Tabel2425[[#This Row],[Stand Cappucino Plantaardig einde maand]]</f>
        <v>320</v>
      </c>
      <c r="Y58">
        <f>Tabel24256[[#This Row],[Stand Cappucino Plantaardig einde maand]]-Tabel24256[[#This Row],[Stand Cappucino Plantaardig vorige maand]]</f>
        <v>87</v>
      </c>
      <c r="Z58" s="25">
        <v>49</v>
      </c>
      <c r="AA58">
        <f>Tabel2425[[#This Row],[Stand Latte Macchiato Plantaardig einde maand]]</f>
        <v>48</v>
      </c>
      <c r="AB58" s="12">
        <f>Tabel24256[[#This Row],[Stand Latte Macchiato Plantaardig einde maand]]-Tabel24256[[#This Row],[Stand Latte Macchiato Plantaardig vorige maand]]</f>
        <v>1</v>
      </c>
      <c r="AC58" s="3">
        <f>Tabel24256[[#This Row],[Verbruik Stand Latte Macchiato Plantaardig deze maand]]+Tabel24256[[#This Row],[Verbruik  Cappucino Plantaardig deze maand]]+Tabel24256[[#This Row],[Verbruik Cappucino deze maand]]+Tabel24256[[#This Row],[Verbruik Hot Water deze maand]]+Tabel24256[[#This Row],[Verbruik Coffee Latte deze maand]]+Tabel24256[[#This Row],[Verbruik Latte Macchiato deze maand]]+Tabel24256[[#This Row],[Verbruik Espresso deze maand]]+Tabel24256[[#This Row],[Verbruik Coffee deze maand]]</f>
        <v>1073</v>
      </c>
      <c r="AD58" s="25">
        <v>43.4</v>
      </c>
      <c r="AE58">
        <f>Tabel2425[[#This Row],[Stand Kamertemp liter einde maand]]</f>
        <v>35.799999999999997</v>
      </c>
      <c r="AF58">
        <f>Tabel24256[[#This Row],[Stand Kamertemp liter einde maand]]-Tabel24256[[#This Row],[Stand Kamertemp liter vorige maand]]</f>
        <v>7.6000000000000014</v>
      </c>
      <c r="AG58" s="2">
        <f>Tabel24256[[#This Row],[Verbruik Kamertemp liter deze maand]]/0.15</f>
        <v>50.666666666666679</v>
      </c>
      <c r="AH58" s="25">
        <v>357.1</v>
      </c>
      <c r="AI58">
        <f>Tabel2425[[#This Row],[Stand Gekoeld liter einde maand]]</f>
        <v>271.89999999999998</v>
      </c>
      <c r="AJ58">
        <f>Tabel24256[[#This Row],[Stand Gekoeld liter einde maand]]-Tabel24256[[#This Row],[Stand Gekoeld liter vorige maand]]</f>
        <v>85.200000000000045</v>
      </c>
      <c r="AK58" s="2">
        <f>Tabel24256[[#This Row],[Verbruik Gekoeld liter deze maand]]/0.15</f>
        <v>568.00000000000034</v>
      </c>
      <c r="AL58" s="25">
        <v>341.8</v>
      </c>
      <c r="AM58">
        <f>Tabel2425[[#This Row],[Stand Bruisend liter einde maand]]</f>
        <v>247.7</v>
      </c>
      <c r="AN58">
        <f>Tabel24256[[#This Row],[Stand Bruisend liter einde maand]]-Tabel24256[[#This Row],[Stand Bruisend liter vorige maand]]</f>
        <v>94.100000000000023</v>
      </c>
      <c r="AO58" s="2">
        <f>Tabel24256[[#This Row],[Verbruik Bruisend liter deze maand]]/0.15</f>
        <v>627.33333333333348</v>
      </c>
      <c r="AP58" s="25">
        <v>188.3</v>
      </c>
      <c r="AQ58">
        <f>Tabel2425[[#This Row],[Stand licht bruisend liter einde maand]]</f>
        <v>144.69999999999999</v>
      </c>
      <c r="AR58">
        <f>Tabel24256[[#This Row],[Stand licht bruisend liter einde maand]]-Tabel24256[[#This Row],[Stand licht bruisend liter vorige maand]]</f>
        <v>43.600000000000023</v>
      </c>
      <c r="AS58" s="2">
        <f>Tabel24256[[#This Row],[Verbruik licht bruisend liter deze maand]]/0.15</f>
        <v>290.66666666666686</v>
      </c>
      <c r="AT58" s="25">
        <v>1810</v>
      </c>
      <c r="AU58">
        <f>Tabel2425[[#This Row],[Stand heet water liter einde maand]]</f>
        <v>1466.3</v>
      </c>
      <c r="AV58">
        <f>Tabel24256[[#This Row],[Stand heet water liter einde maand]]-Tabel24256[[#This Row],[Stand heet water liter vorige maand]]</f>
        <v>343.70000000000005</v>
      </c>
      <c r="AW58" s="20">
        <f>Tabel24256[[#This Row],[Verbruik heet Water liter deze maand ]]/0.15</f>
        <v>2291.3333333333339</v>
      </c>
      <c r="AX58" s="4">
        <f>Tabel24256[[#This Row],[Aantal consumpties heet water deze maand]]+Tabel24256[[#This Row],[Aantal consumpties licht bruisend water deze maand]]+Tabel24256[[#This Row],[aantal consumpties Bruisend water deze maand]]+Tabel24256[[#This Row],[Aantal consumpties gekoeld water deze maand]]+Tabel24256[[#This Row],[Aantal consumpties Kamertemp deze maand]]</f>
        <v>3828.0000000000014</v>
      </c>
      <c r="AY58" s="4">
        <f>Tabel24256[[#This Row],[Subtotaal waterbar in consumpties]]+Tabel24256[[#This Row],[Subtotaal koffieautomaten]]</f>
        <v>4901.0000000000018</v>
      </c>
    </row>
    <row r="59" spans="1:51" x14ac:dyDescent="0.25">
      <c r="A59" t="s">
        <v>58</v>
      </c>
      <c r="B59" t="s">
        <v>107</v>
      </c>
      <c r="C59" t="s">
        <v>31</v>
      </c>
      <c r="E59" s="25">
        <v>1438</v>
      </c>
      <c r="F59">
        <f>Tabel2425[[#This Row],[Stand Coffee einde maand]]</f>
        <v>1054</v>
      </c>
      <c r="G59" s="12">
        <f>Tabel24256[[#This Row],[Stand Coffee einde maand]]-Tabel24256[[#This Row],[Coffee vorige maand]]</f>
        <v>384</v>
      </c>
      <c r="H59" s="25">
        <v>304</v>
      </c>
      <c r="I59">
        <f>Tabel2425[[#This Row],[Stand Espresso Einde maand]]</f>
        <v>235</v>
      </c>
      <c r="J59" s="12">
        <f>Tabel24256[[#This Row],[Stand Espresso Einde maand]]-Tabel24256[[#This Row],[Espresso vorige maand]]</f>
        <v>69</v>
      </c>
      <c r="K59" s="25">
        <v>72</v>
      </c>
      <c r="L59">
        <f>Tabel2425[[#This Row],[Stand Latte Macchiato einde maand]]</f>
        <v>63</v>
      </c>
      <c r="M59">
        <f>Tabel24256[[#This Row],[Stand Latte Macchiato einde maand]]-Tabel24256[[#This Row],[Latte Macchiato vorige maand]]</f>
        <v>9</v>
      </c>
      <c r="N59" s="25">
        <v>77</v>
      </c>
      <c r="O59">
        <f>Tabel2425[[#This Row],[Stand Coffee Latte einde maand]]</f>
        <v>66</v>
      </c>
      <c r="P59">
        <f>Tabel24256[[#This Row],[Stand Coffee Latte einde maand]]-Tabel24256[[#This Row],[Coffee Latte vorige maand]]</f>
        <v>11</v>
      </c>
      <c r="Q59" s="25">
        <v>3743</v>
      </c>
      <c r="R59">
        <f>Tabel2425[[#This Row],[Stand Hot Water einde maand]]</f>
        <v>2878</v>
      </c>
      <c r="S59">
        <f>Tabel24256[[#This Row],[Stand Hot Water einde maand]]-Tabel24256[[#This Row],[Hot Water vorige maand]]</f>
        <v>865</v>
      </c>
      <c r="T59" s="25">
        <v>512</v>
      </c>
      <c r="U59">
        <f>Tabel2425[[#This Row],[Stand Cappucino einde maand]]</f>
        <v>425</v>
      </c>
      <c r="V59">
        <f>Tabel24256[[#This Row],[Stand Cappucino einde maand]]-Tabel24256[[#This Row],[Stand Cappucino vorige maand]]</f>
        <v>87</v>
      </c>
      <c r="W59" s="25">
        <v>403</v>
      </c>
      <c r="X59">
        <f>Tabel2425[[#This Row],[Stand Cappucino Plantaardig einde maand]]</f>
        <v>317</v>
      </c>
      <c r="Y59">
        <f>Tabel24256[[#This Row],[Stand Cappucino Plantaardig einde maand]]-Tabel24256[[#This Row],[Stand Cappucino Plantaardig vorige maand]]</f>
        <v>86</v>
      </c>
      <c r="Z59" s="25">
        <v>213</v>
      </c>
      <c r="AA59">
        <f>Tabel2425[[#This Row],[Stand Latte Macchiato Plantaardig einde maand]]</f>
        <v>151</v>
      </c>
      <c r="AB59" s="12">
        <f>Tabel24256[[#This Row],[Stand Latte Macchiato Plantaardig einde maand]]-Tabel24256[[#This Row],[Stand Latte Macchiato Plantaardig vorige maand]]</f>
        <v>62</v>
      </c>
      <c r="AC59" s="3">
        <f>Tabel24256[[#This Row],[Verbruik Stand Latte Macchiato Plantaardig deze maand]]+Tabel24256[[#This Row],[Verbruik  Cappucino Plantaardig deze maand]]+Tabel24256[[#This Row],[Verbruik Cappucino deze maand]]+Tabel24256[[#This Row],[Verbruik Hot Water deze maand]]+Tabel24256[[#This Row],[Verbruik Coffee Latte deze maand]]+Tabel24256[[#This Row],[Verbruik Latte Macchiato deze maand]]+Tabel24256[[#This Row],[Verbruik Espresso deze maand]]+Tabel24256[[#This Row],[Verbruik Coffee deze maand]]</f>
        <v>1573</v>
      </c>
      <c r="AD59" s="26"/>
      <c r="AE59" s="5"/>
      <c r="AF59" s="5"/>
      <c r="AG59" s="7"/>
      <c r="AH59" s="26"/>
      <c r="AI59" s="5"/>
      <c r="AJ59" s="5"/>
      <c r="AK59" s="7"/>
      <c r="AL59" s="26"/>
      <c r="AM59" s="5"/>
      <c r="AN59" s="5"/>
      <c r="AO59" s="7"/>
      <c r="AP59" s="26"/>
      <c r="AQ59" s="5"/>
      <c r="AR59" s="5"/>
      <c r="AS59" s="7"/>
      <c r="AT59" s="26"/>
      <c r="AU59" s="5"/>
      <c r="AV59" s="5"/>
      <c r="AW59" s="21"/>
      <c r="AX59" s="8"/>
      <c r="AY59" s="4">
        <f>Tabel24256[[#This Row],[Subtotaal waterbar in consumpties]]+Tabel24256[[#This Row],[Subtotaal koffieautomaten]]</f>
        <v>1573</v>
      </c>
    </row>
    <row r="60" spans="1:51" x14ac:dyDescent="0.25">
      <c r="A60" t="s">
        <v>60</v>
      </c>
      <c r="B60" t="s">
        <v>108</v>
      </c>
      <c r="C60" t="s">
        <v>36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25">
        <v>84.4</v>
      </c>
      <c r="AE60">
        <f>Tabel2425[[#This Row],[Stand Kamertemp liter einde maand]]</f>
        <v>70.7</v>
      </c>
      <c r="AF60">
        <f>Tabel24256[[#This Row],[Stand Kamertemp liter einde maand]]-Tabel24256[[#This Row],[Stand Kamertemp liter vorige maand]]</f>
        <v>13.700000000000003</v>
      </c>
      <c r="AG60" s="2">
        <f>Tabel24256[[#This Row],[Verbruik Kamertemp liter deze maand]]/0.15</f>
        <v>91.333333333333357</v>
      </c>
      <c r="AH60" s="25">
        <v>284.10000000000002</v>
      </c>
      <c r="AI60">
        <f>Tabel2425[[#This Row],[Stand Gekoeld liter einde maand]]</f>
        <v>218.9</v>
      </c>
      <c r="AJ60">
        <f>Tabel24256[[#This Row],[Stand Gekoeld liter einde maand]]-Tabel24256[[#This Row],[Stand Gekoeld liter vorige maand]]</f>
        <v>65.200000000000017</v>
      </c>
      <c r="AK60" s="2">
        <f>Tabel24256[[#This Row],[Verbruik Gekoeld liter deze maand]]/0.15</f>
        <v>434.6666666666668</v>
      </c>
      <c r="AL60" s="25">
        <v>203.7</v>
      </c>
      <c r="AM60">
        <f>Tabel2425[[#This Row],[Stand Bruisend liter einde maand]]</f>
        <v>158.1</v>
      </c>
      <c r="AN60">
        <f>Tabel24256[[#This Row],[Stand Bruisend liter einde maand]]-Tabel24256[[#This Row],[Stand Bruisend liter vorige maand]]</f>
        <v>45.599999999999994</v>
      </c>
      <c r="AO60" s="2">
        <f>Tabel24256[[#This Row],[Verbruik Bruisend liter deze maand]]/0.15</f>
        <v>304</v>
      </c>
      <c r="AP60" s="25">
        <v>182</v>
      </c>
      <c r="AQ60">
        <f>Tabel2425[[#This Row],[Stand licht bruisend liter einde maand]]</f>
        <v>134.4</v>
      </c>
      <c r="AR60">
        <f>Tabel24256[[#This Row],[Stand licht bruisend liter einde maand]]-Tabel24256[[#This Row],[Stand licht bruisend liter vorige maand]]</f>
        <v>47.599999999999994</v>
      </c>
      <c r="AS60" s="2">
        <f>Tabel24256[[#This Row],[Verbruik licht bruisend liter deze maand]]/0.15</f>
        <v>317.33333333333331</v>
      </c>
      <c r="AT60" s="25">
        <v>885.8</v>
      </c>
      <c r="AU60">
        <f>Tabel2425[[#This Row],[Stand heet water liter einde maand]]</f>
        <v>748.5</v>
      </c>
      <c r="AV60">
        <f>Tabel24256[[#This Row],[Stand heet water liter einde maand]]-Tabel24256[[#This Row],[Stand heet water liter vorige maand]]</f>
        <v>137.29999999999995</v>
      </c>
      <c r="AW60" s="20">
        <f>Tabel24256[[#This Row],[Verbruik heet Water liter deze maand ]]/0.15</f>
        <v>915.33333333333303</v>
      </c>
      <c r="AX60" s="4">
        <f>Tabel24256[[#This Row],[Aantal consumpties heet water deze maand]]+Tabel24256[[#This Row],[Aantal consumpties licht bruisend water deze maand]]+Tabel24256[[#This Row],[aantal consumpties Bruisend water deze maand]]+Tabel24256[[#This Row],[Aantal consumpties gekoeld water deze maand]]+Tabel24256[[#This Row],[Aantal consumpties Kamertemp deze maand]]</f>
        <v>2062.6666666666665</v>
      </c>
      <c r="AY60" s="4">
        <f>Tabel24256[[#This Row],[Subtotaal waterbar in consumpties]]+Tabel24256[[#This Row],[Subtotaal koffieautomaten]]</f>
        <v>2062.6666666666665</v>
      </c>
    </row>
    <row r="61" spans="1:51" x14ac:dyDescent="0.25">
      <c r="A61" s="3" t="s">
        <v>109</v>
      </c>
      <c r="E61" s="25"/>
      <c r="F61">
        <f>Tabel2425[[#This Row],[Stand Coffee einde maand]]</f>
        <v>0</v>
      </c>
      <c r="G61" s="12">
        <f>Tabel24256[[#This Row],[Stand Coffee einde maand]]-Tabel24256[[#This Row],[Coffee vorige maand]]</f>
        <v>0</v>
      </c>
      <c r="H61" s="25"/>
      <c r="I61">
        <f>Tabel2425[[#This Row],[Stand Espresso Einde maand]]</f>
        <v>0</v>
      </c>
      <c r="J61" s="12">
        <f>Tabel24256[[#This Row],[Stand Espresso Einde maand]]-Tabel24256[[#This Row],[Espresso vorige maand]]</f>
        <v>0</v>
      </c>
      <c r="K61" s="25"/>
      <c r="L61">
        <f>Tabel2425[[#This Row],[Stand Latte Macchiato einde maand]]</f>
        <v>0</v>
      </c>
      <c r="M61">
        <f>Tabel24256[[#This Row],[Stand Latte Macchiato einde maand]]-Tabel24256[[#This Row],[Latte Macchiato vorige maand]]</f>
        <v>0</v>
      </c>
      <c r="N61" s="25"/>
      <c r="O61">
        <f>Tabel2425[[#This Row],[Stand Coffee Latte einde maand]]</f>
        <v>0</v>
      </c>
      <c r="P61">
        <f>Tabel24256[[#This Row],[Stand Coffee Latte einde maand]]-Tabel24256[[#This Row],[Coffee Latte vorige maand]]</f>
        <v>0</v>
      </c>
      <c r="Q61" s="25"/>
      <c r="R61">
        <f>Tabel2425[[#This Row],[Stand Hot Water einde maand]]</f>
        <v>0</v>
      </c>
      <c r="S61">
        <f>Tabel24256[[#This Row],[Stand Hot Water einde maand]]-Tabel24256[[#This Row],[Hot Water vorige maand]]</f>
        <v>0</v>
      </c>
      <c r="T61" s="25"/>
      <c r="U61">
        <f>Tabel2425[[#This Row],[Stand Cappucino einde maand]]</f>
        <v>0</v>
      </c>
      <c r="V61">
        <f>Tabel24256[[#This Row],[Stand Cappucino einde maand]]-Tabel24256[[#This Row],[Stand Cappucino vorige maand]]</f>
        <v>0</v>
      </c>
      <c r="W61" s="25"/>
      <c r="X61">
        <f>Tabel2425[[#This Row],[Stand Cappucino Plantaardig einde maand]]</f>
        <v>0</v>
      </c>
      <c r="Y61">
        <f>Tabel24256[[#This Row],[Stand Cappucino Plantaardig einde maand]]-Tabel24256[[#This Row],[Stand Cappucino Plantaardig vorige maand]]</f>
        <v>0</v>
      </c>
      <c r="Z61" s="25"/>
      <c r="AA61">
        <f>Tabel2425[[#This Row],[Stand Latte Macchiato Plantaardig einde maand]]</f>
        <v>0</v>
      </c>
      <c r="AB61" s="12">
        <f>Tabel24256[[#This Row],[Stand Latte Macchiato Plantaardig einde maand]]-Tabel24256[[#This Row],[Stand Latte Macchiato Plantaardig vorige maand]]</f>
        <v>0</v>
      </c>
      <c r="AC61" s="3">
        <f>Tabel24256[[#This Row],[Verbruik Stand Latte Macchiato Plantaardig deze maand]]+Tabel24256[[#This Row],[Verbruik  Cappucino Plantaardig deze maand]]+Tabel24256[[#This Row],[Verbruik Cappucino deze maand]]+Tabel24256[[#This Row],[Verbruik Hot Water deze maand]]+Tabel24256[[#This Row],[Verbruik Coffee Latte deze maand]]+Tabel24256[[#This Row],[Verbruik Latte Macchiato deze maand]]+Tabel24256[[#This Row],[Verbruik Espresso deze maand]]+Tabel24256[[#This Row],[Verbruik Coffee deze maand]]</f>
        <v>0</v>
      </c>
      <c r="AD61" s="25"/>
      <c r="AG61" s="2"/>
      <c r="AH61" s="25"/>
      <c r="AK61" s="2"/>
      <c r="AL61" s="25"/>
      <c r="AO61" s="2"/>
      <c r="AP61" s="25"/>
      <c r="AS61" s="2"/>
      <c r="AT61" s="25"/>
      <c r="AW61" s="20"/>
      <c r="AX61" s="4"/>
      <c r="AY61" s="4">
        <f>Tabel24256[[#This Row],[Subtotaal waterbar in consumpties]]+Tabel24256[[#This Row],[Subtotaal koffieautomaten]]</f>
        <v>0</v>
      </c>
    </row>
    <row r="62" spans="1:51" x14ac:dyDescent="0.25">
      <c r="A62">
        <v>1</v>
      </c>
      <c r="B62" t="s">
        <v>110</v>
      </c>
      <c r="C62" t="s">
        <v>31</v>
      </c>
      <c r="E62" s="25">
        <v>2571</v>
      </c>
      <c r="F62">
        <f>Tabel2425[[#This Row],[Stand Coffee einde maand]]</f>
        <v>2205</v>
      </c>
      <c r="G62" s="12">
        <f>Tabel24256[[#This Row],[Stand Coffee einde maand]]-Tabel24256[[#This Row],[Coffee vorige maand]]</f>
        <v>366</v>
      </c>
      <c r="H62" s="25">
        <v>188</v>
      </c>
      <c r="I62">
        <f>Tabel2425[[#This Row],[Stand Espresso Einde maand]]</f>
        <v>151</v>
      </c>
      <c r="J62" s="12">
        <f>Tabel24256[[#This Row],[Stand Espresso Einde maand]]-Tabel24256[[#This Row],[Espresso vorige maand]]</f>
        <v>37</v>
      </c>
      <c r="K62" s="25">
        <v>221</v>
      </c>
      <c r="L62">
        <f>Tabel2425[[#This Row],[Stand Latte Macchiato einde maand]]</f>
        <v>162</v>
      </c>
      <c r="M62">
        <f>Tabel24256[[#This Row],[Stand Latte Macchiato einde maand]]-Tabel24256[[#This Row],[Latte Macchiato vorige maand]]</f>
        <v>59</v>
      </c>
      <c r="N62" s="25">
        <v>221</v>
      </c>
      <c r="O62">
        <f>Tabel2425[[#This Row],[Stand Coffee Latte einde maand]]</f>
        <v>214</v>
      </c>
      <c r="P62">
        <f>Tabel24256[[#This Row],[Stand Coffee Latte einde maand]]-Tabel24256[[#This Row],[Coffee Latte vorige maand]]</f>
        <v>7</v>
      </c>
      <c r="Q62" s="25">
        <v>1463</v>
      </c>
      <c r="R62">
        <f>Tabel2425[[#This Row],[Stand Hot Water einde maand]]</f>
        <v>1231</v>
      </c>
      <c r="S62">
        <f>Tabel24256[[#This Row],[Stand Hot Water einde maand]]-Tabel24256[[#This Row],[Hot Water vorige maand]]</f>
        <v>232</v>
      </c>
      <c r="T62" s="25">
        <v>640</v>
      </c>
      <c r="U62">
        <f>Tabel2425[[#This Row],[Stand Cappucino einde maand]]</f>
        <v>533</v>
      </c>
      <c r="V62">
        <f>Tabel24256[[#This Row],[Stand Cappucino einde maand]]-Tabel24256[[#This Row],[Stand Cappucino vorige maand]]</f>
        <v>107</v>
      </c>
      <c r="W62" s="25">
        <v>19</v>
      </c>
      <c r="X62">
        <f>Tabel2425[[#This Row],[Stand Cappucino Plantaardig einde maand]]</f>
        <v>16</v>
      </c>
      <c r="Y62">
        <f>Tabel24256[[#This Row],[Stand Cappucino Plantaardig einde maand]]-Tabel24256[[#This Row],[Stand Cappucino Plantaardig vorige maand]]</f>
        <v>3</v>
      </c>
      <c r="Z62" s="25">
        <v>97</v>
      </c>
      <c r="AA62">
        <f>Tabel2425[[#This Row],[Stand Latte Macchiato Plantaardig einde maand]]</f>
        <v>74</v>
      </c>
      <c r="AB62" s="12">
        <f>Tabel24256[[#This Row],[Stand Latte Macchiato Plantaardig einde maand]]-Tabel24256[[#This Row],[Stand Latte Macchiato Plantaardig vorige maand]]</f>
        <v>23</v>
      </c>
      <c r="AC62" s="3">
        <f>Tabel24256[[#This Row],[Verbruik Stand Latte Macchiato Plantaardig deze maand]]+Tabel24256[[#This Row],[Verbruik  Cappucino Plantaardig deze maand]]+Tabel24256[[#This Row],[Verbruik Cappucino deze maand]]+Tabel24256[[#This Row],[Verbruik Hot Water deze maand]]+Tabel24256[[#This Row],[Verbruik Coffee Latte deze maand]]+Tabel24256[[#This Row],[Verbruik Latte Macchiato deze maand]]+Tabel24256[[#This Row],[Verbruik Espresso deze maand]]+Tabel24256[[#This Row],[Verbruik Coffee deze maand]]</f>
        <v>834</v>
      </c>
      <c r="AD62" s="26"/>
      <c r="AE62" s="5"/>
      <c r="AF62" s="5"/>
      <c r="AG62" s="5"/>
      <c r="AH62" s="26"/>
      <c r="AI62" s="5"/>
      <c r="AJ62" s="5"/>
      <c r="AK62" s="5"/>
      <c r="AL62" s="26"/>
      <c r="AM62" s="5"/>
      <c r="AN62" s="5"/>
      <c r="AO62" s="5"/>
      <c r="AP62" s="26"/>
      <c r="AQ62" s="5"/>
      <c r="AR62" s="5"/>
      <c r="AS62" s="5"/>
      <c r="AT62" s="26"/>
      <c r="AU62" s="5"/>
      <c r="AV62" s="5"/>
      <c r="AW62" s="21"/>
      <c r="AX62" s="8"/>
      <c r="AY62" s="4">
        <f>Tabel24256[[#This Row],[Subtotaal waterbar in consumpties]]+Tabel24256[[#This Row],[Subtotaal koffieautomaten]]</f>
        <v>834</v>
      </c>
    </row>
    <row r="63" spans="1:51" x14ac:dyDescent="0.25">
      <c r="A63">
        <v>1</v>
      </c>
      <c r="B63" t="s">
        <v>111</v>
      </c>
      <c r="C63" t="s">
        <v>31</v>
      </c>
      <c r="E63" s="25">
        <v>1851</v>
      </c>
      <c r="F63">
        <f>Tabel2425[[#This Row],[Stand Coffee einde maand]]</f>
        <v>1413</v>
      </c>
      <c r="G63" s="12">
        <f>Tabel24256[[#This Row],[Stand Coffee einde maand]]-Tabel24256[[#This Row],[Coffee vorige maand]]</f>
        <v>438</v>
      </c>
      <c r="H63" s="25">
        <v>150</v>
      </c>
      <c r="I63">
        <f>Tabel2425[[#This Row],[Stand Espresso Einde maand]]</f>
        <v>99</v>
      </c>
      <c r="J63" s="12">
        <f>Tabel24256[[#This Row],[Stand Espresso Einde maand]]-Tabel24256[[#This Row],[Espresso vorige maand]]</f>
        <v>51</v>
      </c>
      <c r="K63" s="25">
        <v>523</v>
      </c>
      <c r="L63">
        <f>Tabel2425[[#This Row],[Stand Latte Macchiato einde maand]]</f>
        <v>421</v>
      </c>
      <c r="M63">
        <f>Tabel24256[[#This Row],[Stand Latte Macchiato einde maand]]-Tabel24256[[#This Row],[Latte Macchiato vorige maand]]</f>
        <v>102</v>
      </c>
      <c r="N63" s="25">
        <v>255</v>
      </c>
      <c r="O63">
        <f>Tabel2425[[#This Row],[Stand Coffee Latte einde maand]]</f>
        <v>195</v>
      </c>
      <c r="P63">
        <f>Tabel24256[[#This Row],[Stand Coffee Latte einde maand]]-Tabel24256[[#This Row],[Coffee Latte vorige maand]]</f>
        <v>60</v>
      </c>
      <c r="Q63" s="25">
        <v>1529</v>
      </c>
      <c r="R63">
        <f>Tabel2425[[#This Row],[Stand Hot Water einde maand]]</f>
        <v>1154</v>
      </c>
      <c r="S63">
        <f>Tabel24256[[#This Row],[Stand Hot Water einde maand]]-Tabel24256[[#This Row],[Hot Water vorige maand]]</f>
        <v>375</v>
      </c>
      <c r="T63" s="25">
        <v>478</v>
      </c>
      <c r="U63">
        <f>Tabel2425[[#This Row],[Stand Cappucino einde maand]]</f>
        <v>403</v>
      </c>
      <c r="V63">
        <f>Tabel24256[[#This Row],[Stand Cappucino einde maand]]-Tabel24256[[#This Row],[Stand Cappucino vorige maand]]</f>
        <v>75</v>
      </c>
      <c r="W63" s="25">
        <v>61</v>
      </c>
      <c r="X63">
        <f>Tabel2425[[#This Row],[Stand Cappucino Plantaardig einde maand]]</f>
        <v>51</v>
      </c>
      <c r="Y63">
        <f>Tabel24256[[#This Row],[Stand Cappucino Plantaardig einde maand]]-Tabel24256[[#This Row],[Stand Cappucino Plantaardig vorige maand]]</f>
        <v>10</v>
      </c>
      <c r="Z63" s="25">
        <v>214</v>
      </c>
      <c r="AA63">
        <f>Tabel2425[[#This Row],[Stand Latte Macchiato Plantaardig einde maand]]</f>
        <v>168</v>
      </c>
      <c r="AB63" s="12">
        <f>Tabel24256[[#This Row],[Stand Latte Macchiato Plantaardig einde maand]]-Tabel24256[[#This Row],[Stand Latte Macchiato Plantaardig vorige maand]]</f>
        <v>46</v>
      </c>
      <c r="AC63" s="3">
        <f>Tabel24256[[#This Row],[Verbruik Stand Latte Macchiato Plantaardig deze maand]]+Tabel24256[[#This Row],[Verbruik  Cappucino Plantaardig deze maand]]+Tabel24256[[#This Row],[Verbruik Cappucino deze maand]]+Tabel24256[[#This Row],[Verbruik Hot Water deze maand]]+Tabel24256[[#This Row],[Verbruik Coffee Latte deze maand]]+Tabel24256[[#This Row],[Verbruik Latte Macchiato deze maand]]+Tabel24256[[#This Row],[Verbruik Espresso deze maand]]+Tabel24256[[#This Row],[Verbruik Coffee deze maand]]</f>
        <v>1157</v>
      </c>
      <c r="AD63" s="26"/>
      <c r="AE63" s="5"/>
      <c r="AF63" s="5"/>
      <c r="AG63" s="5"/>
      <c r="AH63" s="26"/>
      <c r="AI63" s="5"/>
      <c r="AJ63" s="5"/>
      <c r="AK63" s="5"/>
      <c r="AL63" s="26"/>
      <c r="AM63" s="5"/>
      <c r="AN63" s="5"/>
      <c r="AO63" s="5"/>
      <c r="AP63" s="26"/>
      <c r="AQ63" s="5"/>
      <c r="AR63" s="5"/>
      <c r="AS63" s="5"/>
      <c r="AT63" s="26"/>
      <c r="AU63" s="5"/>
      <c r="AV63" s="5"/>
      <c r="AW63" s="21"/>
      <c r="AX63" s="8"/>
      <c r="AY63" s="4">
        <f>Tabel24256[[#This Row],[Subtotaal waterbar in consumpties]]+Tabel24256[[#This Row],[Subtotaal koffieautomaten]]</f>
        <v>1157</v>
      </c>
    </row>
    <row r="64" spans="1:51" x14ac:dyDescent="0.25">
      <c r="A64" s="3" t="s">
        <v>112</v>
      </c>
      <c r="E64" s="24">
        <f>SUM(E3:E63)</f>
        <v>111649</v>
      </c>
      <c r="F64" s="3">
        <f>Tabel2425[[#This Row],[Stand Coffee einde maand]]</f>
        <v>88606</v>
      </c>
      <c r="G64" s="17">
        <f>Tabel24256[[#This Row],[Stand Coffee einde maand]]-Tabel24256[[#This Row],[Coffee vorige maand]]</f>
        <v>23043</v>
      </c>
      <c r="H64" s="24">
        <f t="shared" ref="H64:W64" si="0">SUM(H3:H63)</f>
        <v>28548</v>
      </c>
      <c r="I64" s="3">
        <f>Tabel2425[[#This Row],[Stand Espresso Einde maand]]</f>
        <v>23090</v>
      </c>
      <c r="J64" s="17">
        <f>Tabel24256[[#This Row],[Stand Espresso Einde maand]]-Tabel24256[[#This Row],[Espresso vorige maand]]</f>
        <v>5458</v>
      </c>
      <c r="K64" s="24">
        <f t="shared" si="0"/>
        <v>14907</v>
      </c>
      <c r="L64">
        <f>Tabel2425[[#This Row],[Stand Latte Macchiato einde maand]]</f>
        <v>12116</v>
      </c>
      <c r="M64" s="3">
        <f>Tabel24256[[#This Row],[Stand Latte Macchiato einde maand]]-Tabel24256[[#This Row],[Latte Macchiato vorige maand]]</f>
        <v>2791</v>
      </c>
      <c r="N64" s="24">
        <f t="shared" si="0"/>
        <v>8093</v>
      </c>
      <c r="O64">
        <f>Tabel2425[[#This Row],[Stand Coffee Latte einde maand]]</f>
        <v>6452</v>
      </c>
      <c r="P64" s="3">
        <f>Tabel24256[[#This Row],[Stand Coffee Latte einde maand]]-Tabel24256[[#This Row],[Coffee Latte vorige maand]]</f>
        <v>1641</v>
      </c>
      <c r="Q64" s="24">
        <f t="shared" si="0"/>
        <v>129998</v>
      </c>
      <c r="R64">
        <f>Tabel2425[[#This Row],[Stand Hot Water einde maand]]</f>
        <v>100906</v>
      </c>
      <c r="S64" s="3">
        <f>Tabel24256[[#This Row],[Stand Hot Water einde maand]]-Tabel24256[[#This Row],[Hot Water vorige maand]]</f>
        <v>29092</v>
      </c>
      <c r="T64" s="24">
        <f t="shared" si="0"/>
        <v>62813</v>
      </c>
      <c r="U64">
        <f>Tabel2425[[#This Row],[Stand Cappucino einde maand]]</f>
        <v>49861</v>
      </c>
      <c r="V64" s="3">
        <f>Tabel24256[[#This Row],[Stand Cappucino einde maand]]-Tabel24256[[#This Row],[Stand Cappucino vorige maand]]</f>
        <v>12952</v>
      </c>
      <c r="W64" s="24">
        <f t="shared" si="0"/>
        <v>16247</v>
      </c>
      <c r="X64">
        <f>Tabel2425[[#This Row],[Stand Cappucino Plantaardig einde maand]]</f>
        <v>13523</v>
      </c>
      <c r="Y64" s="3">
        <f>Tabel24256[[#This Row],[Stand Cappucino Plantaardig einde maand]]-Tabel24256[[#This Row],[Stand Cappucino Plantaardig vorige maand]]</f>
        <v>2724</v>
      </c>
      <c r="Z64" s="24">
        <f>SUM(Z3:Z63)</f>
        <v>5748</v>
      </c>
      <c r="AA64">
        <f>Tabel2425[[#This Row],[Stand Latte Macchiato Plantaardig einde maand]]</f>
        <v>4733</v>
      </c>
      <c r="AB64" s="17">
        <f>Tabel24256[[#This Row],[Stand Latte Macchiato Plantaardig einde maand]]-Tabel24256[[#This Row],[Stand Latte Macchiato Plantaardig vorige maand]]</f>
        <v>1015</v>
      </c>
      <c r="AC64" s="3">
        <f>SUM(AC3:AC63)</f>
        <v>75051</v>
      </c>
      <c r="AD64" s="24">
        <f>SUM(AD3:AD63)</f>
        <v>1802.1000000000004</v>
      </c>
      <c r="AE64" s="3">
        <f>Tabel242[[#This Row],[Stand Kamertemp liter einde maand]]</f>
        <v>1100</v>
      </c>
      <c r="AF64" s="3">
        <f>Tabel24256[[#This Row],[Stand Kamertemp liter einde maand]]-Tabel24256[[#This Row],[Stand Kamertemp liter vorige maand]]</f>
        <v>702.10000000000036</v>
      </c>
      <c r="AG64" s="4">
        <f>SUM(AG3:AG63)</f>
        <v>3021.3333333333335</v>
      </c>
      <c r="AH64" s="23">
        <f t="shared" ref="AH64:AW64" si="1">SUM(AH3:AH63)</f>
        <v>10320.600000000002</v>
      </c>
      <c r="AI64">
        <f>Tabel2425[[#This Row],[Stand Gekoeld liter einde maand]]</f>
        <v>7518.7999999999993</v>
      </c>
      <c r="AJ64" s="4">
        <f>Tabel24256[[#This Row],[Stand Gekoeld liter einde maand]]-Tabel24256[[#This Row],[Stand Gekoeld liter vorige maand]]</f>
        <v>2801.8000000000029</v>
      </c>
      <c r="AK64" s="4">
        <f t="shared" si="1"/>
        <v>18678.666666666672</v>
      </c>
      <c r="AL64" s="23">
        <f t="shared" si="1"/>
        <v>10108.4</v>
      </c>
      <c r="AM64">
        <f>Tabel2425[[#This Row],[Stand Bruisend liter einde maand]]</f>
        <v>7704.7999999999993</v>
      </c>
      <c r="AN64" s="4">
        <f>Tabel24256[[#This Row],[Stand Bruisend liter einde maand]]-Tabel24256[[#This Row],[Stand Bruisend liter vorige maand]]</f>
        <v>2403.6000000000004</v>
      </c>
      <c r="AO64" s="4">
        <f t="shared" si="1"/>
        <v>16024</v>
      </c>
      <c r="AP64" s="23">
        <f t="shared" si="1"/>
        <v>5195.5000000000009</v>
      </c>
      <c r="AQ64">
        <f>Tabel2425[[#This Row],[Stand licht bruisend liter einde maand]]</f>
        <v>4002.7</v>
      </c>
      <c r="AR64" s="4">
        <f>Tabel24256[[#This Row],[Stand licht bruisend liter einde maand]]-Tabel24256[[#This Row],[Stand licht bruisend liter vorige maand]]</f>
        <v>1192.8000000000011</v>
      </c>
      <c r="AS64" s="4">
        <f t="shared" si="1"/>
        <v>7952.0000000000018</v>
      </c>
      <c r="AT64" s="23">
        <f t="shared" si="1"/>
        <v>35778.6</v>
      </c>
      <c r="AU64">
        <f>Tabel2425[[#This Row],[Stand heet water liter einde maand]]</f>
        <v>28825.3</v>
      </c>
      <c r="AV64" s="4">
        <f>Tabel24256[[#This Row],[Stand heet water liter einde maand]]-Tabel24256[[#This Row],[Stand heet water liter vorige maand]]</f>
        <v>6953.2999999999993</v>
      </c>
      <c r="AW64" s="22">
        <f t="shared" si="1"/>
        <v>46355.333333333328</v>
      </c>
      <c r="AX64" s="4">
        <f>SUM(AX3:AX63)</f>
        <v>92031.333333333328</v>
      </c>
      <c r="AY64" s="4">
        <f>Tabel24256[[#This Row],[Subtotaal waterbar in consumpties]]+Tabel24256[[#This Row],[Subtotaal koffieautomaten]]</f>
        <v>167082.33333333331</v>
      </c>
    </row>
    <row r="65" spans="8:53" x14ac:dyDescent="0.25">
      <c r="H65" s="13"/>
      <c r="I65" s="14"/>
      <c r="J65" s="15"/>
      <c r="K65" s="13"/>
      <c r="L65" s="14"/>
      <c r="M65" s="14"/>
      <c r="AX65" s="3"/>
      <c r="AY65" s="3"/>
    </row>
    <row r="66" spans="8:53" x14ac:dyDescent="0.25">
      <c r="BA66" s="2">
        <f>AY64-AG64-AK64</f>
        <v>145382.33333333331</v>
      </c>
    </row>
    <row r="67" spans="8:53" x14ac:dyDescent="0.25">
      <c r="AY67" s="2"/>
    </row>
    <row r="68" spans="8:53" x14ac:dyDescent="0.25">
      <c r="AY68" s="2"/>
    </row>
  </sheetData>
  <mergeCells count="3">
    <mergeCell ref="A1:D1"/>
    <mergeCell ref="E1:AC1"/>
    <mergeCell ref="AD1:AY1"/>
  </mergeCells>
  <pageMargins left="0.7" right="0.7" top="0.75" bottom="0.75" header="0.3" footer="0.3"/>
  <legacy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E13BB-A095-4BD6-A022-877EA36A6B0D}">
  <dimension ref="A1:BF69"/>
  <sheetViews>
    <sheetView topLeftCell="A48" zoomScale="85" zoomScaleNormal="85" workbookViewId="0">
      <pane xSplit="1" topLeftCell="AQ1" activePane="topRight" state="frozen"/>
      <selection activeCell="G19" sqref="G19"/>
      <selection pane="topRight" activeCell="G19" sqref="G19"/>
    </sheetView>
  </sheetViews>
  <sheetFormatPr defaultRowHeight="15" x14ac:dyDescent="0.25"/>
  <cols>
    <col min="1" max="1" width="32.140625" bestFit="1" customWidth="1"/>
    <col min="2" max="2" width="21.42578125" bestFit="1" customWidth="1"/>
    <col min="3" max="3" width="25.42578125" bestFit="1" customWidth="1"/>
    <col min="4" max="4" width="18.5703125" customWidth="1"/>
    <col min="5" max="5" width="10.140625" style="11" customWidth="1"/>
    <col min="6" max="6" width="10.42578125" customWidth="1"/>
    <col min="7" max="7" width="10.5703125" style="12" customWidth="1"/>
    <col min="8" max="8" width="11.85546875" customWidth="1"/>
    <col min="9" max="9" width="11.7109375" customWidth="1"/>
    <col min="10" max="10" width="12.42578125" customWidth="1"/>
    <col min="11" max="11" width="17.140625" customWidth="1"/>
    <col min="12" max="12" width="13.5703125" customWidth="1"/>
    <col min="13" max="13" width="13.42578125" bestFit="1" customWidth="1"/>
    <col min="14" max="14" width="14" style="11" customWidth="1"/>
    <col min="15" max="16" width="14" customWidth="1"/>
    <col min="17" max="17" width="14.140625" style="11" customWidth="1"/>
    <col min="18" max="19" width="12.28515625" customWidth="1"/>
    <col min="20" max="20" width="12.42578125" style="11" customWidth="1"/>
    <col min="21" max="22" width="12.42578125" customWidth="1"/>
    <col min="23" max="23" width="17" style="11" customWidth="1"/>
    <col min="24" max="25" width="17" customWidth="1"/>
    <col min="26" max="26" width="20.7109375" style="11" customWidth="1"/>
    <col min="27" max="27" width="20.7109375" customWidth="1"/>
    <col min="28" max="28" width="20.7109375" style="12" customWidth="1"/>
    <col min="29" max="29" width="13.85546875" customWidth="1"/>
    <col min="30" max="30" width="17.5703125" style="11" customWidth="1"/>
    <col min="31" max="32" width="17.5703125" customWidth="1"/>
    <col min="33" max="33" width="20.28515625" customWidth="1"/>
    <col min="34" max="34" width="14.42578125" style="11" customWidth="1"/>
    <col min="35" max="36" width="14.42578125" customWidth="1"/>
    <col min="37" max="37" width="21.28515625" customWidth="1"/>
    <col min="38" max="38" width="15.140625" style="11" customWidth="1"/>
    <col min="39" max="40" width="15.140625" customWidth="1"/>
    <col min="41" max="41" width="21.28515625" customWidth="1"/>
    <col min="42" max="42" width="19.42578125" style="11" customWidth="1"/>
    <col min="43" max="44" width="19.42578125" customWidth="1"/>
    <col min="45" max="45" width="21.28515625" customWidth="1"/>
    <col min="46" max="46" width="17" style="11" customWidth="1"/>
    <col min="47" max="48" width="17" customWidth="1"/>
    <col min="49" max="49" width="21.28515625" style="12" customWidth="1"/>
    <col min="50" max="50" width="20" customWidth="1"/>
    <col min="51" max="51" width="14.140625" customWidth="1"/>
  </cols>
  <sheetData>
    <row r="1" spans="1:51" x14ac:dyDescent="0.25">
      <c r="A1" s="172" t="s">
        <v>0</v>
      </c>
      <c r="B1" s="172"/>
      <c r="C1" s="172"/>
      <c r="D1" s="172"/>
      <c r="E1" s="172" t="s">
        <v>1</v>
      </c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 t="s">
        <v>2</v>
      </c>
      <c r="AE1" s="172"/>
      <c r="AF1" s="172"/>
      <c r="AG1" s="172"/>
      <c r="AH1" s="172"/>
      <c r="AI1" s="172"/>
      <c r="AJ1" s="172"/>
      <c r="AK1" s="172"/>
      <c r="AL1" s="172"/>
      <c r="AM1" s="172"/>
      <c r="AN1" s="172"/>
      <c r="AO1" s="172"/>
      <c r="AP1" s="172"/>
      <c r="AQ1" s="172"/>
      <c r="AR1" s="172"/>
      <c r="AS1" s="172"/>
      <c r="AT1" s="172"/>
      <c r="AU1" s="172"/>
      <c r="AV1" s="172"/>
      <c r="AW1" s="172"/>
      <c r="AX1" s="172"/>
      <c r="AY1" s="172"/>
    </row>
    <row r="2" spans="1:51" ht="60" x14ac:dyDescent="0.25">
      <c r="A2" t="s">
        <v>3</v>
      </c>
      <c r="B2" t="s">
        <v>4</v>
      </c>
      <c r="C2" t="s">
        <v>5</v>
      </c>
      <c r="D2" t="s">
        <v>6</v>
      </c>
      <c r="E2" s="9" t="s">
        <v>113</v>
      </c>
      <c r="F2" s="1" t="s">
        <v>114</v>
      </c>
      <c r="G2" s="10" t="s">
        <v>115</v>
      </c>
      <c r="H2" s="1" t="s">
        <v>116</v>
      </c>
      <c r="I2" s="1" t="s">
        <v>117</v>
      </c>
      <c r="J2" s="1" t="s">
        <v>118</v>
      </c>
      <c r="K2" s="1" t="s">
        <v>119</v>
      </c>
      <c r="L2" s="1" t="s">
        <v>120</v>
      </c>
      <c r="M2" s="1" t="s">
        <v>121</v>
      </c>
      <c r="N2" s="9" t="s">
        <v>122</v>
      </c>
      <c r="O2" s="1" t="s">
        <v>123</v>
      </c>
      <c r="P2" s="1" t="s">
        <v>124</v>
      </c>
      <c r="Q2" s="9" t="s">
        <v>125</v>
      </c>
      <c r="R2" s="1" t="s">
        <v>126</v>
      </c>
      <c r="S2" s="1" t="s">
        <v>127</v>
      </c>
      <c r="T2" s="9" t="s">
        <v>128</v>
      </c>
      <c r="U2" s="1" t="s">
        <v>129</v>
      </c>
      <c r="V2" s="1" t="s">
        <v>130</v>
      </c>
      <c r="W2" s="9" t="s">
        <v>131</v>
      </c>
      <c r="X2" s="1" t="s">
        <v>132</v>
      </c>
      <c r="Y2" s="1" t="s">
        <v>133</v>
      </c>
      <c r="Z2" s="9" t="s">
        <v>134</v>
      </c>
      <c r="AA2" s="1" t="s">
        <v>135</v>
      </c>
      <c r="AB2" s="10" t="s">
        <v>136</v>
      </c>
      <c r="AC2" s="1" t="s">
        <v>15</v>
      </c>
      <c r="AD2" s="9" t="s">
        <v>137</v>
      </c>
      <c r="AE2" s="1" t="s">
        <v>138</v>
      </c>
      <c r="AF2" s="1" t="s">
        <v>139</v>
      </c>
      <c r="AG2" s="1" t="s">
        <v>140</v>
      </c>
      <c r="AH2" s="9" t="s">
        <v>141</v>
      </c>
      <c r="AI2" s="1" t="s">
        <v>142</v>
      </c>
      <c r="AJ2" s="1" t="s">
        <v>143</v>
      </c>
      <c r="AK2" s="1" t="s">
        <v>144</v>
      </c>
      <c r="AL2" s="9" t="s">
        <v>145</v>
      </c>
      <c r="AM2" s="1" t="s">
        <v>146</v>
      </c>
      <c r="AN2" s="1" t="s">
        <v>147</v>
      </c>
      <c r="AO2" s="1" t="s">
        <v>148</v>
      </c>
      <c r="AP2" s="9" t="s">
        <v>149</v>
      </c>
      <c r="AQ2" s="1" t="s">
        <v>150</v>
      </c>
      <c r="AR2" s="1" t="s">
        <v>151</v>
      </c>
      <c r="AS2" s="1" t="s">
        <v>152</v>
      </c>
      <c r="AT2" s="9" t="s">
        <v>153</v>
      </c>
      <c r="AU2" s="1" t="s">
        <v>154</v>
      </c>
      <c r="AV2" s="1" t="s">
        <v>155</v>
      </c>
      <c r="AW2" s="10" t="s">
        <v>156</v>
      </c>
      <c r="AX2" s="1" t="s">
        <v>157</v>
      </c>
      <c r="AY2" t="s">
        <v>27</v>
      </c>
    </row>
    <row r="3" spans="1:51" x14ac:dyDescent="0.25">
      <c r="A3" s="3" t="s">
        <v>28</v>
      </c>
      <c r="E3" s="25"/>
      <c r="H3" s="27"/>
      <c r="I3" s="18"/>
      <c r="J3" s="19"/>
      <c r="K3" s="27"/>
      <c r="L3" s="18"/>
      <c r="M3" s="18"/>
      <c r="N3" s="25"/>
      <c r="Q3" s="25"/>
      <c r="T3" s="25"/>
      <c r="W3" s="25"/>
      <c r="Z3" s="25"/>
      <c r="AC3" s="3"/>
      <c r="AG3" s="2"/>
      <c r="AH3" s="25"/>
      <c r="AK3" s="2"/>
      <c r="AL3" s="25"/>
      <c r="AO3" s="2"/>
      <c r="AP3" s="25"/>
      <c r="AS3" s="2"/>
      <c r="AT3" s="25"/>
      <c r="AW3" s="20"/>
      <c r="AX3" s="4"/>
      <c r="AY3" s="4">
        <f>Tabel242567[[#This Row],[Subtotaal waterbar in consumpties]]+Tabel242567[[#This Row],[Subtotaal koffieautomaten]]</f>
        <v>0</v>
      </c>
    </row>
    <row r="4" spans="1:51" x14ac:dyDescent="0.25">
      <c r="A4" t="s">
        <v>29</v>
      </c>
      <c r="B4" t="s">
        <v>30</v>
      </c>
      <c r="C4" t="s">
        <v>31</v>
      </c>
      <c r="E4" s="25">
        <v>1180</v>
      </c>
      <c r="F4" s="25">
        <v>963</v>
      </c>
      <c r="G4" s="12">
        <f>Tabel242567[[#This Row],[Stand Coffee einde maand]]-Tabel242567[[#This Row],[Coffee vorige maand]]</f>
        <v>217</v>
      </c>
      <c r="H4" s="25">
        <v>445</v>
      </c>
      <c r="I4">
        <v>323</v>
      </c>
      <c r="J4" s="12">
        <f>Tabel242567[[#This Row],[Stand Espresso Einde maand]]-Tabel242567[[#This Row],[Espresso vorige maand]]</f>
        <v>122</v>
      </c>
      <c r="K4" s="25">
        <v>450</v>
      </c>
      <c r="L4">
        <v>310</v>
      </c>
      <c r="M4">
        <f>Tabel242567[[#This Row],[Stand Latte Macchiato einde maand]]-Tabel242567[[#This Row],[Latte Macchiato vorige maand]]</f>
        <v>140</v>
      </c>
      <c r="N4" s="25">
        <v>509</v>
      </c>
      <c r="O4">
        <v>419</v>
      </c>
      <c r="P4">
        <f>Tabel242567[[#This Row],[Stand Coffee Latte einde maand]]-Tabel242567[[#This Row],[Coffee Latte vorige maand]]</f>
        <v>90</v>
      </c>
      <c r="Q4" s="25">
        <v>1881</v>
      </c>
      <c r="R4">
        <v>1436</v>
      </c>
      <c r="S4">
        <f>Tabel242567[[#This Row],[Stand Hot Water einde maand]]-Tabel242567[[#This Row],[Hot Water vorige maand]]</f>
        <v>445</v>
      </c>
      <c r="T4" s="25">
        <v>1790</v>
      </c>
      <c r="U4">
        <v>1394</v>
      </c>
      <c r="V4">
        <f>Tabel242567[[#This Row],[Stand Cappucino einde maand]]-Tabel242567[[#This Row],[Stand Cappucino vorige maand]]</f>
        <v>396</v>
      </c>
      <c r="W4" s="25">
        <v>55</v>
      </c>
      <c r="X4" s="25">
        <v>46</v>
      </c>
      <c r="Y4">
        <f>Tabel242567[[#This Row],[Stand Cappucino Plantaardig einde maand]]-Tabel242567[[#This Row],[Stand Cappucino Plantaardig vorige maand]]</f>
        <v>9</v>
      </c>
      <c r="Z4" s="25">
        <v>46</v>
      </c>
      <c r="AA4">
        <v>33</v>
      </c>
      <c r="AB4" s="12">
        <f>Tabel242567[[#This Row],[Stand Latte Macchiato Plantaardig einde maand]]-Tabel242567[[#This Row],[Stand Latte Macchiato Plantaardig vorige maand]]</f>
        <v>13</v>
      </c>
      <c r="AC4" s="3">
        <f>Tabel242567[[#This Row],[Verbruik Stand Latte Macchiato Plantaardig deze maand]]+Tabel242567[[#This Row],[Verbruik  Cappucino Plantaardig deze maand]]+Tabel242567[[#This Row],[Verbruik Cappucino deze maand]]+Tabel242567[[#This Row],[Verbruik Hot Water deze maand]]+Tabel242567[[#This Row],[Verbruik Coffee Latte deze maand]]+Tabel242567[[#This Row],[Verbruik Latte Macchiato deze maand]]+Tabel242567[[#This Row],[Verbruik Espresso deze maand]]+Tabel242567[[#This Row],[Verbruik Coffee deze maand]]</f>
        <v>1432</v>
      </c>
      <c r="AD4" s="26"/>
      <c r="AE4" s="5"/>
      <c r="AF4" s="5"/>
      <c r="AG4" s="5"/>
      <c r="AH4" s="26"/>
      <c r="AI4" s="5"/>
      <c r="AJ4" s="5"/>
      <c r="AK4" s="5"/>
      <c r="AL4" s="26"/>
      <c r="AM4" s="5"/>
      <c r="AN4" s="5"/>
      <c r="AO4" s="5"/>
      <c r="AP4" s="26"/>
      <c r="AQ4" s="5"/>
      <c r="AR4" s="5"/>
      <c r="AS4" s="5"/>
      <c r="AT4" s="26"/>
      <c r="AU4" s="5"/>
      <c r="AV4" s="5"/>
      <c r="AW4" s="21"/>
      <c r="AX4" s="8"/>
      <c r="AY4" s="4">
        <f>Tabel242567[[#This Row],[Subtotaal waterbar in consumpties]]+Tabel242567[[#This Row],[Subtotaal koffieautomaten]]</f>
        <v>1432</v>
      </c>
    </row>
    <row r="5" spans="1:51" x14ac:dyDescent="0.25">
      <c r="A5" t="s">
        <v>32</v>
      </c>
      <c r="B5" t="s">
        <v>33</v>
      </c>
      <c r="C5" t="s">
        <v>31</v>
      </c>
      <c r="E5" s="25">
        <v>2514</v>
      </c>
      <c r="F5" s="25">
        <v>2196</v>
      </c>
      <c r="G5" s="12">
        <f>Tabel242567[[#This Row],[Stand Coffee einde maand]]-Tabel242567[[#This Row],[Coffee vorige maand]]</f>
        <v>318</v>
      </c>
      <c r="H5" s="25">
        <v>651</v>
      </c>
      <c r="I5">
        <v>548</v>
      </c>
      <c r="J5" s="12">
        <f>Tabel242567[[#This Row],[Stand Espresso Einde maand]]-Tabel242567[[#This Row],[Espresso vorige maand]]</f>
        <v>103</v>
      </c>
      <c r="K5" s="25">
        <v>643</v>
      </c>
      <c r="L5">
        <v>591</v>
      </c>
      <c r="M5">
        <f>Tabel242567[[#This Row],[Stand Latte Macchiato einde maand]]-Tabel242567[[#This Row],[Latte Macchiato vorige maand]]</f>
        <v>52</v>
      </c>
      <c r="N5" s="25">
        <v>691</v>
      </c>
      <c r="O5">
        <v>611</v>
      </c>
      <c r="P5">
        <f>Tabel242567[[#This Row],[Stand Coffee Latte einde maand]]-Tabel242567[[#This Row],[Coffee Latte vorige maand]]</f>
        <v>80</v>
      </c>
      <c r="Q5" s="25">
        <v>5876</v>
      </c>
      <c r="R5">
        <v>5158</v>
      </c>
      <c r="S5">
        <f>Tabel242567[[#This Row],[Stand Hot Water einde maand]]-Tabel242567[[#This Row],[Hot Water vorige maand]]</f>
        <v>718</v>
      </c>
      <c r="T5" s="25">
        <v>3399</v>
      </c>
      <c r="U5">
        <v>2976</v>
      </c>
      <c r="V5">
        <f>Tabel242567[[#This Row],[Stand Cappucino einde maand]]-Tabel242567[[#This Row],[Stand Cappucino vorige maand]]</f>
        <v>423</v>
      </c>
      <c r="W5" s="25">
        <v>451</v>
      </c>
      <c r="X5" s="25">
        <v>451</v>
      </c>
      <c r="Y5">
        <f>Tabel242567[[#This Row],[Stand Cappucino Plantaardig einde maand]]-Tabel242567[[#This Row],[Stand Cappucino Plantaardig vorige maand]]</f>
        <v>0</v>
      </c>
      <c r="Z5" s="25">
        <v>171</v>
      </c>
      <c r="AA5">
        <v>171</v>
      </c>
      <c r="AB5" s="12">
        <f>Tabel242567[[#This Row],[Stand Latte Macchiato Plantaardig einde maand]]-Tabel242567[[#This Row],[Stand Latte Macchiato Plantaardig vorige maand]]</f>
        <v>0</v>
      </c>
      <c r="AC5" s="3">
        <f>Tabel242567[[#This Row],[Verbruik Stand Latte Macchiato Plantaardig deze maand]]+Tabel242567[[#This Row],[Verbruik  Cappucino Plantaardig deze maand]]+Tabel242567[[#This Row],[Verbruik Cappucino deze maand]]+Tabel242567[[#This Row],[Verbruik Hot Water deze maand]]+Tabel242567[[#This Row],[Verbruik Coffee Latte deze maand]]+Tabel242567[[#This Row],[Verbruik Latte Macchiato deze maand]]+Tabel242567[[#This Row],[Verbruik Espresso deze maand]]+Tabel242567[[#This Row],[Verbruik Coffee deze maand]]</f>
        <v>1694</v>
      </c>
      <c r="AD5" s="26"/>
      <c r="AE5" s="5"/>
      <c r="AF5" s="5"/>
      <c r="AG5" s="5"/>
      <c r="AH5" s="26"/>
      <c r="AI5" s="5"/>
      <c r="AJ5" s="5"/>
      <c r="AK5" s="5"/>
      <c r="AL5" s="26"/>
      <c r="AM5" s="5"/>
      <c r="AN5" s="5"/>
      <c r="AO5" s="5"/>
      <c r="AP5" s="26"/>
      <c r="AQ5" s="5"/>
      <c r="AR5" s="5"/>
      <c r="AS5" s="5"/>
      <c r="AT5" s="26"/>
      <c r="AU5" s="5"/>
      <c r="AV5" s="5"/>
      <c r="AW5" s="21"/>
      <c r="AX5" s="8"/>
      <c r="AY5" s="4">
        <f>Tabel242567[[#This Row],[Subtotaal waterbar in consumpties]]+Tabel242567[[#This Row],[Subtotaal koffieautomaten]]</f>
        <v>1694</v>
      </c>
    </row>
    <row r="6" spans="1:51" x14ac:dyDescent="0.25">
      <c r="A6" t="s">
        <v>34</v>
      </c>
      <c r="B6" t="s">
        <v>35</v>
      </c>
      <c r="C6" t="s">
        <v>47</v>
      </c>
      <c r="E6" s="25">
        <v>887</v>
      </c>
      <c r="F6" s="25">
        <v>463</v>
      </c>
      <c r="G6" s="12">
        <f>Tabel242567[[#This Row],[Stand Coffee einde maand]]-Tabel242567[[#This Row],[Coffee vorige maand]]</f>
        <v>424</v>
      </c>
      <c r="H6" s="25">
        <v>127</v>
      </c>
      <c r="I6">
        <v>62</v>
      </c>
      <c r="J6" s="12">
        <f>Tabel242567[[#This Row],[Stand Espresso Einde maand]]-Tabel242567[[#This Row],[Espresso vorige maand]]</f>
        <v>65</v>
      </c>
      <c r="K6" s="25">
        <v>179</v>
      </c>
      <c r="L6">
        <v>102</v>
      </c>
      <c r="M6">
        <f>Tabel242567[[#This Row],[Stand Latte Macchiato einde maand]]-Tabel242567[[#This Row],[Latte Macchiato vorige maand]]</f>
        <v>77</v>
      </c>
      <c r="N6" s="25">
        <v>215</v>
      </c>
      <c r="O6">
        <v>107</v>
      </c>
      <c r="P6">
        <f>Tabel242567[[#This Row],[Stand Coffee Latte einde maand]]-Tabel242567[[#This Row],[Coffee Latte vorige maand]]</f>
        <v>108</v>
      </c>
      <c r="Q6" s="25">
        <v>899</v>
      </c>
      <c r="R6">
        <v>446</v>
      </c>
      <c r="S6">
        <f>Tabel242567[[#This Row],[Stand Hot Water einde maand]]-Tabel242567[[#This Row],[Hot Water vorige maand]]</f>
        <v>453</v>
      </c>
      <c r="T6" s="25">
        <v>1229</v>
      </c>
      <c r="U6">
        <v>693</v>
      </c>
      <c r="V6">
        <f>Tabel242567[[#This Row],[Stand Cappucino einde maand]]-Tabel242567[[#This Row],[Stand Cappucino vorige maand]]</f>
        <v>536</v>
      </c>
      <c r="W6" s="25">
        <v>117</v>
      </c>
      <c r="X6" s="25">
        <v>60</v>
      </c>
      <c r="Y6">
        <f>Tabel242567[[#This Row],[Stand Cappucino Plantaardig einde maand]]-Tabel242567[[#This Row],[Stand Cappucino Plantaardig vorige maand]]</f>
        <v>57</v>
      </c>
      <c r="Z6" s="25">
        <v>59</v>
      </c>
      <c r="AA6">
        <v>36</v>
      </c>
      <c r="AB6" s="12">
        <f>Tabel242567[[#This Row],[Stand Latte Macchiato Plantaardig einde maand]]-Tabel242567[[#This Row],[Stand Latte Macchiato Plantaardig vorige maand]]</f>
        <v>23</v>
      </c>
      <c r="AC6" s="3">
        <f>Tabel242567[[#This Row],[Verbruik Stand Latte Macchiato Plantaardig deze maand]]+Tabel242567[[#This Row],[Verbruik  Cappucino Plantaardig deze maand]]+Tabel242567[[#This Row],[Verbruik Cappucino deze maand]]+Tabel242567[[#This Row],[Verbruik Hot Water deze maand]]+Tabel242567[[#This Row],[Verbruik Coffee Latte deze maand]]+Tabel242567[[#This Row],[Verbruik Latte Macchiato deze maand]]+Tabel242567[[#This Row],[Verbruik Espresso deze maand]]+Tabel242567[[#This Row],[Verbruik Coffee deze maand]]</f>
        <v>1743</v>
      </c>
      <c r="AD6" s="25">
        <v>87.1</v>
      </c>
      <c r="AE6">
        <v>71</v>
      </c>
      <c r="AF6">
        <f>Tabel242567[[#This Row],[Stand Kamertemp liter einde maand]]-Tabel242567[[#This Row],[Stand Kamertemp liter vorige maand]]</f>
        <v>16.099999999999994</v>
      </c>
      <c r="AG6" s="2">
        <f>Tabel242567[[#This Row],[Verbruik Kamertemp liter deze maand]]/0.15</f>
        <v>107.3333333333333</v>
      </c>
      <c r="AH6" s="25">
        <v>653.5</v>
      </c>
      <c r="AI6">
        <v>438.1</v>
      </c>
      <c r="AJ6">
        <f>Tabel242567[[#This Row],[Stand Gekoeld liter einde maand]]-Tabel242567[[#This Row],[Stand Gekoeld liter vorige maand]]</f>
        <v>215.39999999999998</v>
      </c>
      <c r="AK6" s="2">
        <f>Tabel242567[[#This Row],[Verbruik Gekoeld liter deze maand]]/0.15</f>
        <v>1436</v>
      </c>
      <c r="AL6" s="25">
        <v>445.7</v>
      </c>
      <c r="AM6">
        <v>345.4</v>
      </c>
      <c r="AN6">
        <f>Tabel242567[[#This Row],[Stand Bruisend liter einde maand]]-Tabel242567[[#This Row],[Stand Bruisend liter vorige maand]]</f>
        <v>100.30000000000001</v>
      </c>
      <c r="AO6" s="2">
        <f>Tabel242567[[#This Row],[Verbruik Bruisend liter deze maand]]/0.15</f>
        <v>668.66666666666674</v>
      </c>
      <c r="AP6" s="25">
        <v>174.7</v>
      </c>
      <c r="AQ6">
        <v>122.3</v>
      </c>
      <c r="AR6">
        <f>Tabel242567[[#This Row],[Stand licht bruisend liter einde maand]]-Tabel242567[[#This Row],[Stand licht bruisend liter vorige maand]]</f>
        <v>52.399999999999991</v>
      </c>
      <c r="AS6" s="2">
        <f>Tabel242567[[#This Row],[Verbruik licht bruisend liter deze maand]]/0.15</f>
        <v>349.33333333333331</v>
      </c>
      <c r="AT6" s="25">
        <v>781.3</v>
      </c>
      <c r="AU6">
        <v>654.9</v>
      </c>
      <c r="AV6">
        <f>Tabel242567[[#This Row],[Stand heet water liter einde maand]]-Tabel242567[[#This Row],[Stand heet water liter vorige maand]]</f>
        <v>126.39999999999998</v>
      </c>
      <c r="AW6" s="20">
        <f>Tabel242567[[#This Row],[Verbruik heet Water liter deze maand ]]/0.15</f>
        <v>842.66666666666652</v>
      </c>
      <c r="AX6" s="4">
        <f>Tabel242567[[#This Row],[Aantal consumpties heet water deze maand]]+Tabel242567[[#This Row],[Aantal consumpties licht bruisend water deze maand]]+Tabel242567[[#This Row],[aantal consumpties Bruisend water deze maand]]+Tabel242567[[#This Row],[Aantal consumpties gekoeld water deze maand]]+Tabel242567[[#This Row],[Aantal consumpties Kamertemp deze maand]]</f>
        <v>3404</v>
      </c>
      <c r="AY6" s="4">
        <f>Tabel242567[[#This Row],[Subtotaal waterbar in consumpties]]+Tabel242567[[#This Row],[Subtotaal koffieautomaten]]</f>
        <v>5147</v>
      </c>
    </row>
    <row r="7" spans="1:51" x14ac:dyDescent="0.25">
      <c r="A7" t="s">
        <v>37</v>
      </c>
      <c r="B7" t="s">
        <v>38</v>
      </c>
      <c r="C7" t="s">
        <v>31</v>
      </c>
      <c r="E7" s="25">
        <v>2509</v>
      </c>
      <c r="F7" s="25">
        <v>1748</v>
      </c>
      <c r="G7" s="12">
        <f>Tabel242567[[#This Row],[Stand Coffee einde maand]]-Tabel242567[[#This Row],[Coffee vorige maand]]</f>
        <v>761</v>
      </c>
      <c r="H7" s="25">
        <v>838</v>
      </c>
      <c r="I7">
        <v>579</v>
      </c>
      <c r="J7" s="12">
        <f>Tabel242567[[#This Row],[Stand Espresso Einde maand]]-Tabel242567[[#This Row],[Espresso vorige maand]]</f>
        <v>259</v>
      </c>
      <c r="K7" s="25">
        <v>275</v>
      </c>
      <c r="L7">
        <v>196</v>
      </c>
      <c r="M7">
        <f>Tabel242567[[#This Row],[Stand Latte Macchiato einde maand]]-Tabel242567[[#This Row],[Latte Macchiato vorige maand]]</f>
        <v>79</v>
      </c>
      <c r="N7" s="25">
        <v>194</v>
      </c>
      <c r="O7">
        <v>122</v>
      </c>
      <c r="P7">
        <f>Tabel242567[[#This Row],[Stand Coffee Latte einde maand]]-Tabel242567[[#This Row],[Coffee Latte vorige maand]]</f>
        <v>72</v>
      </c>
      <c r="Q7" s="25">
        <v>3945</v>
      </c>
      <c r="R7">
        <v>2893</v>
      </c>
      <c r="S7">
        <f>Tabel242567[[#This Row],[Stand Hot Water einde maand]]-Tabel242567[[#This Row],[Hot Water vorige maand]]</f>
        <v>1052</v>
      </c>
      <c r="T7" s="25">
        <v>1920</v>
      </c>
      <c r="U7">
        <v>1396</v>
      </c>
      <c r="V7">
        <f>Tabel242567[[#This Row],[Stand Cappucino einde maand]]-Tabel242567[[#This Row],[Stand Cappucino vorige maand]]</f>
        <v>524</v>
      </c>
      <c r="W7" s="25">
        <v>131</v>
      </c>
      <c r="X7" s="25">
        <v>108</v>
      </c>
      <c r="Y7">
        <f>Tabel242567[[#This Row],[Stand Cappucino Plantaardig einde maand]]-Tabel242567[[#This Row],[Stand Cappucino Plantaardig vorige maand]]</f>
        <v>23</v>
      </c>
      <c r="Z7" s="25">
        <v>60</v>
      </c>
      <c r="AA7">
        <v>42</v>
      </c>
      <c r="AB7" s="12">
        <f>Tabel242567[[#This Row],[Stand Latte Macchiato Plantaardig einde maand]]-Tabel242567[[#This Row],[Stand Latte Macchiato Plantaardig vorige maand]]</f>
        <v>18</v>
      </c>
      <c r="AC7" s="3">
        <f>Tabel242567[[#This Row],[Verbruik Stand Latte Macchiato Plantaardig deze maand]]+Tabel242567[[#This Row],[Verbruik  Cappucino Plantaardig deze maand]]+Tabel242567[[#This Row],[Verbruik Cappucino deze maand]]+Tabel242567[[#This Row],[Verbruik Hot Water deze maand]]+Tabel242567[[#This Row],[Verbruik Coffee Latte deze maand]]+Tabel242567[[#This Row],[Verbruik Latte Macchiato deze maand]]+Tabel242567[[#This Row],[Verbruik Espresso deze maand]]+Tabel242567[[#This Row],[Verbruik Coffee deze maand]]</f>
        <v>2788</v>
      </c>
      <c r="AD7" s="26"/>
      <c r="AE7" s="5"/>
      <c r="AF7" s="5"/>
      <c r="AG7" s="5"/>
      <c r="AH7" s="26"/>
      <c r="AI7" s="5"/>
      <c r="AJ7" s="5"/>
      <c r="AK7" s="5"/>
      <c r="AL7" s="26"/>
      <c r="AM7" s="5"/>
      <c r="AN7" s="5"/>
      <c r="AO7" s="5"/>
      <c r="AP7" s="26"/>
      <c r="AQ7" s="5"/>
      <c r="AR7" s="5"/>
      <c r="AS7" s="5"/>
      <c r="AT7" s="26"/>
      <c r="AU7" s="5"/>
      <c r="AV7" s="5"/>
      <c r="AW7" s="21"/>
      <c r="AX7" s="8"/>
      <c r="AY7" s="4">
        <f>Tabel242567[[#This Row],[Subtotaal waterbar in consumpties]]+Tabel242567[[#This Row],[Subtotaal koffieautomaten]]</f>
        <v>2788</v>
      </c>
    </row>
    <row r="8" spans="1:51" x14ac:dyDescent="0.25">
      <c r="A8" t="s">
        <v>39</v>
      </c>
      <c r="B8" t="s">
        <v>40</v>
      </c>
      <c r="C8" t="s">
        <v>31</v>
      </c>
      <c r="E8" s="25">
        <v>4470</v>
      </c>
      <c r="F8" s="25">
        <v>3579</v>
      </c>
      <c r="G8" s="12">
        <f>Tabel242567[[#This Row],[Stand Coffee einde maand]]-Tabel242567[[#This Row],[Coffee vorige maand]]</f>
        <v>891</v>
      </c>
      <c r="H8" s="25">
        <v>1513</v>
      </c>
      <c r="I8">
        <v>1361</v>
      </c>
      <c r="J8" s="12">
        <f>Tabel242567[[#This Row],[Stand Espresso Einde maand]]-Tabel242567[[#This Row],[Espresso vorige maand]]</f>
        <v>152</v>
      </c>
      <c r="K8" s="25">
        <v>832</v>
      </c>
      <c r="L8">
        <v>745</v>
      </c>
      <c r="M8">
        <f>Tabel242567[[#This Row],[Stand Latte Macchiato einde maand]]-Tabel242567[[#This Row],[Latte Macchiato vorige maand]]</f>
        <v>87</v>
      </c>
      <c r="N8" s="25">
        <v>458</v>
      </c>
      <c r="O8">
        <v>364</v>
      </c>
      <c r="P8">
        <f>Tabel242567[[#This Row],[Stand Coffee Latte einde maand]]-Tabel242567[[#This Row],[Coffee Latte vorige maand]]</f>
        <v>94</v>
      </c>
      <c r="Q8" s="25">
        <v>6411</v>
      </c>
      <c r="R8">
        <v>5286</v>
      </c>
      <c r="S8">
        <f>Tabel242567[[#This Row],[Stand Hot Water einde maand]]-Tabel242567[[#This Row],[Hot Water vorige maand]]</f>
        <v>1125</v>
      </c>
      <c r="T8" s="25">
        <v>3019</v>
      </c>
      <c r="U8">
        <v>2379</v>
      </c>
      <c r="V8">
        <f>Tabel242567[[#This Row],[Stand Cappucino einde maand]]-Tabel242567[[#This Row],[Stand Cappucino vorige maand]]</f>
        <v>640</v>
      </c>
      <c r="W8" s="25">
        <v>512</v>
      </c>
      <c r="X8" s="25">
        <v>509</v>
      </c>
      <c r="Y8">
        <f>Tabel242567[[#This Row],[Stand Cappucino Plantaardig einde maand]]-Tabel242567[[#This Row],[Stand Cappucino Plantaardig vorige maand]]</f>
        <v>3</v>
      </c>
      <c r="Z8" s="25">
        <v>50</v>
      </c>
      <c r="AA8">
        <v>44</v>
      </c>
      <c r="AB8" s="12">
        <f>Tabel242567[[#This Row],[Stand Latte Macchiato Plantaardig einde maand]]-Tabel242567[[#This Row],[Stand Latte Macchiato Plantaardig vorige maand]]</f>
        <v>6</v>
      </c>
      <c r="AC8" s="3">
        <f>Tabel242567[[#This Row],[Verbruik Stand Latte Macchiato Plantaardig deze maand]]+Tabel242567[[#This Row],[Verbruik  Cappucino Plantaardig deze maand]]+Tabel242567[[#This Row],[Verbruik Cappucino deze maand]]+Tabel242567[[#This Row],[Verbruik Hot Water deze maand]]+Tabel242567[[#This Row],[Verbruik Coffee Latte deze maand]]+Tabel242567[[#This Row],[Verbruik Latte Macchiato deze maand]]+Tabel242567[[#This Row],[Verbruik Espresso deze maand]]+Tabel242567[[#This Row],[Verbruik Coffee deze maand]]</f>
        <v>2998</v>
      </c>
      <c r="AD8" s="26"/>
      <c r="AE8" s="5"/>
      <c r="AF8" s="5"/>
      <c r="AG8" s="5"/>
      <c r="AH8" s="26"/>
      <c r="AI8" s="5"/>
      <c r="AJ8" s="5"/>
      <c r="AK8" s="5"/>
      <c r="AL8" s="26"/>
      <c r="AM8" s="5"/>
      <c r="AN8" s="5"/>
      <c r="AO8" s="5"/>
      <c r="AP8" s="26"/>
      <c r="AQ8" s="5"/>
      <c r="AR8" s="5"/>
      <c r="AS8" s="5"/>
      <c r="AT8" s="26"/>
      <c r="AU8" s="5"/>
      <c r="AV8" s="5"/>
      <c r="AW8" s="21"/>
      <c r="AX8" s="8"/>
      <c r="AY8" s="4">
        <f>Tabel242567[[#This Row],[Subtotaal waterbar in consumpties]]+Tabel242567[[#This Row],[Subtotaal koffieautomaten]]</f>
        <v>2998</v>
      </c>
    </row>
    <row r="9" spans="1:51" x14ac:dyDescent="0.25">
      <c r="A9" t="s">
        <v>41</v>
      </c>
      <c r="B9" t="s">
        <v>42</v>
      </c>
      <c r="C9" t="s">
        <v>31</v>
      </c>
      <c r="E9" s="25">
        <v>2091</v>
      </c>
      <c r="F9" s="25">
        <v>1708</v>
      </c>
      <c r="G9" s="12">
        <f>Tabel242567[[#This Row],[Stand Coffee einde maand]]-Tabel242567[[#This Row],[Coffee vorige maand]]</f>
        <v>383</v>
      </c>
      <c r="H9" s="25">
        <v>684</v>
      </c>
      <c r="I9">
        <v>569</v>
      </c>
      <c r="J9" s="12">
        <f>Tabel242567[[#This Row],[Stand Espresso Einde maand]]-Tabel242567[[#This Row],[Espresso vorige maand]]</f>
        <v>115</v>
      </c>
      <c r="K9" s="25">
        <v>692</v>
      </c>
      <c r="L9">
        <v>587</v>
      </c>
      <c r="M9">
        <f>Tabel242567[[#This Row],[Stand Latte Macchiato einde maand]]-Tabel242567[[#This Row],[Latte Macchiato vorige maand]]</f>
        <v>105</v>
      </c>
      <c r="N9" s="25">
        <v>351</v>
      </c>
      <c r="O9">
        <v>292</v>
      </c>
      <c r="P9">
        <f>Tabel242567[[#This Row],[Stand Coffee Latte einde maand]]-Tabel242567[[#This Row],[Coffee Latte vorige maand]]</f>
        <v>59</v>
      </c>
      <c r="Q9" s="25">
        <v>7752</v>
      </c>
      <c r="R9">
        <v>6801</v>
      </c>
      <c r="S9">
        <f>Tabel242567[[#This Row],[Stand Hot Water einde maand]]-Tabel242567[[#This Row],[Hot Water vorige maand]]</f>
        <v>951</v>
      </c>
      <c r="T9" s="25">
        <v>1437</v>
      </c>
      <c r="U9">
        <v>1239</v>
      </c>
      <c r="V9">
        <f>Tabel242567[[#This Row],[Stand Cappucino einde maand]]-Tabel242567[[#This Row],[Stand Cappucino vorige maand]]</f>
        <v>198</v>
      </c>
      <c r="W9" s="25">
        <v>449</v>
      </c>
      <c r="X9" s="25">
        <v>405</v>
      </c>
      <c r="Y9">
        <f>Tabel242567[[#This Row],[Stand Cappucino Plantaardig einde maand]]-Tabel242567[[#This Row],[Stand Cappucino Plantaardig vorige maand]]</f>
        <v>44</v>
      </c>
      <c r="Z9" s="25">
        <v>171</v>
      </c>
      <c r="AA9">
        <v>133</v>
      </c>
      <c r="AB9" s="12">
        <f>Tabel242567[[#This Row],[Stand Latte Macchiato Plantaardig einde maand]]-Tabel242567[[#This Row],[Stand Latte Macchiato Plantaardig vorige maand]]</f>
        <v>38</v>
      </c>
      <c r="AC9" s="3">
        <f>Tabel242567[[#This Row],[Verbruik Stand Latte Macchiato Plantaardig deze maand]]+Tabel242567[[#This Row],[Verbruik  Cappucino Plantaardig deze maand]]+Tabel242567[[#This Row],[Verbruik Cappucino deze maand]]+Tabel242567[[#This Row],[Verbruik Hot Water deze maand]]+Tabel242567[[#This Row],[Verbruik Coffee Latte deze maand]]+Tabel242567[[#This Row],[Verbruik Latte Macchiato deze maand]]+Tabel242567[[#This Row],[Verbruik Espresso deze maand]]+Tabel242567[[#This Row],[Verbruik Coffee deze maand]]</f>
        <v>1893</v>
      </c>
      <c r="AD9" s="26"/>
      <c r="AE9" s="5"/>
      <c r="AF9" s="5"/>
      <c r="AG9" s="5"/>
      <c r="AH9" s="26"/>
      <c r="AI9" s="5"/>
      <c r="AJ9" s="5"/>
      <c r="AK9" s="5"/>
      <c r="AL9" s="26"/>
      <c r="AM9" s="5"/>
      <c r="AN9" s="5"/>
      <c r="AO9" s="5"/>
      <c r="AP9" s="26"/>
      <c r="AQ9" s="5"/>
      <c r="AR9" s="5"/>
      <c r="AS9" s="5"/>
      <c r="AT9" s="26"/>
      <c r="AU9" s="5"/>
      <c r="AV9" s="5"/>
      <c r="AW9" s="21"/>
      <c r="AX9" s="8"/>
      <c r="AY9" s="4">
        <f>Tabel242567[[#This Row],[Subtotaal waterbar in consumpties]]+Tabel242567[[#This Row],[Subtotaal koffieautomaten]]</f>
        <v>1893</v>
      </c>
    </row>
    <row r="10" spans="1:51" x14ac:dyDescent="0.25">
      <c r="A10" t="s">
        <v>43</v>
      </c>
      <c r="B10" t="s">
        <v>44</v>
      </c>
      <c r="C10" t="s">
        <v>31</v>
      </c>
      <c r="E10" s="25">
        <v>3354</v>
      </c>
      <c r="F10" s="25">
        <v>2770</v>
      </c>
      <c r="G10" s="12">
        <f>Tabel242567[[#This Row],[Stand Coffee einde maand]]-Tabel242567[[#This Row],[Coffee vorige maand]]</f>
        <v>584</v>
      </c>
      <c r="H10" s="25">
        <v>639</v>
      </c>
      <c r="I10">
        <v>571</v>
      </c>
      <c r="J10" s="12">
        <f>Tabel242567[[#This Row],[Stand Espresso Einde maand]]-Tabel242567[[#This Row],[Espresso vorige maand]]</f>
        <v>68</v>
      </c>
      <c r="K10" s="25">
        <v>371</v>
      </c>
      <c r="L10">
        <v>328</v>
      </c>
      <c r="M10">
        <f>Tabel242567[[#This Row],[Stand Latte Macchiato einde maand]]-Tabel242567[[#This Row],[Latte Macchiato vorige maand]]</f>
        <v>43</v>
      </c>
      <c r="N10" s="25">
        <v>244</v>
      </c>
      <c r="O10">
        <v>211</v>
      </c>
      <c r="P10">
        <f>Tabel242567[[#This Row],[Stand Coffee Latte einde maand]]-Tabel242567[[#This Row],[Coffee Latte vorige maand]]</f>
        <v>33</v>
      </c>
      <c r="Q10" s="25">
        <v>4806</v>
      </c>
      <c r="R10">
        <v>3847</v>
      </c>
      <c r="S10">
        <f>Tabel242567[[#This Row],[Stand Hot Water einde maand]]-Tabel242567[[#This Row],[Hot Water vorige maand]]</f>
        <v>959</v>
      </c>
      <c r="T10" s="25">
        <v>1776</v>
      </c>
      <c r="U10">
        <v>1498</v>
      </c>
      <c r="V10">
        <f>Tabel242567[[#This Row],[Stand Cappucino einde maand]]-Tabel242567[[#This Row],[Stand Cappucino vorige maand]]</f>
        <v>278</v>
      </c>
      <c r="W10" s="25">
        <v>551</v>
      </c>
      <c r="X10" s="25">
        <v>434</v>
      </c>
      <c r="Y10">
        <f>Tabel242567[[#This Row],[Stand Cappucino Plantaardig einde maand]]-Tabel242567[[#This Row],[Stand Cappucino Plantaardig vorige maand]]</f>
        <v>117</v>
      </c>
      <c r="Z10" s="25">
        <v>330</v>
      </c>
      <c r="AA10">
        <v>274</v>
      </c>
      <c r="AB10" s="12">
        <f>Tabel242567[[#This Row],[Stand Latte Macchiato Plantaardig einde maand]]-Tabel242567[[#This Row],[Stand Latte Macchiato Plantaardig vorige maand]]</f>
        <v>56</v>
      </c>
      <c r="AC10" s="3">
        <f>Tabel242567[[#This Row],[Verbruik Stand Latte Macchiato Plantaardig deze maand]]+Tabel242567[[#This Row],[Verbruik  Cappucino Plantaardig deze maand]]+Tabel242567[[#This Row],[Verbruik Cappucino deze maand]]+Tabel242567[[#This Row],[Verbruik Hot Water deze maand]]+Tabel242567[[#This Row],[Verbruik Coffee Latte deze maand]]+Tabel242567[[#This Row],[Verbruik Latte Macchiato deze maand]]+Tabel242567[[#This Row],[Verbruik Espresso deze maand]]+Tabel242567[[#This Row],[Verbruik Coffee deze maand]]</f>
        <v>2138</v>
      </c>
      <c r="AD10" s="26"/>
      <c r="AE10" s="5"/>
      <c r="AF10" s="5"/>
      <c r="AG10" s="7"/>
      <c r="AH10" s="26"/>
      <c r="AI10" s="5"/>
      <c r="AJ10" s="5"/>
      <c r="AK10" s="5"/>
      <c r="AL10" s="26"/>
      <c r="AM10" s="5"/>
      <c r="AN10" s="5"/>
      <c r="AO10" s="5"/>
      <c r="AP10" s="26"/>
      <c r="AQ10" s="5"/>
      <c r="AR10" s="5"/>
      <c r="AS10" s="5"/>
      <c r="AT10" s="26"/>
      <c r="AU10" s="5"/>
      <c r="AV10" s="5"/>
      <c r="AW10" s="21"/>
      <c r="AX10" s="8"/>
      <c r="AY10" s="4">
        <f>Tabel242567[[#This Row],[Subtotaal waterbar in consumpties]]+Tabel242567[[#This Row],[Subtotaal koffieautomaten]]</f>
        <v>2138</v>
      </c>
    </row>
    <row r="11" spans="1:51" x14ac:dyDescent="0.25">
      <c r="A11" t="s">
        <v>45</v>
      </c>
      <c r="B11" t="s">
        <v>46</v>
      </c>
      <c r="C11" t="s">
        <v>47</v>
      </c>
      <c r="E11" s="25">
        <v>5265</v>
      </c>
      <c r="F11" s="25">
        <v>4437</v>
      </c>
      <c r="G11" s="12">
        <f>Tabel242567[[#This Row],[Stand Coffee einde maand]]-Tabel242567[[#This Row],[Coffee vorige maand]]</f>
        <v>828</v>
      </c>
      <c r="H11" s="25">
        <v>586</v>
      </c>
      <c r="I11">
        <v>465</v>
      </c>
      <c r="J11" s="12">
        <f>Tabel242567[[#This Row],[Stand Espresso Einde maand]]-Tabel242567[[#This Row],[Espresso vorige maand]]</f>
        <v>121</v>
      </c>
      <c r="K11" s="25">
        <v>386</v>
      </c>
      <c r="L11">
        <v>361</v>
      </c>
      <c r="M11">
        <f>Tabel242567[[#This Row],[Stand Latte Macchiato einde maand]]-Tabel242567[[#This Row],[Latte Macchiato vorige maand]]</f>
        <v>25</v>
      </c>
      <c r="N11" s="25">
        <v>191</v>
      </c>
      <c r="O11">
        <v>149</v>
      </c>
      <c r="P11">
        <f>Tabel242567[[#This Row],[Stand Coffee Latte einde maand]]-Tabel242567[[#This Row],[Coffee Latte vorige maand]]</f>
        <v>42</v>
      </c>
      <c r="Q11" s="25">
        <v>1</v>
      </c>
      <c r="R11">
        <v>1</v>
      </c>
      <c r="S11">
        <f>Tabel242567[[#This Row],[Stand Hot Water einde maand]]-Tabel242567[[#This Row],[Hot Water vorige maand]]</f>
        <v>0</v>
      </c>
      <c r="T11" s="25">
        <v>1704</v>
      </c>
      <c r="U11">
        <v>1394</v>
      </c>
      <c r="V11">
        <f>Tabel242567[[#This Row],[Stand Cappucino einde maand]]-Tabel242567[[#This Row],[Stand Cappucino vorige maand]]</f>
        <v>310</v>
      </c>
      <c r="W11" s="25">
        <v>678</v>
      </c>
      <c r="X11" s="25">
        <v>573</v>
      </c>
      <c r="Y11">
        <f>Tabel242567[[#This Row],[Stand Cappucino Plantaardig einde maand]]-Tabel242567[[#This Row],[Stand Cappucino Plantaardig vorige maand]]</f>
        <v>105</v>
      </c>
      <c r="Z11" s="25">
        <v>336</v>
      </c>
      <c r="AA11">
        <v>289</v>
      </c>
      <c r="AB11" s="12">
        <f>Tabel242567[[#This Row],[Stand Latte Macchiato Plantaardig einde maand]]-Tabel242567[[#This Row],[Stand Latte Macchiato Plantaardig vorige maand]]</f>
        <v>47</v>
      </c>
      <c r="AC11" s="3">
        <f>Tabel242567[[#This Row],[Verbruik Stand Latte Macchiato Plantaardig deze maand]]+Tabel242567[[#This Row],[Verbruik  Cappucino Plantaardig deze maand]]+Tabel242567[[#This Row],[Verbruik Cappucino deze maand]]+Tabel242567[[#This Row],[Verbruik Hot Water deze maand]]+Tabel242567[[#This Row],[Verbruik Coffee Latte deze maand]]+Tabel242567[[#This Row],[Verbruik Latte Macchiato deze maand]]+Tabel242567[[#This Row],[Verbruik Espresso deze maand]]+Tabel242567[[#This Row],[Verbruik Coffee deze maand]]</f>
        <v>1478</v>
      </c>
      <c r="AD11" s="25">
        <v>160.69999999999999</v>
      </c>
      <c r="AE11">
        <v>132.1</v>
      </c>
      <c r="AF11">
        <f>Tabel242567[[#This Row],[Stand Kamertemp liter einde maand]]-Tabel242567[[#This Row],[Stand Kamertemp liter vorige maand]]</f>
        <v>28.599999999999994</v>
      </c>
      <c r="AG11" s="2">
        <f>Tabel242567[[#This Row],[Verbruik Kamertemp liter deze maand]]/0.15</f>
        <v>190.66666666666663</v>
      </c>
      <c r="AH11" s="25">
        <v>901.2</v>
      </c>
      <c r="AI11">
        <v>718.8</v>
      </c>
      <c r="AJ11">
        <f>Tabel242567[[#This Row],[Stand Gekoeld liter einde maand]]-Tabel242567[[#This Row],[Stand Gekoeld liter vorige maand]]</f>
        <v>182.40000000000009</v>
      </c>
      <c r="AK11" s="2">
        <f>Tabel242567[[#This Row],[Verbruik Gekoeld liter deze maand]]/0.15</f>
        <v>1216.0000000000007</v>
      </c>
      <c r="AL11" s="25">
        <v>936.2</v>
      </c>
      <c r="AM11">
        <v>777.1</v>
      </c>
      <c r="AN11">
        <f>Tabel242567[[#This Row],[Stand Bruisend liter einde maand]]-Tabel242567[[#This Row],[Stand Bruisend liter vorige maand]]</f>
        <v>159.10000000000002</v>
      </c>
      <c r="AO11" s="2">
        <f>Tabel242567[[#This Row],[Verbruik Bruisend liter deze maand]]/0.15</f>
        <v>1060.666666666667</v>
      </c>
      <c r="AP11" s="25">
        <v>436.6</v>
      </c>
      <c r="AQ11">
        <v>344.1</v>
      </c>
      <c r="AR11">
        <f>Tabel242567[[#This Row],[Stand licht bruisend liter einde maand]]-Tabel242567[[#This Row],[Stand licht bruisend liter vorige maand]]</f>
        <v>92.5</v>
      </c>
      <c r="AS11" s="2">
        <f>Tabel242567[[#This Row],[Verbruik licht bruisend liter deze maand]]/0.15</f>
        <v>616.66666666666674</v>
      </c>
      <c r="AT11" s="25">
        <v>2442.9</v>
      </c>
      <c r="AU11">
        <v>2188.1999999999998</v>
      </c>
      <c r="AV11">
        <f>Tabel242567[[#This Row],[Stand heet water liter einde maand]]-Tabel242567[[#This Row],[Stand heet water liter vorige maand]]</f>
        <v>254.70000000000027</v>
      </c>
      <c r="AW11" s="20">
        <f>Tabel242567[[#This Row],[Verbruik heet Water liter deze maand ]]/0.15</f>
        <v>1698.0000000000018</v>
      </c>
      <c r="AX11" s="4">
        <f>Tabel242567[[#This Row],[Aantal consumpties heet water deze maand]]+Tabel242567[[#This Row],[Aantal consumpties licht bruisend water deze maand]]+Tabel242567[[#This Row],[aantal consumpties Bruisend water deze maand]]+Tabel242567[[#This Row],[Aantal consumpties gekoeld water deze maand]]+Tabel242567[[#This Row],[Aantal consumpties Kamertemp deze maand]]</f>
        <v>4782.0000000000036</v>
      </c>
      <c r="AY11" s="4">
        <f>Tabel242567[[#This Row],[Subtotaal waterbar in consumpties]]+Tabel242567[[#This Row],[Subtotaal koffieautomaten]]</f>
        <v>6260.0000000000036</v>
      </c>
    </row>
    <row r="12" spans="1:51" x14ac:dyDescent="0.25">
      <c r="A12" t="s">
        <v>48</v>
      </c>
      <c r="B12" t="s">
        <v>49</v>
      </c>
      <c r="C12" t="s">
        <v>31</v>
      </c>
      <c r="E12" s="25">
        <v>5506</v>
      </c>
      <c r="F12" s="25">
        <v>4498</v>
      </c>
      <c r="G12" s="12">
        <f>Tabel242567[[#This Row],[Stand Coffee einde maand]]-Tabel242567[[#This Row],[Coffee vorige maand]]</f>
        <v>1008</v>
      </c>
      <c r="H12" s="25">
        <v>1748</v>
      </c>
      <c r="I12">
        <v>1459</v>
      </c>
      <c r="J12" s="12">
        <f>Tabel242567[[#This Row],[Stand Espresso Einde maand]]-Tabel242567[[#This Row],[Espresso vorige maand]]</f>
        <v>289</v>
      </c>
      <c r="K12" s="25">
        <v>396</v>
      </c>
      <c r="L12">
        <v>370</v>
      </c>
      <c r="M12">
        <f>Tabel242567[[#This Row],[Stand Latte Macchiato einde maand]]-Tabel242567[[#This Row],[Latte Macchiato vorige maand]]</f>
        <v>26</v>
      </c>
      <c r="N12" s="25">
        <v>67</v>
      </c>
      <c r="O12">
        <v>52</v>
      </c>
      <c r="P12">
        <f>Tabel242567[[#This Row],[Stand Coffee Latte einde maand]]-Tabel242567[[#This Row],[Coffee Latte vorige maand]]</f>
        <v>15</v>
      </c>
      <c r="Q12" s="25">
        <v>12813</v>
      </c>
      <c r="R12">
        <v>10826</v>
      </c>
      <c r="S12">
        <f>Tabel242567[[#This Row],[Stand Hot Water einde maand]]-Tabel242567[[#This Row],[Hot Water vorige maand]]</f>
        <v>1987</v>
      </c>
      <c r="T12" s="25">
        <v>2334</v>
      </c>
      <c r="U12">
        <v>1973</v>
      </c>
      <c r="V12">
        <f>Tabel242567[[#This Row],[Stand Cappucino einde maand]]-Tabel242567[[#This Row],[Stand Cappucino vorige maand]]</f>
        <v>361</v>
      </c>
      <c r="W12" s="25">
        <v>808</v>
      </c>
      <c r="X12" s="25">
        <v>670</v>
      </c>
      <c r="Y12">
        <f>Tabel242567[[#This Row],[Stand Cappucino Plantaardig einde maand]]-Tabel242567[[#This Row],[Stand Cappucino Plantaardig vorige maand]]</f>
        <v>138</v>
      </c>
      <c r="Z12" s="25">
        <v>207</v>
      </c>
      <c r="AA12">
        <v>185</v>
      </c>
      <c r="AB12" s="12">
        <f>Tabel242567[[#This Row],[Stand Latte Macchiato Plantaardig einde maand]]-Tabel242567[[#This Row],[Stand Latte Macchiato Plantaardig vorige maand]]</f>
        <v>22</v>
      </c>
      <c r="AC12" s="3">
        <f>Tabel242567[[#This Row],[Verbruik Stand Latte Macchiato Plantaardig deze maand]]+Tabel242567[[#This Row],[Verbruik  Cappucino Plantaardig deze maand]]+Tabel242567[[#This Row],[Verbruik Cappucino deze maand]]+Tabel242567[[#This Row],[Verbruik Hot Water deze maand]]+Tabel242567[[#This Row],[Verbruik Coffee Latte deze maand]]+Tabel242567[[#This Row],[Verbruik Latte Macchiato deze maand]]+Tabel242567[[#This Row],[Verbruik Espresso deze maand]]+Tabel242567[[#This Row],[Verbruik Coffee deze maand]]</f>
        <v>3846</v>
      </c>
      <c r="AD12" s="26"/>
      <c r="AE12" s="5"/>
      <c r="AF12" s="5"/>
      <c r="AG12" s="7"/>
      <c r="AH12" s="26"/>
      <c r="AI12" s="5"/>
      <c r="AJ12" s="5"/>
      <c r="AK12" s="7"/>
      <c r="AL12" s="26"/>
      <c r="AM12" s="5"/>
      <c r="AN12" s="5"/>
      <c r="AO12" s="5"/>
      <c r="AP12" s="26"/>
      <c r="AQ12" s="5"/>
      <c r="AR12" s="5"/>
      <c r="AS12" s="7"/>
      <c r="AT12" s="26"/>
      <c r="AU12" s="5"/>
      <c r="AV12" s="5"/>
      <c r="AW12" s="21"/>
      <c r="AX12" s="8"/>
      <c r="AY12" s="4">
        <f>Tabel242567[[#This Row],[Subtotaal waterbar in consumpties]]+Tabel242567[[#This Row],[Subtotaal koffieautomaten]]</f>
        <v>3846</v>
      </c>
    </row>
    <row r="13" spans="1:51" x14ac:dyDescent="0.25">
      <c r="A13" t="s">
        <v>50</v>
      </c>
      <c r="B13" t="s">
        <v>51</v>
      </c>
      <c r="C13" t="s">
        <v>47</v>
      </c>
      <c r="E13" s="25">
        <v>4248</v>
      </c>
      <c r="F13" s="25">
        <v>3546</v>
      </c>
      <c r="G13" s="12">
        <f>Tabel242567[[#This Row],[Stand Coffee einde maand]]-Tabel242567[[#This Row],[Coffee vorige maand]]</f>
        <v>702</v>
      </c>
      <c r="H13" s="25">
        <v>1058</v>
      </c>
      <c r="I13">
        <v>902</v>
      </c>
      <c r="J13" s="12">
        <f>Tabel242567[[#This Row],[Stand Espresso Einde maand]]-Tabel242567[[#This Row],[Espresso vorige maand]]</f>
        <v>156</v>
      </c>
      <c r="K13" s="25">
        <v>541</v>
      </c>
      <c r="L13">
        <v>454</v>
      </c>
      <c r="M13">
        <f>Tabel242567[[#This Row],[Stand Latte Macchiato einde maand]]-Tabel242567[[#This Row],[Latte Macchiato vorige maand]]</f>
        <v>87</v>
      </c>
      <c r="N13" s="25">
        <v>406</v>
      </c>
      <c r="O13">
        <v>338</v>
      </c>
      <c r="P13">
        <f>Tabel242567[[#This Row],[Stand Coffee Latte einde maand]]-Tabel242567[[#This Row],[Coffee Latte vorige maand]]</f>
        <v>68</v>
      </c>
      <c r="Q13" s="25">
        <v>1</v>
      </c>
      <c r="R13">
        <v>1</v>
      </c>
      <c r="S13">
        <f>Tabel242567[[#This Row],[Stand Hot Water einde maand]]-Tabel242567[[#This Row],[Hot Water vorige maand]]</f>
        <v>0</v>
      </c>
      <c r="T13" s="25">
        <v>1766</v>
      </c>
      <c r="U13">
        <v>1482</v>
      </c>
      <c r="V13">
        <f>Tabel242567[[#This Row],[Stand Cappucino einde maand]]-Tabel242567[[#This Row],[Stand Cappucino vorige maand]]</f>
        <v>284</v>
      </c>
      <c r="W13" s="25">
        <v>714</v>
      </c>
      <c r="X13" s="25">
        <v>617</v>
      </c>
      <c r="Y13">
        <f>Tabel242567[[#This Row],[Stand Cappucino Plantaardig einde maand]]-Tabel242567[[#This Row],[Stand Cappucino Plantaardig vorige maand]]</f>
        <v>97</v>
      </c>
      <c r="Z13" s="25">
        <v>147</v>
      </c>
      <c r="AA13">
        <v>129</v>
      </c>
      <c r="AB13" s="12">
        <f>Tabel242567[[#This Row],[Stand Latte Macchiato Plantaardig einde maand]]-Tabel242567[[#This Row],[Stand Latte Macchiato Plantaardig vorige maand]]</f>
        <v>18</v>
      </c>
      <c r="AC13" s="3">
        <f>Tabel242567[[#This Row],[Verbruik Stand Latte Macchiato Plantaardig deze maand]]+Tabel242567[[#This Row],[Verbruik  Cappucino Plantaardig deze maand]]+Tabel242567[[#This Row],[Verbruik Cappucino deze maand]]+Tabel242567[[#This Row],[Verbruik Hot Water deze maand]]+Tabel242567[[#This Row],[Verbruik Coffee Latte deze maand]]+Tabel242567[[#This Row],[Verbruik Latte Macchiato deze maand]]+Tabel242567[[#This Row],[Verbruik Espresso deze maand]]+Tabel242567[[#This Row],[Verbruik Coffee deze maand]]</f>
        <v>1412</v>
      </c>
      <c r="AD13" s="25">
        <v>122.8</v>
      </c>
      <c r="AE13">
        <v>105.3</v>
      </c>
      <c r="AF13">
        <f>Tabel242567[[#This Row],[Stand Kamertemp liter einde maand]]-Tabel242567[[#This Row],[Stand Kamertemp liter vorige maand]]</f>
        <v>17.5</v>
      </c>
      <c r="AG13" s="2">
        <f>Tabel242567[[#This Row],[Verbruik Kamertemp liter deze maand]]/0.15</f>
        <v>116.66666666666667</v>
      </c>
      <c r="AH13" s="25">
        <v>998.1</v>
      </c>
      <c r="AI13">
        <v>747.7</v>
      </c>
      <c r="AJ13">
        <f>Tabel242567[[#This Row],[Stand Gekoeld liter einde maand]]-Tabel242567[[#This Row],[Stand Gekoeld liter vorige maand]]</f>
        <v>250.39999999999998</v>
      </c>
      <c r="AK13" s="2">
        <f>Tabel242567[[#This Row],[Verbruik Gekoeld liter deze maand]]/0.15</f>
        <v>1669.3333333333333</v>
      </c>
      <c r="AL13" s="25">
        <v>872</v>
      </c>
      <c r="AM13">
        <v>691.5</v>
      </c>
      <c r="AN13">
        <f>Tabel242567[[#This Row],[Stand Bruisend liter einde maand]]-Tabel242567[[#This Row],[Stand Bruisend liter vorige maand]]</f>
        <v>180.5</v>
      </c>
      <c r="AO13" s="2">
        <f>Tabel242567[[#This Row],[Verbruik Bruisend liter deze maand]]/0.15</f>
        <v>1203.3333333333335</v>
      </c>
      <c r="AP13" s="25">
        <v>683.4</v>
      </c>
      <c r="AQ13">
        <v>577.6</v>
      </c>
      <c r="AR13">
        <f>Tabel242567[[#This Row],[Stand licht bruisend liter einde maand]]-Tabel242567[[#This Row],[Stand licht bruisend liter vorige maand]]</f>
        <v>105.79999999999995</v>
      </c>
      <c r="AS13" s="2">
        <f>Tabel242567[[#This Row],[Verbruik licht bruisend liter deze maand]]/0.15</f>
        <v>705.33333333333303</v>
      </c>
      <c r="AT13" s="25">
        <v>2806.1</v>
      </c>
      <c r="AU13">
        <v>2490.1999999999998</v>
      </c>
      <c r="AV13">
        <f>Tabel242567[[#This Row],[Stand heet water liter einde maand]]-Tabel242567[[#This Row],[Stand heet water liter vorige maand]]</f>
        <v>315.90000000000009</v>
      </c>
      <c r="AW13" s="20">
        <f>Tabel242567[[#This Row],[Verbruik heet Water liter deze maand ]]/0.15</f>
        <v>2106.0000000000009</v>
      </c>
      <c r="AX13" s="4">
        <f>Tabel242567[[#This Row],[Aantal consumpties heet water deze maand]]+Tabel242567[[#This Row],[Aantal consumpties licht bruisend water deze maand]]+Tabel242567[[#This Row],[aantal consumpties Bruisend water deze maand]]+Tabel242567[[#This Row],[Aantal consumpties gekoeld water deze maand]]+Tabel242567[[#This Row],[Aantal consumpties Kamertemp deze maand]]</f>
        <v>5800.6666666666679</v>
      </c>
      <c r="AY13" s="4">
        <f>Tabel242567[[#This Row],[Subtotaal waterbar in consumpties]]+Tabel242567[[#This Row],[Subtotaal koffieautomaten]]</f>
        <v>7212.6666666666679</v>
      </c>
    </row>
    <row r="14" spans="1:51" x14ac:dyDescent="0.25">
      <c r="A14" t="s">
        <v>52</v>
      </c>
      <c r="B14" t="s">
        <v>53</v>
      </c>
      <c r="C14" t="s">
        <v>31</v>
      </c>
      <c r="E14" s="25">
        <v>4276</v>
      </c>
      <c r="F14" s="25">
        <v>3568</v>
      </c>
      <c r="G14" s="12">
        <f>Tabel242567[[#This Row],[Stand Coffee einde maand]]-Tabel242567[[#This Row],[Coffee vorige maand]]</f>
        <v>708</v>
      </c>
      <c r="H14" s="25">
        <v>1118</v>
      </c>
      <c r="I14">
        <v>935</v>
      </c>
      <c r="J14" s="12">
        <f>Tabel242567[[#This Row],[Stand Espresso Einde maand]]-Tabel242567[[#This Row],[Espresso vorige maand]]</f>
        <v>183</v>
      </c>
      <c r="K14" s="25">
        <v>203</v>
      </c>
      <c r="L14">
        <v>170</v>
      </c>
      <c r="M14">
        <f>Tabel242567[[#This Row],[Stand Latte Macchiato einde maand]]-Tabel242567[[#This Row],[Latte Macchiato vorige maand]]</f>
        <v>33</v>
      </c>
      <c r="N14" s="25">
        <v>212</v>
      </c>
      <c r="O14">
        <v>179</v>
      </c>
      <c r="P14">
        <f>Tabel242567[[#This Row],[Stand Coffee Latte einde maand]]-Tabel242567[[#This Row],[Coffee Latte vorige maand]]</f>
        <v>33</v>
      </c>
      <c r="Q14" s="25">
        <v>6287</v>
      </c>
      <c r="R14">
        <v>5362</v>
      </c>
      <c r="S14">
        <f>Tabel242567[[#This Row],[Stand Hot Water einde maand]]-Tabel242567[[#This Row],[Hot Water vorige maand]]</f>
        <v>925</v>
      </c>
      <c r="T14" s="25">
        <v>1995</v>
      </c>
      <c r="U14">
        <v>1651</v>
      </c>
      <c r="V14">
        <f>Tabel242567[[#This Row],[Stand Cappucino einde maand]]-Tabel242567[[#This Row],[Stand Cappucino vorige maand]]</f>
        <v>344</v>
      </c>
      <c r="W14" s="25">
        <v>642</v>
      </c>
      <c r="X14" s="25">
        <v>553</v>
      </c>
      <c r="Y14">
        <f>Tabel242567[[#This Row],[Stand Cappucino Plantaardig einde maand]]-Tabel242567[[#This Row],[Stand Cappucino Plantaardig vorige maand]]</f>
        <v>89</v>
      </c>
      <c r="Z14" s="25">
        <v>149</v>
      </c>
      <c r="AA14">
        <v>133</v>
      </c>
      <c r="AB14" s="12">
        <f>Tabel242567[[#This Row],[Stand Latte Macchiato Plantaardig einde maand]]-Tabel242567[[#This Row],[Stand Latte Macchiato Plantaardig vorige maand]]</f>
        <v>16</v>
      </c>
      <c r="AC14" s="3">
        <f>Tabel242567[[#This Row],[Verbruik Stand Latte Macchiato Plantaardig deze maand]]+Tabel242567[[#This Row],[Verbruik  Cappucino Plantaardig deze maand]]+Tabel242567[[#This Row],[Verbruik Cappucino deze maand]]+Tabel242567[[#This Row],[Verbruik Hot Water deze maand]]+Tabel242567[[#This Row],[Verbruik Coffee Latte deze maand]]+Tabel242567[[#This Row],[Verbruik Latte Macchiato deze maand]]+Tabel242567[[#This Row],[Verbruik Espresso deze maand]]+Tabel242567[[#This Row],[Verbruik Coffee deze maand]]</f>
        <v>2331</v>
      </c>
      <c r="AD14" s="26"/>
      <c r="AE14" s="5"/>
      <c r="AF14" s="5"/>
      <c r="AG14" s="7"/>
      <c r="AH14" s="26"/>
      <c r="AI14" s="5"/>
      <c r="AJ14" s="5"/>
      <c r="AK14" s="7"/>
      <c r="AL14" s="26"/>
      <c r="AM14" s="5"/>
      <c r="AN14" s="5"/>
      <c r="AO14" s="5"/>
      <c r="AP14" s="26"/>
      <c r="AQ14" s="5"/>
      <c r="AR14" s="5"/>
      <c r="AS14" s="7"/>
      <c r="AT14" s="26"/>
      <c r="AU14" s="5"/>
      <c r="AV14" s="5"/>
      <c r="AW14" s="21"/>
      <c r="AX14" s="8"/>
      <c r="AY14" s="4">
        <f>Tabel242567[[#This Row],[Subtotaal waterbar in consumpties]]+Tabel242567[[#This Row],[Subtotaal koffieautomaten]]</f>
        <v>2331</v>
      </c>
    </row>
    <row r="15" spans="1:51" x14ac:dyDescent="0.25">
      <c r="A15" t="s">
        <v>54</v>
      </c>
      <c r="B15" t="s">
        <v>55</v>
      </c>
      <c r="C15" t="s">
        <v>36</v>
      </c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25">
        <v>63</v>
      </c>
      <c r="AE15">
        <v>58</v>
      </c>
      <c r="AF15">
        <f>Tabel242567[[#This Row],[Stand Kamertemp liter einde maand]]-Tabel242567[[#This Row],[Stand Kamertemp liter vorige maand]]</f>
        <v>5</v>
      </c>
      <c r="AG15" s="2">
        <f>Tabel242567[[#This Row],[Verbruik Kamertemp liter deze maand]]/0.15</f>
        <v>33.333333333333336</v>
      </c>
      <c r="AH15" s="25">
        <v>524.1</v>
      </c>
      <c r="AI15">
        <v>374.2</v>
      </c>
      <c r="AJ15">
        <f>Tabel242567[[#This Row],[Stand Gekoeld liter einde maand]]-Tabel242567[[#This Row],[Stand Gekoeld liter vorige maand]]</f>
        <v>149.90000000000003</v>
      </c>
      <c r="AK15" s="2">
        <f>Tabel242567[[#This Row],[Verbruik Gekoeld liter deze maand]]/0.15</f>
        <v>999.3333333333336</v>
      </c>
      <c r="AL15" s="25">
        <v>641.4</v>
      </c>
      <c r="AM15">
        <v>488.4</v>
      </c>
      <c r="AN15">
        <f>Tabel242567[[#This Row],[Stand Bruisend liter einde maand]]-Tabel242567[[#This Row],[Stand Bruisend liter vorige maand]]</f>
        <v>153</v>
      </c>
      <c r="AO15" s="2">
        <f>Tabel242567[[#This Row],[Verbruik Bruisend liter deze maand]]/0.15</f>
        <v>1020</v>
      </c>
      <c r="AP15" s="25">
        <v>210.5</v>
      </c>
      <c r="AQ15">
        <v>171.7</v>
      </c>
      <c r="AR15">
        <f>Tabel242567[[#This Row],[Stand licht bruisend liter einde maand]]-Tabel242567[[#This Row],[Stand licht bruisend liter vorige maand]]</f>
        <v>38.800000000000011</v>
      </c>
      <c r="AS15" s="2">
        <f>Tabel242567[[#This Row],[Verbruik licht bruisend liter deze maand]]/0.15</f>
        <v>258.66666666666674</v>
      </c>
      <c r="AT15" s="25">
        <v>1641.5</v>
      </c>
      <c r="AU15">
        <v>1461</v>
      </c>
      <c r="AV15">
        <f>Tabel242567[[#This Row],[Stand heet water liter einde maand]]-Tabel242567[[#This Row],[Stand heet water liter vorige maand]]</f>
        <v>180.5</v>
      </c>
      <c r="AW15" s="20">
        <f>Tabel242567[[#This Row],[Verbruik heet Water liter deze maand ]]/0.15</f>
        <v>1203.3333333333335</v>
      </c>
      <c r="AX15" s="4">
        <f>Tabel242567[[#This Row],[Aantal consumpties heet water deze maand]]+Tabel242567[[#This Row],[Aantal consumpties licht bruisend water deze maand]]+Tabel242567[[#This Row],[aantal consumpties Bruisend water deze maand]]+Tabel242567[[#This Row],[Aantal consumpties gekoeld water deze maand]]+Tabel242567[[#This Row],[Aantal consumpties Kamertemp deze maand]]</f>
        <v>3514.666666666667</v>
      </c>
      <c r="AY15" s="4">
        <f>Tabel242567[[#This Row],[Subtotaal waterbar in consumpties]]+Tabel242567[[#This Row],[Subtotaal koffieautomaten]]</f>
        <v>3514.666666666667</v>
      </c>
    </row>
    <row r="16" spans="1:51" x14ac:dyDescent="0.25">
      <c r="A16" t="s">
        <v>56</v>
      </c>
      <c r="B16" t="s">
        <v>57</v>
      </c>
      <c r="C16" t="s">
        <v>31</v>
      </c>
      <c r="E16" s="25">
        <v>5665</v>
      </c>
      <c r="F16" s="25">
        <v>4732</v>
      </c>
      <c r="G16" s="12">
        <f>Tabel242567[[#This Row],[Stand Coffee einde maand]]-Tabel242567[[#This Row],[Coffee vorige maand]]</f>
        <v>933</v>
      </c>
      <c r="H16" s="25">
        <v>1294</v>
      </c>
      <c r="I16">
        <v>1092</v>
      </c>
      <c r="J16" s="12">
        <f>Tabel242567[[#This Row],[Stand Espresso Einde maand]]-Tabel242567[[#This Row],[Espresso vorige maand]]</f>
        <v>202</v>
      </c>
      <c r="K16" s="25">
        <v>176</v>
      </c>
      <c r="L16">
        <v>153</v>
      </c>
      <c r="M16">
        <f>Tabel242567[[#This Row],[Stand Latte Macchiato einde maand]]-Tabel242567[[#This Row],[Latte Macchiato vorige maand]]</f>
        <v>23</v>
      </c>
      <c r="N16" s="25">
        <v>439</v>
      </c>
      <c r="O16">
        <v>344</v>
      </c>
      <c r="P16">
        <f>Tabel242567[[#This Row],[Stand Coffee Latte einde maand]]-Tabel242567[[#This Row],[Coffee Latte vorige maand]]</f>
        <v>95</v>
      </c>
      <c r="Q16" s="25">
        <v>8439</v>
      </c>
      <c r="R16">
        <v>7092</v>
      </c>
      <c r="S16">
        <f>Tabel242567[[#This Row],[Stand Hot Water einde maand]]-Tabel242567[[#This Row],[Hot Water vorige maand]]</f>
        <v>1347</v>
      </c>
      <c r="T16" s="25">
        <v>2972</v>
      </c>
      <c r="U16">
        <v>2434</v>
      </c>
      <c r="V16">
        <f>Tabel242567[[#This Row],[Stand Cappucino einde maand]]-Tabel242567[[#This Row],[Stand Cappucino vorige maand]]</f>
        <v>538</v>
      </c>
      <c r="W16" s="25">
        <v>986</v>
      </c>
      <c r="X16" s="25">
        <v>818</v>
      </c>
      <c r="Y16">
        <f>Tabel242567[[#This Row],[Stand Cappucino Plantaardig einde maand]]-Tabel242567[[#This Row],[Stand Cappucino Plantaardig vorige maand]]</f>
        <v>168</v>
      </c>
      <c r="Z16" s="25">
        <v>235</v>
      </c>
      <c r="AA16">
        <v>222</v>
      </c>
      <c r="AB16" s="12">
        <f>Tabel242567[[#This Row],[Stand Latte Macchiato Plantaardig einde maand]]-Tabel242567[[#This Row],[Stand Latte Macchiato Plantaardig vorige maand]]</f>
        <v>13</v>
      </c>
      <c r="AC16" s="3">
        <f>Tabel242567[[#This Row],[Verbruik Stand Latte Macchiato Plantaardig deze maand]]+Tabel242567[[#This Row],[Verbruik  Cappucino Plantaardig deze maand]]+Tabel242567[[#This Row],[Verbruik Cappucino deze maand]]+Tabel242567[[#This Row],[Verbruik Hot Water deze maand]]+Tabel242567[[#This Row],[Verbruik Coffee Latte deze maand]]+Tabel242567[[#This Row],[Verbruik Latte Macchiato deze maand]]+Tabel242567[[#This Row],[Verbruik Espresso deze maand]]+Tabel242567[[#This Row],[Verbruik Coffee deze maand]]</f>
        <v>3319</v>
      </c>
      <c r="AD16" s="26"/>
      <c r="AE16" s="5"/>
      <c r="AF16" s="5"/>
      <c r="AG16" s="7"/>
      <c r="AH16" s="26"/>
      <c r="AI16" s="5"/>
      <c r="AJ16" s="5"/>
      <c r="AK16" s="7"/>
      <c r="AL16" s="26"/>
      <c r="AM16" s="5"/>
      <c r="AN16" s="5"/>
      <c r="AO16" s="5"/>
      <c r="AP16" s="26"/>
      <c r="AQ16" s="5"/>
      <c r="AR16" s="5"/>
      <c r="AS16" s="7"/>
      <c r="AT16" s="26"/>
      <c r="AU16" s="5"/>
      <c r="AV16" s="5"/>
      <c r="AW16" s="21"/>
      <c r="AX16" s="8"/>
      <c r="AY16" s="4">
        <f>Tabel242567[[#This Row],[Subtotaal waterbar in consumpties]]+Tabel242567[[#This Row],[Subtotaal koffieautomaten]]</f>
        <v>3319</v>
      </c>
    </row>
    <row r="17" spans="1:51" x14ac:dyDescent="0.25">
      <c r="A17" t="s">
        <v>58</v>
      </c>
      <c r="B17" t="s">
        <v>59</v>
      </c>
      <c r="C17" t="s">
        <v>47</v>
      </c>
      <c r="E17" s="25">
        <v>4626</v>
      </c>
      <c r="F17" s="25">
        <v>3897</v>
      </c>
      <c r="G17" s="12">
        <f>Tabel242567[[#This Row],[Stand Coffee einde maand]]-Tabel242567[[#This Row],[Coffee vorige maand]]</f>
        <v>729</v>
      </c>
      <c r="H17" s="25">
        <v>808</v>
      </c>
      <c r="I17">
        <v>705</v>
      </c>
      <c r="J17" s="12">
        <f>Tabel242567[[#This Row],[Stand Espresso Einde maand]]-Tabel242567[[#This Row],[Espresso vorige maand]]</f>
        <v>103</v>
      </c>
      <c r="K17" s="25">
        <v>447</v>
      </c>
      <c r="L17">
        <v>373</v>
      </c>
      <c r="M17">
        <f>Tabel242567[[#This Row],[Stand Latte Macchiato einde maand]]-Tabel242567[[#This Row],[Latte Macchiato vorige maand]]</f>
        <v>74</v>
      </c>
      <c r="N17" s="25">
        <v>139</v>
      </c>
      <c r="O17">
        <v>128</v>
      </c>
      <c r="P17">
        <f>Tabel242567[[#This Row],[Stand Coffee Latte einde maand]]-Tabel242567[[#This Row],[Coffee Latte vorige maand]]</f>
        <v>11</v>
      </c>
      <c r="Q17" s="25">
        <v>1</v>
      </c>
      <c r="R17">
        <v>1</v>
      </c>
      <c r="S17">
        <f>Tabel242567[[#This Row],[Stand Hot Water einde maand]]-Tabel242567[[#This Row],[Hot Water vorige maand]]</f>
        <v>0</v>
      </c>
      <c r="T17" s="25">
        <v>1991</v>
      </c>
      <c r="U17">
        <v>1606</v>
      </c>
      <c r="V17">
        <f>Tabel242567[[#This Row],[Stand Cappucino einde maand]]-Tabel242567[[#This Row],[Stand Cappucino vorige maand]]</f>
        <v>385</v>
      </c>
      <c r="W17" s="25">
        <v>1231</v>
      </c>
      <c r="X17" s="25">
        <v>1029</v>
      </c>
      <c r="Y17">
        <f>Tabel242567[[#This Row],[Stand Cappucino Plantaardig einde maand]]-Tabel242567[[#This Row],[Stand Cappucino Plantaardig vorige maand]]</f>
        <v>202</v>
      </c>
      <c r="Z17" s="25">
        <v>148</v>
      </c>
      <c r="AA17">
        <v>125</v>
      </c>
      <c r="AB17" s="12">
        <f>Tabel242567[[#This Row],[Stand Latte Macchiato Plantaardig einde maand]]-Tabel242567[[#This Row],[Stand Latte Macchiato Plantaardig vorige maand]]</f>
        <v>23</v>
      </c>
      <c r="AC17" s="3">
        <f>Tabel242567[[#This Row],[Verbruik Stand Latte Macchiato Plantaardig deze maand]]+Tabel242567[[#This Row],[Verbruik  Cappucino Plantaardig deze maand]]+Tabel242567[[#This Row],[Verbruik Cappucino deze maand]]+Tabel242567[[#This Row],[Verbruik Hot Water deze maand]]+Tabel242567[[#This Row],[Verbruik Coffee Latte deze maand]]+Tabel242567[[#This Row],[Verbruik Latte Macchiato deze maand]]+Tabel242567[[#This Row],[Verbruik Espresso deze maand]]+Tabel242567[[#This Row],[Verbruik Coffee deze maand]]</f>
        <v>1527</v>
      </c>
      <c r="AD17" s="25">
        <v>195.4</v>
      </c>
      <c r="AE17">
        <v>146</v>
      </c>
      <c r="AF17">
        <f>Tabel242567[[#This Row],[Stand Kamertemp liter einde maand]]-Tabel242567[[#This Row],[Stand Kamertemp liter vorige maand]]</f>
        <v>49.400000000000006</v>
      </c>
      <c r="AG17" s="2">
        <f>Tabel242567[[#This Row],[Verbruik Kamertemp liter deze maand]]/0.15</f>
        <v>329.33333333333337</v>
      </c>
      <c r="AH17" s="25">
        <v>757.8</v>
      </c>
      <c r="AI17">
        <v>596</v>
      </c>
      <c r="AJ17">
        <f>Tabel242567[[#This Row],[Stand Gekoeld liter einde maand]]-Tabel242567[[#This Row],[Stand Gekoeld liter vorige maand]]</f>
        <v>161.79999999999995</v>
      </c>
      <c r="AK17" s="2">
        <f>Tabel242567[[#This Row],[Verbruik Gekoeld liter deze maand]]/0.15</f>
        <v>1078.6666666666665</v>
      </c>
      <c r="AL17" s="25">
        <v>904.7</v>
      </c>
      <c r="AM17">
        <v>694.3</v>
      </c>
      <c r="AN17">
        <f>Tabel242567[[#This Row],[Stand Bruisend liter einde maand]]-Tabel242567[[#This Row],[Stand Bruisend liter vorige maand]]</f>
        <v>210.40000000000009</v>
      </c>
      <c r="AO17" s="2">
        <f>Tabel242567[[#This Row],[Verbruik Bruisend liter deze maand]]/0.15</f>
        <v>1402.6666666666674</v>
      </c>
      <c r="AP17" s="25">
        <v>267.39999999999998</v>
      </c>
      <c r="AQ17">
        <v>215.4</v>
      </c>
      <c r="AR17">
        <f>Tabel242567[[#This Row],[Stand licht bruisend liter einde maand]]-Tabel242567[[#This Row],[Stand licht bruisend liter vorige maand]]</f>
        <v>51.999999999999972</v>
      </c>
      <c r="AS17" s="2">
        <f>Tabel242567[[#This Row],[Verbruik licht bruisend liter deze maand]]/0.15</f>
        <v>346.66666666666652</v>
      </c>
      <c r="AT17" s="25">
        <v>2112.6</v>
      </c>
      <c r="AU17">
        <v>1828.5</v>
      </c>
      <c r="AV17">
        <f>Tabel242567[[#This Row],[Stand heet water liter einde maand]]-Tabel242567[[#This Row],[Stand heet water liter vorige maand]]</f>
        <v>284.09999999999991</v>
      </c>
      <c r="AW17" s="20">
        <f>Tabel242567[[#This Row],[Verbruik heet Water liter deze maand ]]/0.15</f>
        <v>1893.9999999999995</v>
      </c>
      <c r="AX17" s="4">
        <f>Tabel242567[[#This Row],[Aantal consumpties heet water deze maand]]+Tabel242567[[#This Row],[Aantal consumpties licht bruisend water deze maand]]+Tabel242567[[#This Row],[aantal consumpties Bruisend water deze maand]]+Tabel242567[[#This Row],[Aantal consumpties gekoeld water deze maand]]+Tabel242567[[#This Row],[Aantal consumpties Kamertemp deze maand]]</f>
        <v>5051.333333333333</v>
      </c>
      <c r="AY17" s="4">
        <f>Tabel242567[[#This Row],[Subtotaal waterbar in consumpties]]+Tabel242567[[#This Row],[Subtotaal koffieautomaten]]</f>
        <v>6578.333333333333</v>
      </c>
    </row>
    <row r="18" spans="1:51" x14ac:dyDescent="0.25">
      <c r="A18" t="s">
        <v>60</v>
      </c>
      <c r="B18" t="s">
        <v>61</v>
      </c>
      <c r="C18" t="s">
        <v>31</v>
      </c>
      <c r="E18" s="25">
        <v>4816</v>
      </c>
      <c r="F18" s="25">
        <v>4047</v>
      </c>
      <c r="G18" s="12">
        <f>Tabel242567[[#This Row],[Stand Coffee einde maand]]-Tabel242567[[#This Row],[Coffee vorige maand]]</f>
        <v>769</v>
      </c>
      <c r="H18" s="25">
        <v>810</v>
      </c>
      <c r="I18">
        <v>681</v>
      </c>
      <c r="J18" s="12">
        <f>Tabel242567[[#This Row],[Stand Espresso Einde maand]]-Tabel242567[[#This Row],[Espresso vorige maand]]</f>
        <v>129</v>
      </c>
      <c r="K18" s="25">
        <v>355</v>
      </c>
      <c r="L18">
        <v>298</v>
      </c>
      <c r="M18">
        <f>Tabel242567[[#This Row],[Stand Latte Macchiato einde maand]]-Tabel242567[[#This Row],[Latte Macchiato vorige maand]]</f>
        <v>57</v>
      </c>
      <c r="N18" s="25">
        <v>118</v>
      </c>
      <c r="O18">
        <v>113</v>
      </c>
      <c r="P18">
        <f>Tabel242567[[#This Row],[Stand Coffee Latte einde maand]]-Tabel242567[[#This Row],[Coffee Latte vorige maand]]</f>
        <v>5</v>
      </c>
      <c r="Q18" s="25">
        <v>8053</v>
      </c>
      <c r="R18">
        <v>6612</v>
      </c>
      <c r="S18">
        <f>Tabel242567[[#This Row],[Stand Hot Water einde maand]]-Tabel242567[[#This Row],[Hot Water vorige maand]]</f>
        <v>1441</v>
      </c>
      <c r="T18" s="25">
        <v>2671</v>
      </c>
      <c r="U18">
        <v>2208</v>
      </c>
      <c r="V18">
        <f>Tabel242567[[#This Row],[Stand Cappucino einde maand]]-Tabel242567[[#This Row],[Stand Cappucino vorige maand]]</f>
        <v>463</v>
      </c>
      <c r="W18" s="25">
        <v>557</v>
      </c>
      <c r="X18" s="25">
        <v>459</v>
      </c>
      <c r="Y18">
        <f>Tabel242567[[#This Row],[Stand Cappucino Plantaardig einde maand]]-Tabel242567[[#This Row],[Stand Cappucino Plantaardig vorige maand]]</f>
        <v>98</v>
      </c>
      <c r="Z18" s="25">
        <v>160</v>
      </c>
      <c r="AA18">
        <v>139</v>
      </c>
      <c r="AB18" s="12">
        <f>Tabel242567[[#This Row],[Stand Latte Macchiato Plantaardig einde maand]]-Tabel242567[[#This Row],[Stand Latte Macchiato Plantaardig vorige maand]]</f>
        <v>21</v>
      </c>
      <c r="AC18" s="3">
        <f>Tabel242567[[#This Row],[Verbruik Stand Latte Macchiato Plantaardig deze maand]]+Tabel242567[[#This Row],[Verbruik  Cappucino Plantaardig deze maand]]+Tabel242567[[#This Row],[Verbruik Cappucino deze maand]]+Tabel242567[[#This Row],[Verbruik Hot Water deze maand]]+Tabel242567[[#This Row],[Verbruik Coffee Latte deze maand]]+Tabel242567[[#This Row],[Verbruik Latte Macchiato deze maand]]+Tabel242567[[#This Row],[Verbruik Espresso deze maand]]+Tabel242567[[#This Row],[Verbruik Coffee deze maand]]</f>
        <v>2983</v>
      </c>
      <c r="AD18" s="26"/>
      <c r="AE18" s="5"/>
      <c r="AF18" s="5"/>
      <c r="AG18" s="7"/>
      <c r="AH18" s="26"/>
      <c r="AI18" s="5"/>
      <c r="AJ18" s="5"/>
      <c r="AK18" s="7"/>
      <c r="AL18" s="26"/>
      <c r="AM18" s="5"/>
      <c r="AN18" s="5"/>
      <c r="AO18" s="5"/>
      <c r="AP18" s="26"/>
      <c r="AQ18" s="5"/>
      <c r="AR18" s="5"/>
      <c r="AS18" s="7"/>
      <c r="AT18" s="26"/>
      <c r="AU18" s="5"/>
      <c r="AV18" s="5"/>
      <c r="AW18" s="21"/>
      <c r="AX18" s="8"/>
      <c r="AY18" s="4">
        <f>Tabel242567[[#This Row],[Subtotaal waterbar in consumpties]]+Tabel242567[[#This Row],[Subtotaal koffieautomaten]]</f>
        <v>2983</v>
      </c>
    </row>
    <row r="19" spans="1:51" x14ac:dyDescent="0.25">
      <c r="A19" t="s">
        <v>62</v>
      </c>
      <c r="B19" t="s">
        <v>63</v>
      </c>
      <c r="C19" t="s">
        <v>36</v>
      </c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25">
        <v>56.4</v>
      </c>
      <c r="AE19">
        <v>46.9</v>
      </c>
      <c r="AF19">
        <f>Tabel242567[[#This Row],[Stand Kamertemp liter einde maand]]-Tabel242567[[#This Row],[Stand Kamertemp liter vorige maand]]</f>
        <v>9.5</v>
      </c>
      <c r="AG19" s="2">
        <f>Tabel242567[[#This Row],[Verbruik Kamertemp liter deze maand]]/0.15</f>
        <v>63.333333333333336</v>
      </c>
      <c r="AH19" s="25">
        <v>404.3</v>
      </c>
      <c r="AI19">
        <v>301.7</v>
      </c>
      <c r="AJ19">
        <f>Tabel242567[[#This Row],[Stand Gekoeld liter einde maand]]-Tabel242567[[#This Row],[Stand Gekoeld liter vorige maand]]</f>
        <v>102.60000000000002</v>
      </c>
      <c r="AK19" s="2">
        <f>Tabel242567[[#This Row],[Verbruik Gekoeld liter deze maand]]/0.15</f>
        <v>684.00000000000023</v>
      </c>
      <c r="AL19" s="25">
        <v>594.5</v>
      </c>
      <c r="AM19">
        <v>427.6</v>
      </c>
      <c r="AN19">
        <f>Tabel242567[[#This Row],[Stand Bruisend liter einde maand]]-Tabel242567[[#This Row],[Stand Bruisend liter vorige maand]]</f>
        <v>166.89999999999998</v>
      </c>
      <c r="AO19" s="2">
        <f>Tabel242567[[#This Row],[Verbruik Bruisend liter deze maand]]/0.15</f>
        <v>1112.6666666666665</v>
      </c>
      <c r="AP19" s="25">
        <v>132.69999999999999</v>
      </c>
      <c r="AQ19">
        <v>95.3</v>
      </c>
      <c r="AR19">
        <f>Tabel242567[[#This Row],[Stand licht bruisend liter einde maand]]-Tabel242567[[#This Row],[Stand licht bruisend liter vorige maand]]</f>
        <v>37.399999999999991</v>
      </c>
      <c r="AS19" s="2">
        <f>Tabel242567[[#This Row],[Verbruik licht bruisend liter deze maand]]/0.15</f>
        <v>249.33333333333329</v>
      </c>
      <c r="AT19" s="25">
        <v>527.6</v>
      </c>
      <c r="AU19">
        <v>409.4</v>
      </c>
      <c r="AV19">
        <f>Tabel242567[[#This Row],[Stand heet water liter einde maand]]-Tabel242567[[#This Row],[Stand heet water liter vorige maand]]</f>
        <v>118.20000000000005</v>
      </c>
      <c r="AW19" s="20">
        <f>Tabel242567[[#This Row],[Verbruik heet Water liter deze maand ]]/0.15</f>
        <v>788.00000000000034</v>
      </c>
      <c r="AX19" s="4">
        <f>Tabel242567[[#This Row],[Aantal consumpties heet water deze maand]]+Tabel242567[[#This Row],[Aantal consumpties licht bruisend water deze maand]]+Tabel242567[[#This Row],[aantal consumpties Bruisend water deze maand]]+Tabel242567[[#This Row],[Aantal consumpties gekoeld water deze maand]]+Tabel242567[[#This Row],[Aantal consumpties Kamertemp deze maand]]</f>
        <v>2897.3333333333335</v>
      </c>
      <c r="AY19" s="4">
        <f>Tabel242567[[#This Row],[Subtotaal waterbar in consumpties]]+Tabel242567[[#This Row],[Subtotaal koffieautomaten]]</f>
        <v>2897.3333333333335</v>
      </c>
    </row>
    <row r="20" spans="1:51" x14ac:dyDescent="0.25">
      <c r="A20" t="s">
        <v>64</v>
      </c>
      <c r="B20" t="s">
        <v>65</v>
      </c>
      <c r="C20" t="s">
        <v>31</v>
      </c>
      <c r="E20" s="25">
        <v>4320</v>
      </c>
      <c r="F20" s="25">
        <v>3547</v>
      </c>
      <c r="G20" s="12">
        <f>Tabel242567[[#This Row],[Stand Coffee einde maand]]-Tabel242567[[#This Row],[Coffee vorige maand]]</f>
        <v>773</v>
      </c>
      <c r="H20" s="25">
        <v>1312</v>
      </c>
      <c r="I20">
        <v>1125</v>
      </c>
      <c r="J20" s="12">
        <f>Tabel242567[[#This Row],[Stand Espresso Einde maand]]-Tabel242567[[#This Row],[Espresso vorige maand]]</f>
        <v>187</v>
      </c>
      <c r="K20" s="25">
        <v>526</v>
      </c>
      <c r="L20">
        <v>468</v>
      </c>
      <c r="M20">
        <f>Tabel242567[[#This Row],[Stand Latte Macchiato einde maand]]-Tabel242567[[#This Row],[Latte Macchiato vorige maand]]</f>
        <v>58</v>
      </c>
      <c r="N20" s="25">
        <v>237</v>
      </c>
      <c r="O20">
        <v>190</v>
      </c>
      <c r="P20">
        <f>Tabel242567[[#This Row],[Stand Coffee Latte einde maand]]-Tabel242567[[#This Row],[Coffee Latte vorige maand]]</f>
        <v>47</v>
      </c>
      <c r="Q20" s="25">
        <v>8970</v>
      </c>
      <c r="R20">
        <v>7772</v>
      </c>
      <c r="S20">
        <f>Tabel242567[[#This Row],[Stand Hot Water einde maand]]-Tabel242567[[#This Row],[Hot Water vorige maand]]</f>
        <v>1198</v>
      </c>
      <c r="T20" s="25">
        <v>2820</v>
      </c>
      <c r="U20">
        <v>2358</v>
      </c>
      <c r="V20">
        <f>Tabel242567[[#This Row],[Stand Cappucino einde maand]]-Tabel242567[[#This Row],[Stand Cappucino vorige maand]]</f>
        <v>462</v>
      </c>
      <c r="W20" s="25">
        <v>634</v>
      </c>
      <c r="X20" s="25">
        <v>553</v>
      </c>
      <c r="Y20">
        <f>Tabel242567[[#This Row],[Stand Cappucino Plantaardig einde maand]]-Tabel242567[[#This Row],[Stand Cappucino Plantaardig vorige maand]]</f>
        <v>81</v>
      </c>
      <c r="Z20" s="25">
        <v>113</v>
      </c>
      <c r="AA20">
        <v>113</v>
      </c>
      <c r="AB20" s="12">
        <f>Tabel242567[[#This Row],[Stand Latte Macchiato Plantaardig einde maand]]-Tabel242567[[#This Row],[Stand Latte Macchiato Plantaardig vorige maand]]</f>
        <v>0</v>
      </c>
      <c r="AC20" s="3">
        <f>Tabel242567[[#This Row],[Verbruik Stand Latte Macchiato Plantaardig deze maand]]+Tabel242567[[#This Row],[Verbruik  Cappucino Plantaardig deze maand]]+Tabel242567[[#This Row],[Verbruik Cappucino deze maand]]+Tabel242567[[#This Row],[Verbruik Hot Water deze maand]]+Tabel242567[[#This Row],[Verbruik Coffee Latte deze maand]]+Tabel242567[[#This Row],[Verbruik Latte Macchiato deze maand]]+Tabel242567[[#This Row],[Verbruik Espresso deze maand]]+Tabel242567[[#This Row],[Verbruik Coffee deze maand]]</f>
        <v>2806</v>
      </c>
      <c r="AD20" s="26"/>
      <c r="AE20" s="5"/>
      <c r="AF20" s="5"/>
      <c r="AG20" s="7"/>
      <c r="AH20" s="26"/>
      <c r="AI20" s="5"/>
      <c r="AJ20" s="5"/>
      <c r="AK20" s="7"/>
      <c r="AL20" s="26"/>
      <c r="AM20" s="5"/>
      <c r="AN20" s="5"/>
      <c r="AO20" s="5"/>
      <c r="AP20" s="26"/>
      <c r="AQ20" s="5"/>
      <c r="AR20" s="5"/>
      <c r="AS20" s="7"/>
      <c r="AT20" s="26"/>
      <c r="AU20" s="5"/>
      <c r="AV20" s="5"/>
      <c r="AW20" s="21"/>
      <c r="AX20" s="8"/>
      <c r="AY20" s="4">
        <f>Tabel242567[[#This Row],[Subtotaal waterbar in consumpties]]+Tabel242567[[#This Row],[Subtotaal koffieautomaten]]</f>
        <v>2806</v>
      </c>
    </row>
    <row r="21" spans="1:51" x14ac:dyDescent="0.25">
      <c r="A21" t="s">
        <v>66</v>
      </c>
      <c r="B21" t="s">
        <v>67</v>
      </c>
      <c r="C21" t="s">
        <v>31</v>
      </c>
      <c r="E21" s="25">
        <v>5986</v>
      </c>
      <c r="F21" s="25">
        <v>4913</v>
      </c>
      <c r="G21" s="12">
        <f>Tabel242567[[#This Row],[Stand Coffee einde maand]]-Tabel242567[[#This Row],[Coffee vorige maand]]</f>
        <v>1073</v>
      </c>
      <c r="H21" s="25">
        <v>817</v>
      </c>
      <c r="I21">
        <v>712</v>
      </c>
      <c r="J21" s="12">
        <f>Tabel242567[[#This Row],[Stand Espresso Einde maand]]-Tabel242567[[#This Row],[Espresso vorige maand]]</f>
        <v>105</v>
      </c>
      <c r="K21" s="25">
        <v>649</v>
      </c>
      <c r="L21">
        <v>563</v>
      </c>
      <c r="M21">
        <f>Tabel242567[[#This Row],[Stand Latte Macchiato einde maand]]-Tabel242567[[#This Row],[Latte Macchiato vorige maand]]</f>
        <v>86</v>
      </c>
      <c r="N21" s="25">
        <v>228</v>
      </c>
      <c r="O21">
        <v>165</v>
      </c>
      <c r="P21">
        <f>Tabel242567[[#This Row],[Stand Coffee Latte einde maand]]-Tabel242567[[#This Row],[Coffee Latte vorige maand]]</f>
        <v>63</v>
      </c>
      <c r="Q21" s="25">
        <v>9163</v>
      </c>
      <c r="R21">
        <v>7799</v>
      </c>
      <c r="S21">
        <f>Tabel242567[[#This Row],[Stand Hot Water einde maand]]-Tabel242567[[#This Row],[Hot Water vorige maand]]</f>
        <v>1364</v>
      </c>
      <c r="T21" s="25">
        <v>2732</v>
      </c>
      <c r="U21">
        <v>2232</v>
      </c>
      <c r="V21">
        <f>Tabel242567[[#This Row],[Stand Cappucino einde maand]]-Tabel242567[[#This Row],[Stand Cappucino vorige maand]]</f>
        <v>500</v>
      </c>
      <c r="W21" s="25">
        <v>1054</v>
      </c>
      <c r="X21" s="25">
        <v>881</v>
      </c>
      <c r="Y21">
        <f>Tabel242567[[#This Row],[Stand Cappucino Plantaardig einde maand]]-Tabel242567[[#This Row],[Stand Cappucino Plantaardig vorige maand]]</f>
        <v>173</v>
      </c>
      <c r="Z21" s="25">
        <v>339</v>
      </c>
      <c r="AA21">
        <v>299</v>
      </c>
      <c r="AB21" s="12">
        <f>Tabel242567[[#This Row],[Stand Latte Macchiato Plantaardig einde maand]]-Tabel242567[[#This Row],[Stand Latte Macchiato Plantaardig vorige maand]]</f>
        <v>40</v>
      </c>
      <c r="AC21" s="3">
        <f>Tabel242567[[#This Row],[Verbruik Stand Latte Macchiato Plantaardig deze maand]]+Tabel242567[[#This Row],[Verbruik  Cappucino Plantaardig deze maand]]+Tabel242567[[#This Row],[Verbruik Cappucino deze maand]]+Tabel242567[[#This Row],[Verbruik Hot Water deze maand]]+Tabel242567[[#This Row],[Verbruik Coffee Latte deze maand]]+Tabel242567[[#This Row],[Verbruik Latte Macchiato deze maand]]+Tabel242567[[#This Row],[Verbruik Espresso deze maand]]+Tabel242567[[#This Row],[Verbruik Coffee deze maand]]</f>
        <v>3404</v>
      </c>
      <c r="AD21" s="26"/>
      <c r="AE21" s="5"/>
      <c r="AF21" s="5"/>
      <c r="AG21" s="7"/>
      <c r="AH21" s="26"/>
      <c r="AI21" s="5"/>
      <c r="AJ21" s="5"/>
      <c r="AK21" s="7"/>
      <c r="AL21" s="26"/>
      <c r="AM21" s="5"/>
      <c r="AN21" s="5"/>
      <c r="AO21" s="5"/>
      <c r="AP21" s="26"/>
      <c r="AQ21" s="5"/>
      <c r="AR21" s="5"/>
      <c r="AS21" s="7"/>
      <c r="AT21" s="26"/>
      <c r="AU21" s="5"/>
      <c r="AV21" s="5"/>
      <c r="AW21" s="21"/>
      <c r="AX21" s="8"/>
      <c r="AY21" s="4">
        <f>Tabel242567[[#This Row],[Subtotaal waterbar in consumpties]]+Tabel242567[[#This Row],[Subtotaal koffieautomaten]]</f>
        <v>3404</v>
      </c>
    </row>
    <row r="22" spans="1:51" x14ac:dyDescent="0.25">
      <c r="A22" t="s">
        <v>68</v>
      </c>
      <c r="B22" t="s">
        <v>69</v>
      </c>
      <c r="C22" t="s">
        <v>47</v>
      </c>
      <c r="E22" s="25">
        <v>2797</v>
      </c>
      <c r="F22" s="25">
        <v>2350</v>
      </c>
      <c r="G22" s="12">
        <f>Tabel242567[[#This Row],[Stand Coffee einde maand]]-Tabel242567[[#This Row],[Coffee vorige maand]]</f>
        <v>447</v>
      </c>
      <c r="H22" s="25">
        <v>1035</v>
      </c>
      <c r="I22">
        <v>738</v>
      </c>
      <c r="J22" s="12">
        <f>Tabel242567[[#This Row],[Stand Espresso Einde maand]]-Tabel242567[[#This Row],[Espresso vorige maand]]</f>
        <v>297</v>
      </c>
      <c r="K22" s="25">
        <v>1067</v>
      </c>
      <c r="L22">
        <v>946</v>
      </c>
      <c r="M22">
        <f>Tabel242567[[#This Row],[Stand Latte Macchiato einde maand]]-Tabel242567[[#This Row],[Latte Macchiato vorige maand]]</f>
        <v>121</v>
      </c>
      <c r="N22" s="25">
        <v>226</v>
      </c>
      <c r="O22">
        <v>176</v>
      </c>
      <c r="P22">
        <f>Tabel242567[[#This Row],[Stand Coffee Latte einde maand]]-Tabel242567[[#This Row],[Coffee Latte vorige maand]]</f>
        <v>50</v>
      </c>
      <c r="Q22" s="25">
        <v>1</v>
      </c>
      <c r="R22">
        <v>1</v>
      </c>
      <c r="S22">
        <f>Tabel242567[[#This Row],[Stand Hot Water einde maand]]-Tabel242567[[#This Row],[Hot Water vorige maand]]</f>
        <v>0</v>
      </c>
      <c r="T22" s="25">
        <v>3547</v>
      </c>
      <c r="U22">
        <v>2925</v>
      </c>
      <c r="V22">
        <f>Tabel242567[[#This Row],[Stand Cappucino einde maand]]-Tabel242567[[#This Row],[Stand Cappucino vorige maand]]</f>
        <v>622</v>
      </c>
      <c r="W22" s="25">
        <v>613</v>
      </c>
      <c r="X22" s="25">
        <v>501</v>
      </c>
      <c r="Y22">
        <f>Tabel242567[[#This Row],[Stand Cappucino Plantaardig einde maand]]-Tabel242567[[#This Row],[Stand Cappucino Plantaardig vorige maand]]</f>
        <v>112</v>
      </c>
      <c r="Z22" s="25">
        <v>207</v>
      </c>
      <c r="AA22">
        <v>168</v>
      </c>
      <c r="AB22" s="12">
        <f>Tabel242567[[#This Row],[Stand Latte Macchiato Plantaardig einde maand]]-Tabel242567[[#This Row],[Stand Latte Macchiato Plantaardig vorige maand]]</f>
        <v>39</v>
      </c>
      <c r="AC22" s="3">
        <f>Tabel242567[[#This Row],[Verbruik Stand Latte Macchiato Plantaardig deze maand]]+Tabel242567[[#This Row],[Verbruik  Cappucino Plantaardig deze maand]]+Tabel242567[[#This Row],[Verbruik Cappucino deze maand]]+Tabel242567[[#This Row],[Verbruik Hot Water deze maand]]+Tabel242567[[#This Row],[Verbruik Coffee Latte deze maand]]+Tabel242567[[#This Row],[Verbruik Latte Macchiato deze maand]]+Tabel242567[[#This Row],[Verbruik Espresso deze maand]]+Tabel242567[[#This Row],[Verbruik Coffee deze maand]]</f>
        <v>1688</v>
      </c>
      <c r="AD22" s="25">
        <v>93.4</v>
      </c>
      <c r="AE22">
        <v>74</v>
      </c>
      <c r="AF22">
        <f>Tabel242567[[#This Row],[Stand Kamertemp liter einde maand]]-Tabel242567[[#This Row],[Stand Kamertemp liter vorige maand]]</f>
        <v>19.400000000000006</v>
      </c>
      <c r="AG22" s="2">
        <f>Tabel242567[[#This Row],[Verbruik Kamertemp liter deze maand]]/0.15</f>
        <v>129.33333333333337</v>
      </c>
      <c r="AH22" s="25">
        <v>1019.4</v>
      </c>
      <c r="AI22">
        <v>796.4</v>
      </c>
      <c r="AJ22">
        <f>Tabel242567[[#This Row],[Stand Gekoeld liter einde maand]]-Tabel242567[[#This Row],[Stand Gekoeld liter vorige maand]]</f>
        <v>223</v>
      </c>
      <c r="AK22" s="2">
        <f>Tabel242567[[#This Row],[Verbruik Gekoeld liter deze maand]]/0.15</f>
        <v>1486.6666666666667</v>
      </c>
      <c r="AL22" s="25">
        <v>960.6</v>
      </c>
      <c r="AM22">
        <v>757.7</v>
      </c>
      <c r="AN22">
        <f>Tabel242567[[#This Row],[Stand Bruisend liter einde maand]]-Tabel242567[[#This Row],[Stand Bruisend liter vorige maand]]</f>
        <v>202.89999999999998</v>
      </c>
      <c r="AO22" s="2">
        <f>Tabel242567[[#This Row],[Verbruik Bruisend liter deze maand]]/0.15</f>
        <v>1352.6666666666665</v>
      </c>
      <c r="AP22" s="25">
        <v>450.9</v>
      </c>
      <c r="AQ22">
        <v>359.2</v>
      </c>
      <c r="AR22">
        <f>Tabel242567[[#This Row],[Stand licht bruisend liter einde maand]]-Tabel242567[[#This Row],[Stand licht bruisend liter vorige maand]]</f>
        <v>91.699999999999989</v>
      </c>
      <c r="AS22" s="2">
        <f>Tabel242567[[#This Row],[Verbruik licht bruisend liter deze maand]]/0.15</f>
        <v>611.33333333333326</v>
      </c>
      <c r="AT22" s="25">
        <v>2857</v>
      </c>
      <c r="AU22">
        <v>2489.6999999999998</v>
      </c>
      <c r="AV22">
        <f>Tabel242567[[#This Row],[Stand heet water liter einde maand]]-Tabel242567[[#This Row],[Stand heet water liter vorige maand]]</f>
        <v>367.30000000000018</v>
      </c>
      <c r="AW22" s="20">
        <f>Tabel242567[[#This Row],[Verbruik heet Water liter deze maand ]]/0.15</f>
        <v>2448.6666666666679</v>
      </c>
      <c r="AX22" s="4">
        <f>Tabel242567[[#This Row],[Aantal consumpties heet water deze maand]]+Tabel242567[[#This Row],[Aantal consumpties licht bruisend water deze maand]]+Tabel242567[[#This Row],[aantal consumpties Bruisend water deze maand]]+Tabel242567[[#This Row],[Aantal consumpties gekoeld water deze maand]]+Tabel242567[[#This Row],[Aantal consumpties Kamertemp deze maand]]</f>
        <v>6028.6666666666679</v>
      </c>
      <c r="AY22" s="4">
        <f>Tabel242567[[#This Row],[Subtotaal waterbar in consumpties]]+Tabel242567[[#This Row],[Subtotaal koffieautomaten]]</f>
        <v>7716.6666666666679</v>
      </c>
    </row>
    <row r="23" spans="1:51" x14ac:dyDescent="0.25">
      <c r="A23" t="s">
        <v>70</v>
      </c>
      <c r="B23" t="s">
        <v>71</v>
      </c>
      <c r="C23" t="s">
        <v>31</v>
      </c>
      <c r="E23" s="25">
        <v>4059</v>
      </c>
      <c r="F23" s="25">
        <v>3209</v>
      </c>
      <c r="G23" s="12">
        <f>Tabel242567[[#This Row],[Stand Coffee einde maand]]-Tabel242567[[#This Row],[Coffee vorige maand]]</f>
        <v>850</v>
      </c>
      <c r="H23" s="25">
        <v>487</v>
      </c>
      <c r="I23">
        <v>370</v>
      </c>
      <c r="J23" s="12">
        <f>Tabel242567[[#This Row],[Stand Espresso Einde maand]]-Tabel242567[[#This Row],[Espresso vorige maand]]</f>
        <v>117</v>
      </c>
      <c r="K23" s="25">
        <v>339</v>
      </c>
      <c r="L23">
        <v>274</v>
      </c>
      <c r="M23">
        <f>Tabel242567[[#This Row],[Stand Latte Macchiato einde maand]]-Tabel242567[[#This Row],[Latte Macchiato vorige maand]]</f>
        <v>65</v>
      </c>
      <c r="N23" s="25">
        <v>342</v>
      </c>
      <c r="O23">
        <v>240</v>
      </c>
      <c r="P23">
        <f>Tabel242567[[#This Row],[Stand Coffee Latte einde maand]]-Tabel242567[[#This Row],[Coffee Latte vorige maand]]</f>
        <v>102</v>
      </c>
      <c r="Q23" s="25">
        <v>7042</v>
      </c>
      <c r="R23">
        <v>5618</v>
      </c>
      <c r="S23">
        <f>Tabel242567[[#This Row],[Stand Hot Water einde maand]]-Tabel242567[[#This Row],[Hot Water vorige maand]]</f>
        <v>1424</v>
      </c>
      <c r="T23" s="25">
        <v>1668</v>
      </c>
      <c r="U23">
        <v>1358</v>
      </c>
      <c r="V23">
        <f>Tabel242567[[#This Row],[Stand Cappucino einde maand]]-Tabel242567[[#This Row],[Stand Cappucino vorige maand]]</f>
        <v>310</v>
      </c>
      <c r="W23" s="25">
        <v>465</v>
      </c>
      <c r="X23" s="25">
        <v>259</v>
      </c>
      <c r="Y23">
        <f>Tabel242567[[#This Row],[Stand Cappucino Plantaardig einde maand]]-Tabel242567[[#This Row],[Stand Cappucino Plantaardig vorige maand]]</f>
        <v>206</v>
      </c>
      <c r="Z23" s="25">
        <v>426</v>
      </c>
      <c r="AA23">
        <v>230</v>
      </c>
      <c r="AB23" s="12">
        <f>Tabel242567[[#This Row],[Stand Latte Macchiato Plantaardig einde maand]]-Tabel242567[[#This Row],[Stand Latte Macchiato Plantaardig vorige maand]]</f>
        <v>196</v>
      </c>
      <c r="AC23" s="3">
        <f>Tabel242567[[#This Row],[Verbruik Stand Latte Macchiato Plantaardig deze maand]]+Tabel242567[[#This Row],[Verbruik  Cappucino Plantaardig deze maand]]+Tabel242567[[#This Row],[Verbruik Cappucino deze maand]]+Tabel242567[[#This Row],[Verbruik Hot Water deze maand]]+Tabel242567[[#This Row],[Verbruik Coffee Latte deze maand]]+Tabel242567[[#This Row],[Verbruik Latte Macchiato deze maand]]+Tabel242567[[#This Row],[Verbruik Espresso deze maand]]+Tabel242567[[#This Row],[Verbruik Coffee deze maand]]</f>
        <v>3270</v>
      </c>
      <c r="AD23" s="26"/>
      <c r="AE23" s="5"/>
      <c r="AF23" s="5"/>
      <c r="AG23" s="7"/>
      <c r="AH23" s="26"/>
      <c r="AI23" s="5"/>
      <c r="AJ23" s="5"/>
      <c r="AK23" s="7"/>
      <c r="AL23" s="26"/>
      <c r="AM23" s="5"/>
      <c r="AN23" s="5"/>
      <c r="AO23" s="5"/>
      <c r="AP23" s="26"/>
      <c r="AQ23" s="5"/>
      <c r="AR23" s="5"/>
      <c r="AS23" s="7"/>
      <c r="AT23" s="26"/>
      <c r="AU23" s="5"/>
      <c r="AV23" s="5"/>
      <c r="AW23" s="21"/>
      <c r="AX23" s="8"/>
      <c r="AY23" s="4">
        <f>Tabel242567[[#This Row],[Subtotaal waterbar in consumpties]]+Tabel242567[[#This Row],[Subtotaal koffieautomaten]]</f>
        <v>3270</v>
      </c>
    </row>
    <row r="24" spans="1:51" x14ac:dyDescent="0.25">
      <c r="A24" t="s">
        <v>72</v>
      </c>
      <c r="B24" t="s">
        <v>73</v>
      </c>
      <c r="C24" t="s">
        <v>47</v>
      </c>
      <c r="E24" s="25">
        <v>3145</v>
      </c>
      <c r="F24" s="25">
        <v>2643</v>
      </c>
      <c r="G24" s="12">
        <f>Tabel242567[[#This Row],[Stand Coffee einde maand]]-Tabel242567[[#This Row],[Coffee vorige maand]]</f>
        <v>502</v>
      </c>
      <c r="H24" s="25">
        <v>1014</v>
      </c>
      <c r="I24">
        <v>860</v>
      </c>
      <c r="J24" s="12">
        <f>Tabel242567[[#This Row],[Stand Espresso Einde maand]]-Tabel242567[[#This Row],[Espresso vorige maand]]</f>
        <v>154</v>
      </c>
      <c r="K24" s="25">
        <v>523</v>
      </c>
      <c r="L24">
        <v>455</v>
      </c>
      <c r="M24">
        <f>Tabel242567[[#This Row],[Stand Latte Macchiato einde maand]]-Tabel242567[[#This Row],[Latte Macchiato vorige maand]]</f>
        <v>68</v>
      </c>
      <c r="N24" s="25">
        <v>218</v>
      </c>
      <c r="O24">
        <v>191</v>
      </c>
      <c r="P24">
        <f>Tabel242567[[#This Row],[Stand Coffee Latte einde maand]]-Tabel242567[[#This Row],[Coffee Latte vorige maand]]</f>
        <v>27</v>
      </c>
      <c r="Q24" s="25">
        <v>1</v>
      </c>
      <c r="R24">
        <v>1</v>
      </c>
      <c r="S24">
        <f>Tabel242567[[#This Row],[Stand Hot Water einde maand]]-Tabel242567[[#This Row],[Hot Water vorige maand]]</f>
        <v>0</v>
      </c>
      <c r="T24" s="25">
        <v>2301</v>
      </c>
      <c r="U24">
        <v>1935</v>
      </c>
      <c r="V24">
        <f>Tabel242567[[#This Row],[Stand Cappucino einde maand]]-Tabel242567[[#This Row],[Stand Cappucino vorige maand]]</f>
        <v>366</v>
      </c>
      <c r="W24" s="25">
        <v>444</v>
      </c>
      <c r="X24" s="25">
        <v>374</v>
      </c>
      <c r="Y24">
        <f>Tabel242567[[#This Row],[Stand Cappucino Plantaardig einde maand]]-Tabel242567[[#This Row],[Stand Cappucino Plantaardig vorige maand]]</f>
        <v>70</v>
      </c>
      <c r="Z24" s="25">
        <v>121</v>
      </c>
      <c r="AA24">
        <v>107</v>
      </c>
      <c r="AB24" s="12">
        <f>Tabel242567[[#This Row],[Stand Latte Macchiato Plantaardig einde maand]]-Tabel242567[[#This Row],[Stand Latte Macchiato Plantaardig vorige maand]]</f>
        <v>14</v>
      </c>
      <c r="AC24" s="3">
        <f>Tabel242567[[#This Row],[Verbruik Stand Latte Macchiato Plantaardig deze maand]]+Tabel242567[[#This Row],[Verbruik  Cappucino Plantaardig deze maand]]+Tabel242567[[#This Row],[Verbruik Cappucino deze maand]]+Tabel242567[[#This Row],[Verbruik Hot Water deze maand]]+Tabel242567[[#This Row],[Verbruik Coffee Latte deze maand]]+Tabel242567[[#This Row],[Verbruik Latte Macchiato deze maand]]+Tabel242567[[#This Row],[Verbruik Espresso deze maand]]+Tabel242567[[#This Row],[Verbruik Coffee deze maand]]</f>
        <v>1201</v>
      </c>
      <c r="AD24" s="25">
        <v>87.3</v>
      </c>
      <c r="AE24">
        <v>76.599999999999994</v>
      </c>
      <c r="AF24">
        <f>Tabel242567[[#This Row],[Stand Kamertemp liter einde maand]]-Tabel242567[[#This Row],[Stand Kamertemp liter vorige maand]]</f>
        <v>10.700000000000003</v>
      </c>
      <c r="AG24" s="2">
        <f>Tabel242567[[#This Row],[Verbruik Kamertemp liter deze maand]]/0.15</f>
        <v>71.333333333333357</v>
      </c>
      <c r="AH24" s="25">
        <v>566.4</v>
      </c>
      <c r="AI24">
        <v>429.4</v>
      </c>
      <c r="AJ24">
        <f>Tabel242567[[#This Row],[Stand Gekoeld liter einde maand]]-Tabel242567[[#This Row],[Stand Gekoeld liter vorige maand]]</f>
        <v>137</v>
      </c>
      <c r="AK24" s="2">
        <f>Tabel242567[[#This Row],[Verbruik Gekoeld liter deze maand]]/0.15</f>
        <v>913.33333333333337</v>
      </c>
      <c r="AL24" s="25">
        <v>532.6</v>
      </c>
      <c r="AM24">
        <v>413.4</v>
      </c>
      <c r="AN24">
        <f>Tabel242567[[#This Row],[Stand Bruisend liter einde maand]]-Tabel242567[[#This Row],[Stand Bruisend liter vorige maand]]</f>
        <v>119.20000000000005</v>
      </c>
      <c r="AO24" s="2">
        <f>Tabel242567[[#This Row],[Verbruik Bruisend liter deze maand]]/0.15</f>
        <v>794.66666666666697</v>
      </c>
      <c r="AP24" s="25">
        <v>208.4</v>
      </c>
      <c r="AQ24">
        <v>180</v>
      </c>
      <c r="AR24">
        <f>Tabel242567[[#This Row],[Stand licht bruisend liter einde maand]]-Tabel242567[[#This Row],[Stand licht bruisend liter vorige maand]]</f>
        <v>28.400000000000006</v>
      </c>
      <c r="AS24" s="2">
        <f>Tabel242567[[#This Row],[Verbruik licht bruisend liter deze maand]]/0.15</f>
        <v>189.33333333333337</v>
      </c>
      <c r="AT24" s="25">
        <v>770.8</v>
      </c>
      <c r="AU24">
        <v>690.4</v>
      </c>
      <c r="AV24">
        <f>Tabel242567[[#This Row],[Stand heet water liter einde maand]]-Tabel242567[[#This Row],[Stand heet water liter vorige maand]]</f>
        <v>80.399999999999977</v>
      </c>
      <c r="AW24" s="20">
        <f>Tabel242567[[#This Row],[Verbruik heet Water liter deze maand ]]/0.15</f>
        <v>535.99999999999989</v>
      </c>
      <c r="AX24" s="4">
        <f>Tabel242567[[#This Row],[Aantal consumpties heet water deze maand]]+Tabel242567[[#This Row],[Aantal consumpties licht bruisend water deze maand]]+Tabel242567[[#This Row],[aantal consumpties Bruisend water deze maand]]+Tabel242567[[#This Row],[Aantal consumpties gekoeld water deze maand]]+Tabel242567[[#This Row],[Aantal consumpties Kamertemp deze maand]]</f>
        <v>2504.666666666667</v>
      </c>
      <c r="AY24" s="4">
        <f>Tabel242567[[#This Row],[Subtotaal waterbar in consumpties]]+Tabel242567[[#This Row],[Subtotaal koffieautomaten]]</f>
        <v>3705.666666666667</v>
      </c>
    </row>
    <row r="25" spans="1:51" x14ac:dyDescent="0.25">
      <c r="A25" s="3" t="s">
        <v>74</v>
      </c>
      <c r="E25" s="25"/>
      <c r="F25" s="25"/>
      <c r="H25" s="25"/>
      <c r="J25" s="12"/>
      <c r="K25" s="25"/>
      <c r="N25" s="25"/>
      <c r="Q25" s="25"/>
      <c r="T25" s="25"/>
      <c r="W25" s="25"/>
      <c r="X25" s="25"/>
      <c r="Z25" s="25"/>
      <c r="AC25" s="3">
        <f>Tabel242567[[#This Row],[Verbruik Stand Latte Macchiato Plantaardig deze maand]]+Tabel242567[[#This Row],[Verbruik  Cappucino Plantaardig deze maand]]+Tabel242567[[#This Row],[Verbruik Cappucino deze maand]]+Tabel242567[[#This Row],[Verbruik Hot Water deze maand]]+Tabel242567[[#This Row],[Verbruik Coffee Latte deze maand]]+Tabel242567[[#This Row],[Verbruik Latte Macchiato deze maand]]+Tabel242567[[#This Row],[Verbruik Espresso deze maand]]+Tabel242567[[#This Row],[Verbruik Coffee deze maand]]</f>
        <v>0</v>
      </c>
      <c r="AD25" s="25"/>
      <c r="AG25" s="2"/>
      <c r="AH25" s="25"/>
      <c r="AK25" s="2"/>
      <c r="AL25" s="25"/>
      <c r="AO25" s="2"/>
      <c r="AP25" s="25"/>
      <c r="AS25" s="2"/>
      <c r="AT25" s="25"/>
      <c r="AW25" s="20"/>
      <c r="AX25" s="3"/>
      <c r="AY25" s="4">
        <f>Tabel242567[[#This Row],[Subtotaal waterbar in consumpties]]+Tabel242567[[#This Row],[Subtotaal koffieautomaten]]</f>
        <v>0</v>
      </c>
    </row>
    <row r="26" spans="1:51" x14ac:dyDescent="0.25">
      <c r="A26" t="s">
        <v>32</v>
      </c>
      <c r="B26" t="s">
        <v>75</v>
      </c>
      <c r="C26" t="s">
        <v>47</v>
      </c>
      <c r="E26" s="25">
        <v>1840</v>
      </c>
      <c r="F26" s="25">
        <v>1471</v>
      </c>
      <c r="G26" s="12">
        <f>Tabel242567[[#This Row],[Stand Coffee einde maand]]-Tabel242567[[#This Row],[Coffee vorige maand]]</f>
        <v>369</v>
      </c>
      <c r="H26" s="25">
        <v>283</v>
      </c>
      <c r="I26">
        <v>189</v>
      </c>
      <c r="J26" s="12">
        <f>Tabel242567[[#This Row],[Stand Espresso Einde maand]]-Tabel242567[[#This Row],[Espresso vorige maand]]</f>
        <v>94</v>
      </c>
      <c r="K26" s="25">
        <v>648</v>
      </c>
      <c r="L26">
        <v>552</v>
      </c>
      <c r="M26">
        <f>Tabel242567[[#This Row],[Stand Latte Macchiato einde maand]]-Tabel242567[[#This Row],[Latte Macchiato vorige maand]]</f>
        <v>96</v>
      </c>
      <c r="N26" s="25">
        <v>221</v>
      </c>
      <c r="O26">
        <v>199</v>
      </c>
      <c r="P26">
        <f>Tabel242567[[#This Row],[Stand Coffee Latte einde maand]]-Tabel242567[[#This Row],[Coffee Latte vorige maand]]</f>
        <v>22</v>
      </c>
      <c r="Q26" s="25">
        <v>1</v>
      </c>
      <c r="R26">
        <v>1</v>
      </c>
      <c r="S26">
        <f>Tabel242567[[#This Row],[Stand Hot Water einde maand]]-Tabel242567[[#This Row],[Hot Water vorige maand]]</f>
        <v>0</v>
      </c>
      <c r="T26" s="25">
        <v>1263</v>
      </c>
      <c r="U26">
        <v>1025</v>
      </c>
      <c r="V26">
        <f>Tabel242567[[#This Row],[Stand Cappucino einde maand]]-Tabel242567[[#This Row],[Stand Cappucino vorige maand]]</f>
        <v>238</v>
      </c>
      <c r="W26" s="25">
        <v>164</v>
      </c>
      <c r="X26" s="25">
        <v>128</v>
      </c>
      <c r="Y26">
        <f>Tabel242567[[#This Row],[Stand Cappucino Plantaardig einde maand]]-Tabel242567[[#This Row],[Stand Cappucino Plantaardig vorige maand]]</f>
        <v>36</v>
      </c>
      <c r="Z26" s="25">
        <v>176</v>
      </c>
      <c r="AA26">
        <v>162</v>
      </c>
      <c r="AB26" s="12">
        <f>Tabel242567[[#This Row],[Stand Latte Macchiato Plantaardig einde maand]]-Tabel242567[[#This Row],[Stand Latte Macchiato Plantaardig vorige maand]]</f>
        <v>14</v>
      </c>
      <c r="AC26" s="3">
        <f>Tabel242567[[#This Row],[Verbruik Stand Latte Macchiato Plantaardig deze maand]]+Tabel242567[[#This Row],[Verbruik  Cappucino Plantaardig deze maand]]+Tabel242567[[#This Row],[Verbruik Cappucino deze maand]]+Tabel242567[[#This Row],[Verbruik Hot Water deze maand]]+Tabel242567[[#This Row],[Verbruik Coffee Latte deze maand]]+Tabel242567[[#This Row],[Verbruik Latte Macchiato deze maand]]+Tabel242567[[#This Row],[Verbruik Espresso deze maand]]+Tabel242567[[#This Row],[Verbruik Coffee deze maand]]</f>
        <v>869</v>
      </c>
      <c r="AD26" s="25">
        <v>66.400000000000006</v>
      </c>
      <c r="AE26">
        <v>55.4</v>
      </c>
      <c r="AF26">
        <f>Tabel242567[[#This Row],[Stand Kamertemp liter einde maand]]-Tabel242567[[#This Row],[Stand Kamertemp liter vorige maand]]</f>
        <v>11.000000000000007</v>
      </c>
      <c r="AG26" s="2">
        <f>Tabel242567[[#This Row],[Verbruik Kamertemp liter deze maand]]/0.15</f>
        <v>73.333333333333385</v>
      </c>
      <c r="AH26" s="25">
        <v>306.10000000000002</v>
      </c>
      <c r="AI26">
        <v>216.1</v>
      </c>
      <c r="AJ26">
        <f>Tabel242567[[#This Row],[Stand Gekoeld liter einde maand]]-Tabel242567[[#This Row],[Stand Gekoeld liter vorige maand]]</f>
        <v>90.000000000000028</v>
      </c>
      <c r="AK26" s="2">
        <f>Tabel242567[[#This Row],[Verbruik Gekoeld liter deze maand]]/0.15</f>
        <v>600.00000000000023</v>
      </c>
      <c r="AL26" s="25">
        <v>248.8</v>
      </c>
      <c r="AM26">
        <v>186.8</v>
      </c>
      <c r="AN26">
        <f>Tabel242567[[#This Row],[Stand Bruisend liter einde maand]]-Tabel242567[[#This Row],[Stand Bruisend liter vorige maand]]</f>
        <v>62</v>
      </c>
      <c r="AO26" s="2">
        <f>Tabel242567[[#This Row],[Verbruik Bruisend liter deze maand]]/0.15</f>
        <v>413.33333333333337</v>
      </c>
      <c r="AP26" s="25">
        <v>145.19999999999999</v>
      </c>
      <c r="AQ26">
        <v>116.1</v>
      </c>
      <c r="AR26">
        <f>Tabel242567[[#This Row],[Stand licht bruisend liter einde maand]]-Tabel242567[[#This Row],[Stand licht bruisend liter vorige maand]]</f>
        <v>29.099999999999994</v>
      </c>
      <c r="AS26" s="2">
        <f>Tabel242567[[#This Row],[Verbruik licht bruisend liter deze maand]]/0.15</f>
        <v>193.99999999999997</v>
      </c>
      <c r="AT26" s="25">
        <v>1130.5999999999999</v>
      </c>
      <c r="AU26">
        <v>988.1</v>
      </c>
      <c r="AV26">
        <f>Tabel242567[[#This Row],[Stand heet water liter einde maand]]-Tabel242567[[#This Row],[Stand heet water liter vorige maand]]</f>
        <v>142.49999999999989</v>
      </c>
      <c r="AW26" s="20">
        <f>Tabel242567[[#This Row],[Verbruik heet Water liter deze maand ]]/0.15</f>
        <v>949.99999999999932</v>
      </c>
      <c r="AX26" s="4">
        <f>Tabel242567[[#This Row],[Aantal consumpties heet water deze maand]]+Tabel242567[[#This Row],[Aantal consumpties licht bruisend water deze maand]]+Tabel242567[[#This Row],[aantal consumpties Bruisend water deze maand]]+Tabel242567[[#This Row],[Aantal consumpties gekoeld water deze maand]]+Tabel242567[[#This Row],[Aantal consumpties Kamertemp deze maand]]</f>
        <v>2230.6666666666665</v>
      </c>
      <c r="AY26" s="4">
        <f>Tabel242567[[#This Row],[Subtotaal waterbar in consumpties]]+Tabel242567[[#This Row],[Subtotaal koffieautomaten]]</f>
        <v>3099.6666666666665</v>
      </c>
    </row>
    <row r="27" spans="1:51" x14ac:dyDescent="0.25">
      <c r="A27" t="s">
        <v>39</v>
      </c>
      <c r="B27" t="s">
        <v>76</v>
      </c>
      <c r="C27" t="s">
        <v>31</v>
      </c>
      <c r="E27" s="25">
        <v>8549</v>
      </c>
      <c r="F27" s="25">
        <v>6870</v>
      </c>
      <c r="G27" s="12">
        <f>Tabel242567[[#This Row],[Stand Coffee einde maand]]-Tabel242567[[#This Row],[Coffee vorige maand]]</f>
        <v>1679</v>
      </c>
      <c r="H27" s="25">
        <v>1898</v>
      </c>
      <c r="I27">
        <v>1596</v>
      </c>
      <c r="J27" s="12">
        <f>Tabel242567[[#This Row],[Stand Espresso Einde maand]]-Tabel242567[[#This Row],[Espresso vorige maand]]</f>
        <v>302</v>
      </c>
      <c r="K27" s="25">
        <v>978</v>
      </c>
      <c r="L27">
        <v>812</v>
      </c>
      <c r="M27">
        <f>Tabel242567[[#This Row],[Stand Latte Macchiato einde maand]]-Tabel242567[[#This Row],[Latte Macchiato vorige maand]]</f>
        <v>166</v>
      </c>
      <c r="N27" s="25">
        <v>447</v>
      </c>
      <c r="O27">
        <v>377</v>
      </c>
      <c r="P27">
        <f>Tabel242567[[#This Row],[Stand Coffee Latte einde maand]]-Tabel242567[[#This Row],[Coffee Latte vorige maand]]</f>
        <v>70</v>
      </c>
      <c r="Q27" s="25">
        <v>6433</v>
      </c>
      <c r="R27">
        <v>5519</v>
      </c>
      <c r="S27">
        <f>Tabel242567[[#This Row],[Stand Hot Water einde maand]]-Tabel242567[[#This Row],[Hot Water vorige maand]]</f>
        <v>914</v>
      </c>
      <c r="T27" s="25">
        <v>5930</v>
      </c>
      <c r="U27">
        <v>4686</v>
      </c>
      <c r="V27">
        <f>Tabel242567[[#This Row],[Stand Cappucino einde maand]]-Tabel242567[[#This Row],[Stand Cappucino vorige maand]]</f>
        <v>1244</v>
      </c>
      <c r="W27" s="25">
        <v>888</v>
      </c>
      <c r="X27" s="25">
        <v>713</v>
      </c>
      <c r="Y27">
        <f>Tabel242567[[#This Row],[Stand Cappucino Plantaardig einde maand]]-Tabel242567[[#This Row],[Stand Cappucino Plantaardig vorige maand]]</f>
        <v>175</v>
      </c>
      <c r="Z27" s="25">
        <v>264</v>
      </c>
      <c r="AA27">
        <v>223</v>
      </c>
      <c r="AB27" s="12">
        <f>Tabel242567[[#This Row],[Stand Latte Macchiato Plantaardig einde maand]]-Tabel242567[[#This Row],[Stand Latte Macchiato Plantaardig vorige maand]]</f>
        <v>41</v>
      </c>
      <c r="AC27" s="3">
        <f>Tabel242567[[#This Row],[Verbruik Stand Latte Macchiato Plantaardig deze maand]]+Tabel242567[[#This Row],[Verbruik  Cappucino Plantaardig deze maand]]+Tabel242567[[#This Row],[Verbruik Cappucino deze maand]]+Tabel242567[[#This Row],[Verbruik Hot Water deze maand]]+Tabel242567[[#This Row],[Verbruik Coffee Latte deze maand]]+Tabel242567[[#This Row],[Verbruik Latte Macchiato deze maand]]+Tabel242567[[#This Row],[Verbruik Espresso deze maand]]+Tabel242567[[#This Row],[Verbruik Coffee deze maand]]</f>
        <v>4591</v>
      </c>
      <c r="AD27" s="26"/>
      <c r="AE27" s="5"/>
      <c r="AF27" s="5"/>
      <c r="AG27" s="7"/>
      <c r="AH27" s="26"/>
      <c r="AI27" s="5"/>
      <c r="AJ27" s="5"/>
      <c r="AK27" s="7"/>
      <c r="AL27" s="26"/>
      <c r="AM27" s="5"/>
      <c r="AN27" s="5"/>
      <c r="AO27" s="7"/>
      <c r="AP27" s="26"/>
      <c r="AQ27" s="5"/>
      <c r="AR27" s="5"/>
      <c r="AS27" s="7"/>
      <c r="AT27" s="26"/>
      <c r="AU27" s="5"/>
      <c r="AV27" s="5"/>
      <c r="AW27" s="21"/>
      <c r="AX27" s="8"/>
      <c r="AY27" s="4">
        <f>Tabel242567[[#This Row],[Subtotaal waterbar in consumpties]]+Tabel242567[[#This Row],[Subtotaal koffieautomaten]]</f>
        <v>4591</v>
      </c>
    </row>
    <row r="28" spans="1:51" x14ac:dyDescent="0.25">
      <c r="A28" t="s">
        <v>39</v>
      </c>
      <c r="B28" t="s">
        <v>77</v>
      </c>
      <c r="C28" t="s">
        <v>36</v>
      </c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25">
        <v>50.9</v>
      </c>
      <c r="AE28">
        <v>27.6</v>
      </c>
      <c r="AF28">
        <f>Tabel242567[[#This Row],[Stand Kamertemp liter einde maand]]-Tabel242567[[#This Row],[Stand Kamertemp liter vorige maand]]</f>
        <v>23.299999999999997</v>
      </c>
      <c r="AG28" s="2">
        <f>Tabel242567[[#This Row],[Verbruik Kamertemp liter deze maand]]/0.15</f>
        <v>155.33333333333331</v>
      </c>
      <c r="AH28" s="25">
        <v>433.5</v>
      </c>
      <c r="AI28">
        <v>243.2</v>
      </c>
      <c r="AJ28">
        <f>Tabel242567[[#This Row],[Stand Gekoeld liter einde maand]]-Tabel242567[[#This Row],[Stand Gekoeld liter vorige maand]]</f>
        <v>190.3</v>
      </c>
      <c r="AK28" s="2">
        <f>Tabel242567[[#This Row],[Verbruik Gekoeld liter deze maand]]/0.15</f>
        <v>1268.6666666666667</v>
      </c>
      <c r="AL28" s="25">
        <v>282</v>
      </c>
      <c r="AM28">
        <v>102.5</v>
      </c>
      <c r="AN28">
        <f>Tabel242567[[#This Row],[Stand Bruisend liter einde maand]]-Tabel242567[[#This Row],[Stand Bruisend liter vorige maand]]</f>
        <v>179.5</v>
      </c>
      <c r="AO28" s="2">
        <f>Tabel242567[[#This Row],[Verbruik Bruisend liter deze maand]]/0.15</f>
        <v>1196.6666666666667</v>
      </c>
      <c r="AP28" s="25">
        <v>134.1</v>
      </c>
      <c r="AQ28">
        <v>63.8</v>
      </c>
      <c r="AR28">
        <f>Tabel242567[[#This Row],[Stand licht bruisend liter einde maand]]-Tabel242567[[#This Row],[Stand licht bruisend liter vorige maand]]</f>
        <v>70.3</v>
      </c>
      <c r="AS28" s="2">
        <f>Tabel242567[[#This Row],[Verbruik licht bruisend liter deze maand]]/0.15</f>
        <v>468.66666666666669</v>
      </c>
      <c r="AT28" s="25">
        <v>318.5</v>
      </c>
      <c r="AU28">
        <v>197.2</v>
      </c>
      <c r="AV28">
        <f>Tabel242567[[#This Row],[Stand heet water liter einde maand]]-Tabel242567[[#This Row],[Stand heet water liter vorige maand]]</f>
        <v>121.30000000000001</v>
      </c>
      <c r="AW28" s="20">
        <f>Tabel242567[[#This Row],[Verbruik heet Water liter deze maand ]]/0.15</f>
        <v>808.66666666666674</v>
      </c>
      <c r="AX28" s="4">
        <f>Tabel242567[[#This Row],[Aantal consumpties heet water deze maand]]+Tabel242567[[#This Row],[Aantal consumpties licht bruisend water deze maand]]+Tabel242567[[#This Row],[aantal consumpties Bruisend water deze maand]]+Tabel242567[[#This Row],[Aantal consumpties gekoeld water deze maand]]+Tabel242567[[#This Row],[Aantal consumpties Kamertemp deze maand]]</f>
        <v>3898.0000000000005</v>
      </c>
      <c r="AY28" s="4">
        <f>Tabel242567[[#This Row],[Subtotaal waterbar in consumpties]]+Tabel242567[[#This Row],[Subtotaal koffieautomaten]]</f>
        <v>3898.0000000000005</v>
      </c>
    </row>
    <row r="29" spans="1:51" x14ac:dyDescent="0.25">
      <c r="A29" t="s">
        <v>41</v>
      </c>
      <c r="B29" t="s">
        <v>78</v>
      </c>
      <c r="C29" t="s">
        <v>47</v>
      </c>
      <c r="E29" s="25">
        <v>1495</v>
      </c>
      <c r="F29" s="25">
        <v>1250</v>
      </c>
      <c r="G29" s="12">
        <f>Tabel242567[[#This Row],[Stand Coffee einde maand]]-Tabel242567[[#This Row],[Coffee vorige maand]]</f>
        <v>245</v>
      </c>
      <c r="H29" s="25">
        <v>801</v>
      </c>
      <c r="I29">
        <v>630</v>
      </c>
      <c r="J29" s="12">
        <f>Tabel242567[[#This Row],[Stand Espresso Einde maand]]-Tabel242567[[#This Row],[Espresso vorige maand]]</f>
        <v>171</v>
      </c>
      <c r="K29" s="25">
        <v>97</v>
      </c>
      <c r="L29">
        <v>67</v>
      </c>
      <c r="M29">
        <f>Tabel242567[[#This Row],[Stand Latte Macchiato einde maand]]-Tabel242567[[#This Row],[Latte Macchiato vorige maand]]</f>
        <v>30</v>
      </c>
      <c r="N29" s="25">
        <v>102</v>
      </c>
      <c r="O29">
        <v>95</v>
      </c>
      <c r="P29">
        <f>Tabel242567[[#This Row],[Stand Coffee Latte einde maand]]-Tabel242567[[#This Row],[Coffee Latte vorige maand]]</f>
        <v>7</v>
      </c>
      <c r="Q29" s="25">
        <v>1</v>
      </c>
      <c r="R29">
        <v>1</v>
      </c>
      <c r="S29">
        <f>Tabel242567[[#This Row],[Stand Hot Water einde maand]]-Tabel242567[[#This Row],[Hot Water vorige maand]]</f>
        <v>0</v>
      </c>
      <c r="T29" s="25">
        <v>896</v>
      </c>
      <c r="U29">
        <v>704</v>
      </c>
      <c r="V29">
        <f>Tabel242567[[#This Row],[Stand Cappucino einde maand]]-Tabel242567[[#This Row],[Stand Cappucino vorige maand]]</f>
        <v>192</v>
      </c>
      <c r="W29" s="25">
        <v>567</v>
      </c>
      <c r="X29" s="25">
        <v>476</v>
      </c>
      <c r="Y29">
        <f>Tabel242567[[#This Row],[Stand Cappucino Plantaardig einde maand]]-Tabel242567[[#This Row],[Stand Cappucino Plantaardig vorige maand]]</f>
        <v>91</v>
      </c>
      <c r="Z29" s="25">
        <v>221</v>
      </c>
      <c r="AA29">
        <v>187</v>
      </c>
      <c r="AB29" s="12">
        <f>Tabel242567[[#This Row],[Stand Latte Macchiato Plantaardig einde maand]]-Tabel242567[[#This Row],[Stand Latte Macchiato Plantaardig vorige maand]]</f>
        <v>34</v>
      </c>
      <c r="AC29" s="3">
        <f>Tabel242567[[#This Row],[Verbruik Stand Latte Macchiato Plantaardig deze maand]]+Tabel242567[[#This Row],[Verbruik  Cappucino Plantaardig deze maand]]+Tabel242567[[#This Row],[Verbruik Cappucino deze maand]]+Tabel242567[[#This Row],[Verbruik Hot Water deze maand]]+Tabel242567[[#This Row],[Verbruik Coffee Latte deze maand]]+Tabel242567[[#This Row],[Verbruik Latte Macchiato deze maand]]+Tabel242567[[#This Row],[Verbruik Espresso deze maand]]+Tabel242567[[#This Row],[Verbruik Coffee deze maand]]</f>
        <v>770</v>
      </c>
      <c r="AD29" s="11">
        <v>45.8</v>
      </c>
      <c r="AE29">
        <v>40.299999999999997</v>
      </c>
      <c r="AF29">
        <f>Tabel242567[[#This Row],[Stand Kamertemp liter einde maand]]-Tabel242567[[#This Row],[Stand Kamertemp liter vorige maand]]</f>
        <v>5.5</v>
      </c>
      <c r="AG29" s="2">
        <f>Tabel242567[[#This Row],[Verbruik Kamertemp liter deze maand]]/0.15</f>
        <v>36.666666666666671</v>
      </c>
      <c r="AH29" s="11">
        <v>385.1</v>
      </c>
      <c r="AI29">
        <v>296.39999999999998</v>
      </c>
      <c r="AJ29">
        <f>Tabel242567[[#This Row],[Stand Gekoeld liter einde maand]]-Tabel242567[[#This Row],[Stand Gekoeld liter vorige maand]]</f>
        <v>88.700000000000045</v>
      </c>
      <c r="AK29" s="2">
        <f>Tabel242567[[#This Row],[Verbruik Gekoeld liter deze maand]]/0.15</f>
        <v>591.33333333333371</v>
      </c>
      <c r="AL29" s="11">
        <v>560.4</v>
      </c>
      <c r="AM29">
        <v>450.1</v>
      </c>
      <c r="AN29">
        <f>Tabel242567[[#This Row],[Stand Bruisend liter einde maand]]-Tabel242567[[#This Row],[Stand Bruisend liter vorige maand]]</f>
        <v>110.29999999999995</v>
      </c>
      <c r="AO29" s="2">
        <f>Tabel242567[[#This Row],[Verbruik Bruisend liter deze maand]]/0.15</f>
        <v>735.33333333333303</v>
      </c>
      <c r="AP29" s="11">
        <v>436</v>
      </c>
      <c r="AQ29">
        <v>347.4</v>
      </c>
      <c r="AR29">
        <f>Tabel242567[[#This Row],[Stand licht bruisend liter einde maand]]-Tabel242567[[#This Row],[Stand licht bruisend liter vorige maand]]</f>
        <v>88.600000000000023</v>
      </c>
      <c r="AS29" s="2">
        <f>Tabel242567[[#This Row],[Verbruik licht bruisend liter deze maand]]/0.15</f>
        <v>590.66666666666686</v>
      </c>
      <c r="AT29" s="11">
        <v>1689.8</v>
      </c>
      <c r="AU29">
        <v>1513.2</v>
      </c>
      <c r="AV29">
        <f>Tabel242567[[#This Row],[Stand heet water liter einde maand]]-Tabel242567[[#This Row],[Stand heet water liter vorige maand]]</f>
        <v>176.59999999999991</v>
      </c>
      <c r="AW29" s="20">
        <f>Tabel242567[[#This Row],[Verbruik heet Water liter deze maand ]]/0.15</f>
        <v>1177.3333333333328</v>
      </c>
      <c r="AX29" s="4">
        <f>Tabel242567[[#This Row],[Aantal consumpties heet water deze maand]]+Tabel242567[[#This Row],[Aantal consumpties licht bruisend water deze maand]]+Tabel242567[[#This Row],[aantal consumpties Bruisend water deze maand]]+Tabel242567[[#This Row],[Aantal consumpties gekoeld water deze maand]]+Tabel242567[[#This Row],[Aantal consumpties Kamertemp deze maand]]</f>
        <v>3131.3333333333326</v>
      </c>
      <c r="AY29" s="4">
        <f>Tabel242567[[#This Row],[Subtotaal waterbar in consumpties]]+Tabel242567[[#This Row],[Subtotaal koffieautomaten]]</f>
        <v>3901.3333333333326</v>
      </c>
    </row>
    <row r="30" spans="1:51" x14ac:dyDescent="0.25">
      <c r="A30" t="s">
        <v>43</v>
      </c>
      <c r="B30" t="s">
        <v>79</v>
      </c>
      <c r="C30" t="s">
        <v>31</v>
      </c>
      <c r="E30" s="25">
        <v>2578</v>
      </c>
      <c r="F30" s="25">
        <v>2148</v>
      </c>
      <c r="G30" s="12">
        <f>Tabel242567[[#This Row],[Stand Coffee einde maand]]-Tabel242567[[#This Row],[Coffee vorige maand]]</f>
        <v>430</v>
      </c>
      <c r="H30" s="25">
        <v>876</v>
      </c>
      <c r="I30">
        <v>755</v>
      </c>
      <c r="J30" s="12">
        <f>Tabel242567[[#This Row],[Stand Espresso Einde maand]]-Tabel242567[[#This Row],[Espresso vorige maand]]</f>
        <v>121</v>
      </c>
      <c r="K30" s="25">
        <v>69</v>
      </c>
      <c r="L30">
        <v>55</v>
      </c>
      <c r="M30">
        <f>Tabel242567[[#This Row],[Stand Latte Macchiato einde maand]]-Tabel242567[[#This Row],[Latte Macchiato vorige maand]]</f>
        <v>14</v>
      </c>
      <c r="N30" s="25">
        <v>27</v>
      </c>
      <c r="O30">
        <v>26</v>
      </c>
      <c r="P30">
        <f>Tabel242567[[#This Row],[Stand Coffee Latte einde maand]]-Tabel242567[[#This Row],[Coffee Latte vorige maand]]</f>
        <v>1</v>
      </c>
      <c r="Q30" s="25">
        <v>2037</v>
      </c>
      <c r="R30">
        <v>1834</v>
      </c>
      <c r="S30">
        <f>Tabel242567[[#This Row],[Stand Hot Water einde maand]]-Tabel242567[[#This Row],[Hot Water vorige maand]]</f>
        <v>203</v>
      </c>
      <c r="T30" s="25">
        <v>1220</v>
      </c>
      <c r="U30">
        <v>1044</v>
      </c>
      <c r="V30">
        <f>Tabel242567[[#This Row],[Stand Cappucino einde maand]]-Tabel242567[[#This Row],[Stand Cappucino vorige maand]]</f>
        <v>176</v>
      </c>
      <c r="W30" s="25">
        <v>84</v>
      </c>
      <c r="X30" s="25">
        <v>75</v>
      </c>
      <c r="Y30">
        <f>Tabel242567[[#This Row],[Stand Cappucino Plantaardig einde maand]]-Tabel242567[[#This Row],[Stand Cappucino Plantaardig vorige maand]]</f>
        <v>9</v>
      </c>
      <c r="Z30" s="25">
        <v>14</v>
      </c>
      <c r="AA30">
        <v>12</v>
      </c>
      <c r="AB30" s="12">
        <f>Tabel242567[[#This Row],[Stand Latte Macchiato Plantaardig einde maand]]-Tabel242567[[#This Row],[Stand Latte Macchiato Plantaardig vorige maand]]</f>
        <v>2</v>
      </c>
      <c r="AC30" s="3">
        <f>Tabel242567[[#This Row],[Verbruik Stand Latte Macchiato Plantaardig deze maand]]+Tabel242567[[#This Row],[Verbruik  Cappucino Plantaardig deze maand]]+Tabel242567[[#This Row],[Verbruik Cappucino deze maand]]+Tabel242567[[#This Row],[Verbruik Hot Water deze maand]]+Tabel242567[[#This Row],[Verbruik Coffee Latte deze maand]]+Tabel242567[[#This Row],[Verbruik Latte Macchiato deze maand]]+Tabel242567[[#This Row],[Verbruik Espresso deze maand]]+Tabel242567[[#This Row],[Verbruik Coffee deze maand]]</f>
        <v>956</v>
      </c>
      <c r="AD30" s="26"/>
      <c r="AE30" s="5"/>
      <c r="AF30" s="5"/>
      <c r="AG30" s="5"/>
      <c r="AH30" s="26"/>
      <c r="AI30" s="5"/>
      <c r="AJ30" s="5"/>
      <c r="AK30" s="7"/>
      <c r="AL30" s="26"/>
      <c r="AM30" s="5"/>
      <c r="AN30" s="5"/>
      <c r="AO30" s="7"/>
      <c r="AP30" s="26"/>
      <c r="AQ30" s="5"/>
      <c r="AR30" s="5"/>
      <c r="AS30" s="7"/>
      <c r="AT30" s="26"/>
      <c r="AU30" s="5"/>
      <c r="AV30" s="5"/>
      <c r="AW30" s="21"/>
      <c r="AX30" s="8"/>
      <c r="AY30" s="4">
        <f>Tabel242567[[#This Row],[Subtotaal waterbar in consumpties]]+Tabel242567[[#This Row],[Subtotaal koffieautomaten]]</f>
        <v>956</v>
      </c>
    </row>
    <row r="31" spans="1:51" x14ac:dyDescent="0.25">
      <c r="A31" t="s">
        <v>45</v>
      </c>
      <c r="B31" t="s">
        <v>80</v>
      </c>
      <c r="C31" t="s">
        <v>36</v>
      </c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25">
        <v>32.5</v>
      </c>
      <c r="AE31">
        <v>27</v>
      </c>
      <c r="AF31">
        <f>Tabel242567[[#This Row],[Stand Kamertemp liter einde maand]]-Tabel242567[[#This Row],[Stand Kamertemp liter vorige maand]]</f>
        <v>5.5</v>
      </c>
      <c r="AG31" s="2">
        <f>Tabel242567[[#This Row],[Verbruik Kamertemp liter deze maand]]/0.15</f>
        <v>36.666666666666671</v>
      </c>
      <c r="AH31" s="25">
        <v>152.19999999999999</v>
      </c>
      <c r="AI31">
        <v>133.9</v>
      </c>
      <c r="AJ31">
        <f>Tabel242567[[#This Row],[Stand Gekoeld liter einde maand]]-Tabel242567[[#This Row],[Stand Gekoeld liter vorige maand]]</f>
        <v>18.299999999999983</v>
      </c>
      <c r="AK31" s="2">
        <f>Tabel242567[[#This Row],[Verbruik Gekoeld liter deze maand]]/0.15</f>
        <v>121.99999999999989</v>
      </c>
      <c r="AL31" s="25">
        <v>222.1</v>
      </c>
      <c r="AM31">
        <v>193.4</v>
      </c>
      <c r="AN31">
        <f>Tabel242567[[#This Row],[Stand Bruisend liter einde maand]]-Tabel242567[[#This Row],[Stand Bruisend liter vorige maand]]</f>
        <v>28.699999999999989</v>
      </c>
      <c r="AO31" s="2">
        <f>Tabel242567[[#This Row],[Verbruik Bruisend liter deze maand]]/0.15</f>
        <v>191.33333333333326</v>
      </c>
      <c r="AP31" s="25">
        <v>154.19999999999999</v>
      </c>
      <c r="AQ31">
        <v>133.30000000000001</v>
      </c>
      <c r="AR31">
        <f>Tabel242567[[#This Row],[Stand licht bruisend liter einde maand]]-Tabel242567[[#This Row],[Stand licht bruisend liter vorige maand]]</f>
        <v>20.899999999999977</v>
      </c>
      <c r="AS31" s="2">
        <f>Tabel242567[[#This Row],[Verbruik licht bruisend liter deze maand]]/0.15</f>
        <v>139.3333333333332</v>
      </c>
      <c r="AT31" s="25">
        <v>860.9</v>
      </c>
      <c r="AU31">
        <v>735.7</v>
      </c>
      <c r="AV31">
        <f>Tabel242567[[#This Row],[Stand heet water liter einde maand]]-Tabel242567[[#This Row],[Stand heet water liter vorige maand]]</f>
        <v>125.19999999999993</v>
      </c>
      <c r="AW31" s="20">
        <f>Tabel242567[[#This Row],[Verbruik heet Water liter deze maand ]]/0.15</f>
        <v>834.66666666666629</v>
      </c>
      <c r="AX31" s="4">
        <f>Tabel242567[[#This Row],[Aantal consumpties heet water deze maand]]+Tabel242567[[#This Row],[Aantal consumpties licht bruisend water deze maand]]+Tabel242567[[#This Row],[aantal consumpties Bruisend water deze maand]]+Tabel242567[[#This Row],[Aantal consumpties gekoeld water deze maand]]+Tabel242567[[#This Row],[Aantal consumpties Kamertemp deze maand]]</f>
        <v>1323.9999999999993</v>
      </c>
      <c r="AY31" s="4">
        <f>Tabel242567[[#This Row],[Subtotaal waterbar in consumpties]]+Tabel242567[[#This Row],[Subtotaal koffieautomaten]]</f>
        <v>1323.9999999999993</v>
      </c>
    </row>
    <row r="32" spans="1:51" x14ac:dyDescent="0.25">
      <c r="A32" t="s">
        <v>48</v>
      </c>
      <c r="B32" t="s">
        <v>81</v>
      </c>
      <c r="C32" t="s">
        <v>31</v>
      </c>
      <c r="E32" s="25">
        <v>2234</v>
      </c>
      <c r="F32" s="25">
        <v>1831</v>
      </c>
      <c r="G32" s="12">
        <f>Tabel242567[[#This Row],[Stand Coffee einde maand]]-Tabel242567[[#This Row],[Coffee vorige maand]]</f>
        <v>403</v>
      </c>
      <c r="H32" s="25">
        <v>179</v>
      </c>
      <c r="I32">
        <v>168</v>
      </c>
      <c r="J32" s="12">
        <f>Tabel242567[[#This Row],[Stand Espresso Einde maand]]-Tabel242567[[#This Row],[Espresso vorige maand]]</f>
        <v>11</v>
      </c>
      <c r="K32" s="25">
        <v>137</v>
      </c>
      <c r="L32">
        <v>98</v>
      </c>
      <c r="M32">
        <f>Tabel242567[[#This Row],[Stand Latte Macchiato einde maand]]-Tabel242567[[#This Row],[Latte Macchiato vorige maand]]</f>
        <v>39</v>
      </c>
      <c r="N32" s="25">
        <v>57</v>
      </c>
      <c r="O32">
        <v>55</v>
      </c>
      <c r="P32">
        <f>Tabel242567[[#This Row],[Stand Coffee Latte einde maand]]-Tabel242567[[#This Row],[Coffee Latte vorige maand]]</f>
        <v>2</v>
      </c>
      <c r="Q32" s="25">
        <v>4385</v>
      </c>
      <c r="R32">
        <v>3721</v>
      </c>
      <c r="S32">
        <f>Tabel242567[[#This Row],[Stand Hot Water einde maand]]-Tabel242567[[#This Row],[Hot Water vorige maand]]</f>
        <v>664</v>
      </c>
      <c r="T32" s="25">
        <v>901</v>
      </c>
      <c r="U32">
        <v>712</v>
      </c>
      <c r="V32">
        <f>Tabel242567[[#This Row],[Stand Cappucino einde maand]]-Tabel242567[[#This Row],[Stand Cappucino vorige maand]]</f>
        <v>189</v>
      </c>
      <c r="W32" s="25">
        <v>69</v>
      </c>
      <c r="X32" s="25">
        <v>59</v>
      </c>
      <c r="Y32">
        <f>Tabel242567[[#This Row],[Stand Cappucino Plantaardig einde maand]]-Tabel242567[[#This Row],[Stand Cappucino Plantaardig vorige maand]]</f>
        <v>10</v>
      </c>
      <c r="Z32" s="25">
        <v>9</v>
      </c>
      <c r="AA32">
        <v>9</v>
      </c>
      <c r="AB32" s="12">
        <f>Tabel242567[[#This Row],[Stand Latte Macchiato Plantaardig einde maand]]-Tabel242567[[#This Row],[Stand Latte Macchiato Plantaardig vorige maand]]</f>
        <v>0</v>
      </c>
      <c r="AC32" s="3">
        <f>Tabel242567[[#This Row],[Verbruik Stand Latte Macchiato Plantaardig deze maand]]+Tabel242567[[#This Row],[Verbruik  Cappucino Plantaardig deze maand]]+Tabel242567[[#This Row],[Verbruik Cappucino deze maand]]+Tabel242567[[#This Row],[Verbruik Hot Water deze maand]]+Tabel242567[[#This Row],[Verbruik Coffee Latte deze maand]]+Tabel242567[[#This Row],[Verbruik Latte Macchiato deze maand]]+Tabel242567[[#This Row],[Verbruik Espresso deze maand]]+Tabel242567[[#This Row],[Verbruik Coffee deze maand]]</f>
        <v>1318</v>
      </c>
      <c r="AD32" s="26"/>
      <c r="AE32" s="5"/>
      <c r="AF32" s="5"/>
      <c r="AG32" s="5"/>
      <c r="AH32" s="26"/>
      <c r="AI32" s="5"/>
      <c r="AJ32" s="5"/>
      <c r="AK32" s="7"/>
      <c r="AL32" s="26"/>
      <c r="AM32" s="5"/>
      <c r="AN32" s="5"/>
      <c r="AO32" s="7"/>
      <c r="AP32" s="26"/>
      <c r="AQ32" s="5"/>
      <c r="AR32" s="5"/>
      <c r="AS32" s="7"/>
      <c r="AT32" s="26"/>
      <c r="AU32" s="5"/>
      <c r="AV32" s="5"/>
      <c r="AW32" s="21"/>
      <c r="AX32" s="8"/>
      <c r="AY32" s="4">
        <f>Tabel242567[[#This Row],[Subtotaal waterbar in consumpties]]+Tabel242567[[#This Row],[Subtotaal koffieautomaten]]</f>
        <v>1318</v>
      </c>
    </row>
    <row r="33" spans="1:54" x14ac:dyDescent="0.25">
      <c r="A33" t="s">
        <v>50</v>
      </c>
      <c r="B33" t="s">
        <v>82</v>
      </c>
      <c r="C33" t="s">
        <v>47</v>
      </c>
      <c r="E33" s="11">
        <v>1479</v>
      </c>
      <c r="F33" s="11">
        <v>1210</v>
      </c>
      <c r="G33" s="12">
        <f>Tabel242567[[#This Row],[Stand Coffee einde maand]]-Tabel242567[[#This Row],[Coffee vorige maand]]</f>
        <v>269</v>
      </c>
      <c r="H33" s="11">
        <v>147</v>
      </c>
      <c r="I33">
        <v>120</v>
      </c>
      <c r="J33" s="12">
        <f>Tabel242567[[#This Row],[Stand Espresso Einde maand]]-Tabel242567[[#This Row],[Espresso vorige maand]]</f>
        <v>27</v>
      </c>
      <c r="K33" s="11">
        <v>359</v>
      </c>
      <c r="L33">
        <v>288</v>
      </c>
      <c r="M33">
        <f>Tabel242567[[#This Row],[Stand Latte Macchiato einde maand]]-Tabel242567[[#This Row],[Latte Macchiato vorige maand]]</f>
        <v>71</v>
      </c>
      <c r="N33" s="11">
        <v>193</v>
      </c>
      <c r="O33">
        <v>156</v>
      </c>
      <c r="P33">
        <f>Tabel242567[[#This Row],[Stand Coffee Latte einde maand]]-Tabel242567[[#This Row],[Coffee Latte vorige maand]]</f>
        <v>37</v>
      </c>
      <c r="Q33" s="11">
        <v>1</v>
      </c>
      <c r="R33">
        <v>1</v>
      </c>
      <c r="S33">
        <f>Tabel242567[[#This Row],[Stand Hot Water einde maand]]-Tabel242567[[#This Row],[Hot Water vorige maand]]</f>
        <v>0</v>
      </c>
      <c r="T33" s="11">
        <v>888</v>
      </c>
      <c r="U33">
        <v>754</v>
      </c>
      <c r="V33">
        <f>Tabel242567[[#This Row],[Stand Cappucino einde maand]]-Tabel242567[[#This Row],[Stand Cappucino vorige maand]]</f>
        <v>134</v>
      </c>
      <c r="W33" s="11">
        <v>122</v>
      </c>
      <c r="X33" s="11">
        <v>111</v>
      </c>
      <c r="Y33">
        <f>Tabel242567[[#This Row],[Stand Cappucino Plantaardig einde maand]]-Tabel242567[[#This Row],[Stand Cappucino Plantaardig vorige maand]]</f>
        <v>11</v>
      </c>
      <c r="Z33" s="11">
        <v>22</v>
      </c>
      <c r="AA33">
        <v>18</v>
      </c>
      <c r="AB33" s="12">
        <f>Tabel242567[[#This Row],[Stand Latte Macchiato Plantaardig einde maand]]-Tabel242567[[#This Row],[Stand Latte Macchiato Plantaardig vorige maand]]</f>
        <v>4</v>
      </c>
      <c r="AC33" s="3">
        <f>Tabel242567[[#This Row],[Verbruik Stand Latte Macchiato Plantaardig deze maand]]+Tabel242567[[#This Row],[Verbruik  Cappucino Plantaardig deze maand]]+Tabel242567[[#This Row],[Verbruik Cappucino deze maand]]+Tabel242567[[#This Row],[Verbruik Hot Water deze maand]]+Tabel242567[[#This Row],[Verbruik Coffee Latte deze maand]]+Tabel242567[[#This Row],[Verbruik Latte Macchiato deze maand]]+Tabel242567[[#This Row],[Verbruik Espresso deze maand]]+Tabel242567[[#This Row],[Verbruik Coffee deze maand]]</f>
        <v>553</v>
      </c>
      <c r="AD33" s="25">
        <v>39.4</v>
      </c>
      <c r="AE33">
        <v>32.4</v>
      </c>
      <c r="AF33">
        <f>Tabel242567[[#This Row],[Stand Kamertemp liter einde maand]]-Tabel242567[[#This Row],[Stand Kamertemp liter vorige maand]]</f>
        <v>7</v>
      </c>
      <c r="AG33" s="2">
        <f>Tabel242567[[#This Row],[Verbruik Kamertemp liter deze maand]]/0.15</f>
        <v>46.666666666666671</v>
      </c>
      <c r="AH33" s="25">
        <v>173.6</v>
      </c>
      <c r="AI33">
        <v>142.19999999999999</v>
      </c>
      <c r="AJ33">
        <f>Tabel242567[[#This Row],[Stand Gekoeld liter einde maand]]-Tabel242567[[#This Row],[Stand Gekoeld liter vorige maand]]</f>
        <v>31.400000000000006</v>
      </c>
      <c r="AK33" s="2">
        <f>Tabel242567[[#This Row],[Verbruik Gekoeld liter deze maand]]/0.15</f>
        <v>209.33333333333337</v>
      </c>
      <c r="AL33" s="25">
        <v>268</v>
      </c>
      <c r="AM33">
        <v>208.9</v>
      </c>
      <c r="AN33">
        <f>Tabel242567[[#This Row],[Stand Bruisend liter einde maand]]-Tabel242567[[#This Row],[Stand Bruisend liter vorige maand]]</f>
        <v>59.099999999999994</v>
      </c>
      <c r="AO33" s="2">
        <f>Tabel242567[[#This Row],[Verbruik Bruisend liter deze maand]]/0.15</f>
        <v>394</v>
      </c>
      <c r="AP33" s="25">
        <v>51.5</v>
      </c>
      <c r="AQ33">
        <v>44.6</v>
      </c>
      <c r="AR33">
        <f>Tabel242567[[#This Row],[Stand licht bruisend liter einde maand]]-Tabel242567[[#This Row],[Stand licht bruisend liter vorige maand]]</f>
        <v>6.8999999999999986</v>
      </c>
      <c r="AS33" s="2">
        <f>Tabel242567[[#This Row],[Verbruik licht bruisend liter deze maand]]/0.15</f>
        <v>45.999999999999993</v>
      </c>
      <c r="AT33" s="25">
        <v>729.1</v>
      </c>
      <c r="AU33">
        <v>630.9</v>
      </c>
      <c r="AV33">
        <f>Tabel242567[[#This Row],[Stand heet water liter einde maand]]-Tabel242567[[#This Row],[Stand heet water liter vorige maand]]</f>
        <v>98.200000000000045</v>
      </c>
      <c r="AW33" s="20">
        <f>Tabel242567[[#This Row],[Verbruik heet Water liter deze maand ]]/0.15</f>
        <v>654.66666666666697</v>
      </c>
      <c r="AX33" s="4">
        <v>1351</v>
      </c>
      <c r="AY33" s="4">
        <f>Tabel242567[[#This Row],[Subtotaal waterbar in consumpties]]+Tabel242567[[#This Row],[Subtotaal koffieautomaten]]</f>
        <v>1904</v>
      </c>
      <c r="BB33">
        <v>1351</v>
      </c>
    </row>
    <row r="34" spans="1:54" x14ac:dyDescent="0.25">
      <c r="A34" t="s">
        <v>52</v>
      </c>
      <c r="B34" t="s">
        <v>83</v>
      </c>
      <c r="C34" t="s">
        <v>47</v>
      </c>
      <c r="E34" s="25">
        <v>1758</v>
      </c>
      <c r="F34" s="25">
        <v>1492</v>
      </c>
      <c r="G34" s="12">
        <f>Tabel242567[[#This Row],[Stand Coffee einde maand]]-Tabel242567[[#This Row],[Coffee vorige maand]]</f>
        <v>266</v>
      </c>
      <c r="H34" s="25">
        <v>573</v>
      </c>
      <c r="I34">
        <v>438</v>
      </c>
      <c r="J34" s="12">
        <f>Tabel242567[[#This Row],[Stand Espresso Einde maand]]-Tabel242567[[#This Row],[Espresso vorige maand]]</f>
        <v>135</v>
      </c>
      <c r="K34" s="25">
        <v>293</v>
      </c>
      <c r="L34">
        <v>232</v>
      </c>
      <c r="M34">
        <f>Tabel242567[[#This Row],[Stand Latte Macchiato einde maand]]-Tabel242567[[#This Row],[Latte Macchiato vorige maand]]</f>
        <v>61</v>
      </c>
      <c r="N34" s="25">
        <v>113</v>
      </c>
      <c r="O34">
        <v>98</v>
      </c>
      <c r="P34">
        <f>Tabel242567[[#This Row],[Stand Coffee Latte einde maand]]-Tabel242567[[#This Row],[Coffee Latte vorige maand]]</f>
        <v>15</v>
      </c>
      <c r="Q34" s="25">
        <v>1</v>
      </c>
      <c r="R34">
        <v>1</v>
      </c>
      <c r="S34">
        <f>Tabel242567[[#This Row],[Stand Hot Water einde maand]]-Tabel242567[[#This Row],[Hot Water vorige maand]]</f>
        <v>0</v>
      </c>
      <c r="T34" s="25">
        <v>630</v>
      </c>
      <c r="U34">
        <v>541</v>
      </c>
      <c r="V34">
        <f>Tabel242567[[#This Row],[Stand Cappucino einde maand]]-Tabel242567[[#This Row],[Stand Cappucino vorige maand]]</f>
        <v>89</v>
      </c>
      <c r="W34" s="25">
        <v>236</v>
      </c>
      <c r="X34" s="25">
        <v>211</v>
      </c>
      <c r="Y34">
        <f>Tabel242567[[#This Row],[Stand Cappucino Plantaardig einde maand]]-Tabel242567[[#This Row],[Stand Cappucino Plantaardig vorige maand]]</f>
        <v>25</v>
      </c>
      <c r="Z34" s="25">
        <v>289</v>
      </c>
      <c r="AA34">
        <v>233</v>
      </c>
      <c r="AB34" s="12">
        <f>Tabel242567[[#This Row],[Stand Latte Macchiato Plantaardig einde maand]]-Tabel242567[[#This Row],[Stand Latte Macchiato Plantaardig vorige maand]]</f>
        <v>56</v>
      </c>
      <c r="AC34" s="3">
        <f>Tabel242567[[#This Row],[Verbruik Stand Latte Macchiato Plantaardig deze maand]]+Tabel242567[[#This Row],[Verbruik  Cappucino Plantaardig deze maand]]+Tabel242567[[#This Row],[Verbruik Cappucino deze maand]]+Tabel242567[[#This Row],[Verbruik Hot Water deze maand]]+Tabel242567[[#This Row],[Verbruik Coffee Latte deze maand]]+Tabel242567[[#This Row],[Verbruik Latte Macchiato deze maand]]+Tabel242567[[#This Row],[Verbruik Espresso deze maand]]+Tabel242567[[#This Row],[Verbruik Coffee deze maand]]</f>
        <v>647</v>
      </c>
      <c r="AD34" s="25">
        <v>40.799999999999997</v>
      </c>
      <c r="AE34">
        <v>34.200000000000003</v>
      </c>
      <c r="AF34">
        <f>Tabel242567[[#This Row],[Stand Kamertemp liter einde maand]]-Tabel242567[[#This Row],[Stand Kamertemp liter vorige maand]]</f>
        <v>6.5999999999999943</v>
      </c>
      <c r="AG34" s="2">
        <f>Tabel242567[[#This Row],[Verbruik Kamertemp liter deze maand]]/0.15</f>
        <v>43.999999999999964</v>
      </c>
      <c r="AH34" s="25">
        <v>233.8</v>
      </c>
      <c r="AI34">
        <v>177.3</v>
      </c>
      <c r="AJ34">
        <f>Tabel242567[[#This Row],[Stand Gekoeld liter einde maand]]-Tabel242567[[#This Row],[Stand Gekoeld liter vorige maand]]</f>
        <v>56.5</v>
      </c>
      <c r="AK34" s="2">
        <f>Tabel242567[[#This Row],[Verbruik Gekoeld liter deze maand]]/0.15</f>
        <v>376.66666666666669</v>
      </c>
      <c r="AL34" s="25">
        <v>175.7</v>
      </c>
      <c r="AM34">
        <v>134.6</v>
      </c>
      <c r="AN34">
        <f>Tabel242567[[#This Row],[Stand Bruisend liter einde maand]]-Tabel242567[[#This Row],[Stand Bruisend liter vorige maand]]</f>
        <v>41.099999999999994</v>
      </c>
      <c r="AO34" s="2">
        <f>Tabel242567[[#This Row],[Verbruik Bruisend liter deze maand]]/0.15</f>
        <v>274</v>
      </c>
      <c r="AP34" s="25">
        <v>82</v>
      </c>
      <c r="AQ34">
        <v>65.7</v>
      </c>
      <c r="AR34">
        <f>Tabel242567[[#This Row],[Stand licht bruisend liter einde maand]]-Tabel242567[[#This Row],[Stand licht bruisend liter vorige maand]]</f>
        <v>16.299999999999997</v>
      </c>
      <c r="AS34" s="2">
        <f>Tabel242567[[#This Row],[Verbruik licht bruisend liter deze maand]]/0.15</f>
        <v>108.66666666666666</v>
      </c>
      <c r="AT34" s="25">
        <v>1332.8</v>
      </c>
      <c r="AU34">
        <v>1165.2</v>
      </c>
      <c r="AV34">
        <f>Tabel242567[[#This Row],[Stand heet water liter einde maand]]-Tabel242567[[#This Row],[Stand heet water liter vorige maand]]</f>
        <v>167.59999999999991</v>
      </c>
      <c r="AW34" s="20">
        <f>Tabel242567[[#This Row],[Verbruik heet Water liter deze maand ]]/0.15</f>
        <v>1117.3333333333328</v>
      </c>
      <c r="AX34" s="4">
        <f>Tabel242567[[#This Row],[Aantal consumpties heet water deze maand]]+Tabel242567[[#This Row],[Aantal consumpties licht bruisend water deze maand]]+Tabel242567[[#This Row],[aantal consumpties Bruisend water deze maand]]+Tabel242567[[#This Row],[Aantal consumpties gekoeld water deze maand]]+Tabel242567[[#This Row],[Aantal consumpties Kamertemp deze maand]]</f>
        <v>1920.6666666666663</v>
      </c>
      <c r="AY34" s="4">
        <f>Tabel242567[[#This Row],[Subtotaal waterbar in consumpties]]+Tabel242567[[#This Row],[Subtotaal koffieautomaten]]</f>
        <v>2567.6666666666661</v>
      </c>
    </row>
    <row r="35" spans="1:54" x14ac:dyDescent="0.25">
      <c r="A35" t="s">
        <v>54</v>
      </c>
      <c r="B35" t="s">
        <v>84</v>
      </c>
      <c r="C35" t="s">
        <v>31</v>
      </c>
      <c r="E35" s="25">
        <v>2107</v>
      </c>
      <c r="F35" s="25">
        <v>1678</v>
      </c>
      <c r="G35" s="12">
        <f>Tabel242567[[#This Row],[Stand Coffee einde maand]]-Tabel242567[[#This Row],[Coffee vorige maand]]</f>
        <v>429</v>
      </c>
      <c r="H35" s="25">
        <v>394</v>
      </c>
      <c r="I35">
        <v>298</v>
      </c>
      <c r="J35" s="12">
        <f>Tabel242567[[#This Row],[Stand Espresso Einde maand]]-Tabel242567[[#This Row],[Espresso vorige maand]]</f>
        <v>96</v>
      </c>
      <c r="K35" s="25">
        <v>244</v>
      </c>
      <c r="L35">
        <v>226</v>
      </c>
      <c r="M35">
        <f>Tabel242567[[#This Row],[Stand Latte Macchiato einde maand]]-Tabel242567[[#This Row],[Latte Macchiato vorige maand]]</f>
        <v>18</v>
      </c>
      <c r="N35" s="25">
        <v>76</v>
      </c>
      <c r="O35">
        <v>66</v>
      </c>
      <c r="P35">
        <f>Tabel242567[[#This Row],[Stand Coffee Latte einde maand]]-Tabel242567[[#This Row],[Coffee Latte vorige maand]]</f>
        <v>10</v>
      </c>
      <c r="Q35" s="25">
        <v>3141</v>
      </c>
      <c r="R35">
        <v>2410</v>
      </c>
      <c r="S35">
        <f>Tabel242567[[#This Row],[Stand Hot Water einde maand]]-Tabel242567[[#This Row],[Hot Water vorige maand]]</f>
        <v>731</v>
      </c>
      <c r="T35" s="25">
        <v>758</v>
      </c>
      <c r="U35">
        <v>644</v>
      </c>
      <c r="V35">
        <f>Tabel242567[[#This Row],[Stand Cappucino einde maand]]-Tabel242567[[#This Row],[Stand Cappucino vorige maand]]</f>
        <v>114</v>
      </c>
      <c r="W35" s="25">
        <v>106</v>
      </c>
      <c r="X35" s="25">
        <v>79</v>
      </c>
      <c r="Y35">
        <f>Tabel242567[[#This Row],[Stand Cappucino Plantaardig einde maand]]-Tabel242567[[#This Row],[Stand Cappucino Plantaardig vorige maand]]</f>
        <v>27</v>
      </c>
      <c r="Z35" s="25">
        <v>182</v>
      </c>
      <c r="AA35">
        <v>137</v>
      </c>
      <c r="AB35" s="12">
        <f>Tabel242567[[#This Row],[Stand Latte Macchiato Plantaardig einde maand]]-Tabel242567[[#This Row],[Stand Latte Macchiato Plantaardig vorige maand]]</f>
        <v>45</v>
      </c>
      <c r="AC35" s="3">
        <f>Tabel242567[[#This Row],[Verbruik Stand Latte Macchiato Plantaardig deze maand]]+Tabel242567[[#This Row],[Verbruik  Cappucino Plantaardig deze maand]]+Tabel242567[[#This Row],[Verbruik Cappucino deze maand]]+Tabel242567[[#This Row],[Verbruik Hot Water deze maand]]+Tabel242567[[#This Row],[Verbruik Coffee Latte deze maand]]+Tabel242567[[#This Row],[Verbruik Latte Macchiato deze maand]]+Tabel242567[[#This Row],[Verbruik Espresso deze maand]]+Tabel242567[[#This Row],[Verbruik Coffee deze maand]]</f>
        <v>1470</v>
      </c>
      <c r="AD35" s="26"/>
      <c r="AE35" s="5"/>
      <c r="AF35" s="5"/>
      <c r="AG35" s="5"/>
      <c r="AH35" s="26"/>
      <c r="AI35" s="5"/>
      <c r="AJ35" s="5"/>
      <c r="AK35" s="5"/>
      <c r="AL35" s="26"/>
      <c r="AM35" s="5"/>
      <c r="AN35" s="5"/>
      <c r="AO35" s="7"/>
      <c r="AP35" s="26"/>
      <c r="AQ35" s="5"/>
      <c r="AR35" s="5"/>
      <c r="AS35" s="7"/>
      <c r="AT35" s="26"/>
      <c r="AU35" s="5"/>
      <c r="AV35" s="5"/>
      <c r="AW35" s="21"/>
      <c r="AX35" s="8"/>
      <c r="AY35" s="4">
        <f>Tabel242567[[#This Row],[Subtotaal waterbar in consumpties]]+Tabel242567[[#This Row],[Subtotaal koffieautomaten]]</f>
        <v>1470</v>
      </c>
    </row>
    <row r="36" spans="1:54" x14ac:dyDescent="0.25">
      <c r="A36" t="s">
        <v>56</v>
      </c>
      <c r="B36" t="s">
        <v>85</v>
      </c>
      <c r="C36" t="s">
        <v>36</v>
      </c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25">
        <v>26.3</v>
      </c>
      <c r="AE36">
        <v>20.9</v>
      </c>
      <c r="AF36">
        <f>Tabel242567[[#This Row],[Stand Kamertemp liter einde maand]]-Tabel242567[[#This Row],[Stand Kamertemp liter vorige maand]]</f>
        <v>5.4000000000000021</v>
      </c>
      <c r="AG36" s="2">
        <f>Tabel242567[[#This Row],[Verbruik Kamertemp liter deze maand]]/0.15</f>
        <v>36.000000000000014</v>
      </c>
      <c r="AH36" s="25">
        <v>324.39999999999998</v>
      </c>
      <c r="AI36">
        <v>264.8</v>
      </c>
      <c r="AJ36">
        <f>Tabel242567[[#This Row],[Stand Gekoeld liter einde maand]]-Tabel242567[[#This Row],[Stand Gekoeld liter vorige maand]]</f>
        <v>59.599999999999966</v>
      </c>
      <c r="AK36" s="2">
        <f>Tabel242567[[#This Row],[Verbruik Gekoeld liter deze maand]]/0.15</f>
        <v>397.33333333333314</v>
      </c>
      <c r="AL36" s="25">
        <v>124.5</v>
      </c>
      <c r="AM36">
        <v>99.1</v>
      </c>
      <c r="AN36">
        <f>Tabel242567[[#This Row],[Stand Bruisend liter einde maand]]-Tabel242567[[#This Row],[Stand Bruisend liter vorige maand]]</f>
        <v>25.400000000000006</v>
      </c>
      <c r="AO36" s="2">
        <f>Tabel242567[[#This Row],[Verbruik Bruisend liter deze maand]]/0.15</f>
        <v>169.33333333333337</v>
      </c>
      <c r="AP36" s="25">
        <v>136.4</v>
      </c>
      <c r="AQ36">
        <v>105.8</v>
      </c>
      <c r="AR36">
        <f>Tabel242567[[#This Row],[Stand licht bruisend liter einde maand]]-Tabel242567[[#This Row],[Stand licht bruisend liter vorige maand]]</f>
        <v>30.600000000000009</v>
      </c>
      <c r="AS36" s="2">
        <f>Tabel242567[[#This Row],[Verbruik licht bruisend liter deze maand]]/0.15</f>
        <v>204.00000000000006</v>
      </c>
      <c r="AT36" s="25">
        <v>1056.2</v>
      </c>
      <c r="AU36">
        <v>939.8</v>
      </c>
      <c r="AV36">
        <f>Tabel242567[[#This Row],[Stand heet water liter einde maand]]-Tabel242567[[#This Row],[Stand heet water liter vorige maand]]</f>
        <v>116.40000000000009</v>
      </c>
      <c r="AW36" s="20">
        <f>Tabel242567[[#This Row],[Verbruik heet Water liter deze maand ]]/0.15</f>
        <v>776.00000000000068</v>
      </c>
      <c r="AX36" s="4">
        <f>Tabel242567[[#This Row],[Aantal consumpties heet water deze maand]]+Tabel242567[[#This Row],[Aantal consumpties licht bruisend water deze maand]]+Tabel242567[[#This Row],[aantal consumpties Bruisend water deze maand]]+Tabel242567[[#This Row],[Aantal consumpties gekoeld water deze maand]]+Tabel242567[[#This Row],[Aantal consumpties Kamertemp deze maand]]</f>
        <v>1582.666666666667</v>
      </c>
      <c r="AY36" s="4">
        <f>Tabel242567[[#This Row],[Subtotaal waterbar in consumpties]]+Tabel242567[[#This Row],[Subtotaal koffieautomaten]]</f>
        <v>1582.666666666667</v>
      </c>
    </row>
    <row r="37" spans="1:54" x14ac:dyDescent="0.25">
      <c r="A37" t="s">
        <v>58</v>
      </c>
      <c r="B37" t="s">
        <v>86</v>
      </c>
      <c r="C37" t="s">
        <v>47</v>
      </c>
      <c r="E37" s="25">
        <v>2770</v>
      </c>
      <c r="F37" s="25">
        <v>2318</v>
      </c>
      <c r="G37" s="12">
        <f>Tabel242567[[#This Row],[Stand Coffee einde maand]]-Tabel242567[[#This Row],[Coffee vorige maand]]</f>
        <v>452</v>
      </c>
      <c r="H37" s="25">
        <v>672</v>
      </c>
      <c r="I37">
        <v>616</v>
      </c>
      <c r="J37" s="12">
        <f>Tabel242567[[#This Row],[Stand Espresso Einde maand]]-Tabel242567[[#This Row],[Espresso vorige maand]]</f>
        <v>56</v>
      </c>
      <c r="K37" s="25">
        <v>300</v>
      </c>
      <c r="L37">
        <v>272</v>
      </c>
      <c r="M37">
        <f>Tabel242567[[#This Row],[Stand Latte Macchiato einde maand]]-Tabel242567[[#This Row],[Latte Macchiato vorige maand]]</f>
        <v>28</v>
      </c>
      <c r="N37" s="25">
        <v>155</v>
      </c>
      <c r="O37">
        <v>136</v>
      </c>
      <c r="P37">
        <f>Tabel242567[[#This Row],[Stand Coffee Latte einde maand]]-Tabel242567[[#This Row],[Coffee Latte vorige maand]]</f>
        <v>19</v>
      </c>
      <c r="Q37" s="25">
        <v>1</v>
      </c>
      <c r="R37">
        <v>1</v>
      </c>
      <c r="S37">
        <f>Tabel242567[[#This Row],[Stand Hot Water einde maand]]-Tabel242567[[#This Row],[Hot Water vorige maand]]</f>
        <v>0</v>
      </c>
      <c r="T37" s="25">
        <v>1363</v>
      </c>
      <c r="U37">
        <v>1119</v>
      </c>
      <c r="V37">
        <f>Tabel242567[[#This Row],[Stand Cappucino einde maand]]-Tabel242567[[#This Row],[Stand Cappucino vorige maand]]</f>
        <v>244</v>
      </c>
      <c r="W37" s="25">
        <v>228</v>
      </c>
      <c r="X37" s="25">
        <v>205</v>
      </c>
      <c r="Y37">
        <f>Tabel242567[[#This Row],[Stand Cappucino Plantaardig einde maand]]-Tabel242567[[#This Row],[Stand Cappucino Plantaardig vorige maand]]</f>
        <v>23</v>
      </c>
      <c r="Z37" s="25">
        <v>171</v>
      </c>
      <c r="AA37">
        <v>140</v>
      </c>
      <c r="AB37" s="12">
        <f>Tabel242567[[#This Row],[Stand Latte Macchiato Plantaardig einde maand]]-Tabel242567[[#This Row],[Stand Latte Macchiato Plantaardig vorige maand]]</f>
        <v>31</v>
      </c>
      <c r="AC37" s="3">
        <f>Tabel242567[[#This Row],[Verbruik Stand Latte Macchiato Plantaardig deze maand]]+Tabel242567[[#This Row],[Verbruik  Cappucino Plantaardig deze maand]]+Tabel242567[[#This Row],[Verbruik Cappucino deze maand]]+Tabel242567[[#This Row],[Verbruik Hot Water deze maand]]+Tabel242567[[#This Row],[Verbruik Coffee Latte deze maand]]+Tabel242567[[#This Row],[Verbruik Latte Macchiato deze maand]]+Tabel242567[[#This Row],[Verbruik Espresso deze maand]]+Tabel242567[[#This Row],[Verbruik Coffee deze maand]]</f>
        <v>853</v>
      </c>
      <c r="AD37" s="25">
        <v>64.8</v>
      </c>
      <c r="AE37">
        <v>59</v>
      </c>
      <c r="AF37">
        <f>Tabel242567[[#This Row],[Stand Kamertemp liter einde maand]]-Tabel242567[[#This Row],[Stand Kamertemp liter vorige maand]]</f>
        <v>5.7999999999999972</v>
      </c>
      <c r="AG37" s="2">
        <f>Tabel242567[[#This Row],[Verbruik Kamertemp liter deze maand]]/0.15</f>
        <v>38.66666666666665</v>
      </c>
      <c r="AH37" s="25">
        <v>364.8</v>
      </c>
      <c r="AI37">
        <v>266.5</v>
      </c>
      <c r="AJ37">
        <f>Tabel242567[[#This Row],[Stand Gekoeld liter einde maand]]-Tabel242567[[#This Row],[Stand Gekoeld liter vorige maand]]</f>
        <v>98.300000000000011</v>
      </c>
      <c r="AK37" s="2">
        <f>Tabel242567[[#This Row],[Verbruik Gekoeld liter deze maand]]/0.15</f>
        <v>655.33333333333348</v>
      </c>
      <c r="AL37" s="25">
        <v>173.8</v>
      </c>
      <c r="AM37">
        <v>130.9</v>
      </c>
      <c r="AN37">
        <f>Tabel242567[[#This Row],[Stand Bruisend liter einde maand]]-Tabel242567[[#This Row],[Stand Bruisend liter vorige maand]]</f>
        <v>42.900000000000006</v>
      </c>
      <c r="AO37" s="2">
        <f>Tabel242567[[#This Row],[Verbruik Bruisend liter deze maand]]/0.15</f>
        <v>286.00000000000006</v>
      </c>
      <c r="AP37" s="25">
        <v>66.900000000000006</v>
      </c>
      <c r="AQ37">
        <v>57.3</v>
      </c>
      <c r="AR37">
        <f>Tabel242567[[#This Row],[Stand licht bruisend liter einde maand]]-Tabel242567[[#This Row],[Stand licht bruisend liter vorige maand]]</f>
        <v>9.6000000000000085</v>
      </c>
      <c r="AS37" s="2">
        <f>Tabel242567[[#This Row],[Verbruik licht bruisend liter deze maand]]/0.15</f>
        <v>64.000000000000057</v>
      </c>
      <c r="AT37" s="25">
        <v>1111.7</v>
      </c>
      <c r="AU37">
        <v>1002.6</v>
      </c>
      <c r="AV37">
        <f>Tabel242567[[#This Row],[Stand heet water liter einde maand]]-Tabel242567[[#This Row],[Stand heet water liter vorige maand]]</f>
        <v>109.10000000000002</v>
      </c>
      <c r="AW37" s="20">
        <f>Tabel242567[[#This Row],[Verbruik heet Water liter deze maand ]]/0.15</f>
        <v>727.33333333333348</v>
      </c>
      <c r="AX37" s="4">
        <f>Tabel242567[[#This Row],[Aantal consumpties heet water deze maand]]+Tabel242567[[#This Row],[Aantal consumpties licht bruisend water deze maand]]+Tabel242567[[#This Row],[aantal consumpties Bruisend water deze maand]]+Tabel242567[[#This Row],[Aantal consumpties gekoeld water deze maand]]+Tabel242567[[#This Row],[Aantal consumpties Kamertemp deze maand]]</f>
        <v>1771.3333333333337</v>
      </c>
      <c r="AY37" s="4">
        <f>Tabel242567[[#This Row],[Subtotaal waterbar in consumpties]]+Tabel242567[[#This Row],[Subtotaal koffieautomaten]]</f>
        <v>2624.3333333333339</v>
      </c>
    </row>
    <row r="38" spans="1:54" x14ac:dyDescent="0.25">
      <c r="A38" t="s">
        <v>60</v>
      </c>
      <c r="B38" t="s">
        <v>87</v>
      </c>
      <c r="C38" t="s">
        <v>31</v>
      </c>
      <c r="E38" s="25">
        <v>1217</v>
      </c>
      <c r="F38" s="25">
        <v>1009</v>
      </c>
      <c r="G38" s="12">
        <f>Tabel242567[[#This Row],[Stand Coffee einde maand]]-Tabel242567[[#This Row],[Coffee vorige maand]]</f>
        <v>208</v>
      </c>
      <c r="H38" s="25">
        <v>274</v>
      </c>
      <c r="I38">
        <v>209</v>
      </c>
      <c r="J38" s="12">
        <f>Tabel242567[[#This Row],[Stand Espresso Einde maand]]-Tabel242567[[#This Row],[Espresso vorige maand]]</f>
        <v>65</v>
      </c>
      <c r="K38" s="25">
        <v>283</v>
      </c>
      <c r="L38">
        <v>256</v>
      </c>
      <c r="M38">
        <f>Tabel242567[[#This Row],[Stand Latte Macchiato einde maand]]-Tabel242567[[#This Row],[Latte Macchiato vorige maand]]</f>
        <v>27</v>
      </c>
      <c r="N38" s="25">
        <v>213</v>
      </c>
      <c r="O38">
        <v>197</v>
      </c>
      <c r="P38">
        <f>Tabel242567[[#This Row],[Stand Coffee Latte einde maand]]-Tabel242567[[#This Row],[Coffee Latte vorige maand]]</f>
        <v>16</v>
      </c>
      <c r="Q38" s="25">
        <v>4594</v>
      </c>
      <c r="R38">
        <v>4010</v>
      </c>
      <c r="S38">
        <f>Tabel242567[[#This Row],[Stand Hot Water einde maand]]-Tabel242567[[#This Row],[Hot Water vorige maand]]</f>
        <v>584</v>
      </c>
      <c r="T38" s="25">
        <v>962</v>
      </c>
      <c r="U38">
        <v>802</v>
      </c>
      <c r="V38">
        <f>Tabel242567[[#This Row],[Stand Cappucino einde maand]]-Tabel242567[[#This Row],[Stand Cappucino vorige maand]]</f>
        <v>160</v>
      </c>
      <c r="W38" s="25">
        <v>172</v>
      </c>
      <c r="X38" s="25">
        <v>158</v>
      </c>
      <c r="Y38">
        <f>Tabel242567[[#This Row],[Stand Cappucino Plantaardig einde maand]]-Tabel242567[[#This Row],[Stand Cappucino Plantaardig vorige maand]]</f>
        <v>14</v>
      </c>
      <c r="Z38" s="25">
        <v>116</v>
      </c>
      <c r="AA38">
        <v>110</v>
      </c>
      <c r="AB38" s="12">
        <f>Tabel242567[[#This Row],[Stand Latte Macchiato Plantaardig einde maand]]-Tabel242567[[#This Row],[Stand Latte Macchiato Plantaardig vorige maand]]</f>
        <v>6</v>
      </c>
      <c r="AC38" s="3">
        <f>Tabel242567[[#This Row],[Verbruik Stand Latte Macchiato Plantaardig deze maand]]+Tabel242567[[#This Row],[Verbruik  Cappucino Plantaardig deze maand]]+Tabel242567[[#This Row],[Verbruik Cappucino deze maand]]+Tabel242567[[#This Row],[Verbruik Hot Water deze maand]]+Tabel242567[[#This Row],[Verbruik Coffee Latte deze maand]]+Tabel242567[[#This Row],[Verbruik Latte Macchiato deze maand]]+Tabel242567[[#This Row],[Verbruik Espresso deze maand]]+Tabel242567[[#This Row],[Verbruik Coffee deze maand]]</f>
        <v>1080</v>
      </c>
      <c r="AD38" s="26"/>
      <c r="AE38" s="5"/>
      <c r="AF38" s="5"/>
      <c r="AG38" s="5"/>
      <c r="AH38" s="26"/>
      <c r="AI38" s="5"/>
      <c r="AJ38" s="5"/>
      <c r="AK38" s="5"/>
      <c r="AL38" s="26"/>
      <c r="AM38" s="5"/>
      <c r="AN38" s="5"/>
      <c r="AO38" s="5"/>
      <c r="AP38" s="26"/>
      <c r="AQ38" s="5"/>
      <c r="AR38" s="5"/>
      <c r="AS38" s="5"/>
      <c r="AT38" s="26"/>
      <c r="AU38" s="5"/>
      <c r="AV38" s="5"/>
      <c r="AW38" s="16"/>
      <c r="AX38" s="6"/>
      <c r="AY38" s="4">
        <f>Tabel242567[[#This Row],[Subtotaal waterbar in consumpties]]+Tabel242567[[#This Row],[Subtotaal koffieautomaten]]</f>
        <v>1080</v>
      </c>
    </row>
    <row r="39" spans="1:54" x14ac:dyDescent="0.25">
      <c r="A39" s="3" t="s">
        <v>88</v>
      </c>
      <c r="E39" s="25"/>
      <c r="F39" s="25"/>
      <c r="H39" s="25"/>
      <c r="J39" s="12"/>
      <c r="K39" s="25"/>
      <c r="N39" s="25"/>
      <c r="Q39" s="25"/>
      <c r="T39" s="25"/>
      <c r="W39" s="25"/>
      <c r="X39" s="25"/>
      <c r="Z39" s="25"/>
      <c r="AC39" s="3">
        <f>Tabel242567[[#This Row],[Verbruik Stand Latte Macchiato Plantaardig deze maand]]+Tabel242567[[#This Row],[Verbruik  Cappucino Plantaardig deze maand]]+Tabel242567[[#This Row],[Verbruik Cappucino deze maand]]+Tabel242567[[#This Row],[Verbruik Hot Water deze maand]]+Tabel242567[[#This Row],[Verbruik Coffee Latte deze maand]]+Tabel242567[[#This Row],[Verbruik Latte Macchiato deze maand]]+Tabel242567[[#This Row],[Verbruik Espresso deze maand]]+Tabel242567[[#This Row],[Verbruik Coffee deze maand]]</f>
        <v>0</v>
      </c>
      <c r="AD39" s="25"/>
      <c r="AG39" s="2"/>
      <c r="AH39" s="25"/>
      <c r="AK39" s="2"/>
      <c r="AL39" s="25"/>
      <c r="AO39" s="2"/>
      <c r="AP39" s="25"/>
      <c r="AS39" s="2"/>
      <c r="AT39" s="25"/>
      <c r="AW39" s="20"/>
      <c r="AX39" s="4"/>
      <c r="AY39" s="4">
        <f>Tabel242567[[#This Row],[Subtotaal waterbar in consumpties]]+Tabel242567[[#This Row],[Subtotaal koffieautomaten]]</f>
        <v>0</v>
      </c>
    </row>
    <row r="40" spans="1:54" x14ac:dyDescent="0.25">
      <c r="A40" t="s">
        <v>39</v>
      </c>
      <c r="B40" t="s">
        <v>89</v>
      </c>
      <c r="C40" t="s">
        <v>36</v>
      </c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25">
        <v>92.1</v>
      </c>
      <c r="AE40">
        <v>79.099999999999994</v>
      </c>
      <c r="AF40">
        <f>Tabel242567[[#This Row],[Stand Kamertemp liter einde maand]]-Tabel242567[[#This Row],[Stand Kamertemp liter vorige maand]]</f>
        <v>13</v>
      </c>
      <c r="AG40" s="2">
        <f>Tabel242567[[#This Row],[Verbruik Kamertemp liter deze maand]]/0.15</f>
        <v>86.666666666666671</v>
      </c>
      <c r="AH40" s="25">
        <v>904.4</v>
      </c>
      <c r="AI40">
        <v>742.7</v>
      </c>
      <c r="AJ40">
        <f>Tabel242567[[#This Row],[Stand Gekoeld liter einde maand]]-Tabel242567[[#This Row],[Stand Gekoeld liter vorige maand]]</f>
        <v>161.69999999999993</v>
      </c>
      <c r="AK40" s="2">
        <f>Tabel242567[[#This Row],[Verbruik Gekoeld liter deze maand]]/0.15</f>
        <v>1077.9999999999995</v>
      </c>
      <c r="AL40" s="25">
        <v>432</v>
      </c>
      <c r="AM40">
        <v>343.5</v>
      </c>
      <c r="AN40">
        <f>Tabel242567[[#This Row],[Stand Bruisend liter einde maand]]-Tabel242567[[#This Row],[Stand Bruisend liter vorige maand]]</f>
        <v>88.5</v>
      </c>
      <c r="AO40" s="2">
        <f>Tabel242567[[#This Row],[Verbruik Bruisend liter deze maand]]/0.15</f>
        <v>590</v>
      </c>
      <c r="AP40" s="25">
        <v>150.4</v>
      </c>
      <c r="AQ40">
        <v>122.7</v>
      </c>
      <c r="AR40">
        <f>Tabel242567[[#This Row],[Stand licht bruisend liter einde maand]]-Tabel242567[[#This Row],[Stand licht bruisend liter vorige maand]]</f>
        <v>27.700000000000003</v>
      </c>
      <c r="AS40" s="2">
        <f>Tabel242567[[#This Row],[Verbruik licht bruisend liter deze maand]]/0.15</f>
        <v>184.66666666666669</v>
      </c>
      <c r="AT40" s="25">
        <v>713.9</v>
      </c>
      <c r="AU40">
        <v>624.1</v>
      </c>
      <c r="AV40">
        <f>Tabel242567[[#This Row],[Stand heet water liter einde maand]]-Tabel242567[[#This Row],[Stand heet water liter vorige maand]]</f>
        <v>89.799999999999955</v>
      </c>
      <c r="AW40" s="20">
        <f>Tabel242567[[#This Row],[Verbruik heet Water liter deze maand ]]/0.15</f>
        <v>598.6666666666664</v>
      </c>
      <c r="AX40" s="4">
        <f>Tabel242567[[#This Row],[Aantal consumpties heet water deze maand]]+Tabel242567[[#This Row],[Aantal consumpties licht bruisend water deze maand]]+Tabel242567[[#This Row],[aantal consumpties Bruisend water deze maand]]+Tabel242567[[#This Row],[Aantal consumpties gekoeld water deze maand]]+Tabel242567[[#This Row],[Aantal consumpties Kamertemp deze maand]]</f>
        <v>2537.9999999999991</v>
      </c>
      <c r="AY40" s="4">
        <f>Tabel242567[[#This Row],[Subtotaal waterbar in consumpties]]+Tabel242567[[#This Row],[Subtotaal koffieautomaten]]</f>
        <v>2537.9999999999991</v>
      </c>
    </row>
    <row r="41" spans="1:54" x14ac:dyDescent="0.25">
      <c r="A41" t="s">
        <v>41</v>
      </c>
      <c r="B41" t="s">
        <v>90</v>
      </c>
      <c r="C41" t="s">
        <v>31</v>
      </c>
      <c r="E41" s="25">
        <v>2652</v>
      </c>
      <c r="F41" s="25">
        <v>1949</v>
      </c>
      <c r="G41" s="12">
        <f>Tabel242567[[#This Row],[Stand Coffee einde maand]]-Tabel242567[[#This Row],[Coffee vorige maand]]</f>
        <v>703</v>
      </c>
      <c r="H41" s="25">
        <v>964</v>
      </c>
      <c r="I41">
        <v>786</v>
      </c>
      <c r="J41" s="12">
        <f>Tabel242567[[#This Row],[Stand Espresso Einde maand]]-Tabel242567[[#This Row],[Espresso vorige maand]]</f>
        <v>178</v>
      </c>
      <c r="K41" s="25">
        <v>353</v>
      </c>
      <c r="L41">
        <v>268</v>
      </c>
      <c r="M41">
        <f>Tabel242567[[#This Row],[Stand Latte Macchiato einde maand]]-Tabel242567[[#This Row],[Latte Macchiato vorige maand]]</f>
        <v>85</v>
      </c>
      <c r="N41" s="25">
        <v>395</v>
      </c>
      <c r="O41">
        <v>270</v>
      </c>
      <c r="P41">
        <f>Tabel242567[[#This Row],[Stand Coffee Latte einde maand]]-Tabel242567[[#This Row],[Coffee Latte vorige maand]]</f>
        <v>125</v>
      </c>
      <c r="Q41" s="25">
        <v>7723</v>
      </c>
      <c r="R41">
        <v>6233</v>
      </c>
      <c r="S41">
        <f>Tabel242567[[#This Row],[Stand Hot Water einde maand]]-Tabel242567[[#This Row],[Hot Water vorige maand]]</f>
        <v>1490</v>
      </c>
      <c r="T41" s="25">
        <v>1135</v>
      </c>
      <c r="U41">
        <v>903</v>
      </c>
      <c r="V41">
        <f>Tabel242567[[#This Row],[Stand Cappucino einde maand]]-Tabel242567[[#This Row],[Stand Cappucino vorige maand]]</f>
        <v>232</v>
      </c>
      <c r="W41" s="25">
        <v>153</v>
      </c>
      <c r="X41" s="25">
        <v>116</v>
      </c>
      <c r="Y41">
        <f>Tabel242567[[#This Row],[Stand Cappucino Plantaardig einde maand]]-Tabel242567[[#This Row],[Stand Cappucino Plantaardig vorige maand]]</f>
        <v>37</v>
      </c>
      <c r="Z41" s="25">
        <v>55</v>
      </c>
      <c r="AA41">
        <v>45</v>
      </c>
      <c r="AB41" s="12">
        <f>Tabel242567[[#This Row],[Stand Latte Macchiato Plantaardig einde maand]]-Tabel242567[[#This Row],[Stand Latte Macchiato Plantaardig vorige maand]]</f>
        <v>10</v>
      </c>
      <c r="AC41" s="3">
        <f>Tabel242567[[#This Row],[Verbruik Stand Latte Macchiato Plantaardig deze maand]]+Tabel242567[[#This Row],[Verbruik  Cappucino Plantaardig deze maand]]+Tabel242567[[#This Row],[Verbruik Cappucino deze maand]]+Tabel242567[[#This Row],[Verbruik Hot Water deze maand]]+Tabel242567[[#This Row],[Verbruik Coffee Latte deze maand]]+Tabel242567[[#This Row],[Verbruik Latte Macchiato deze maand]]+Tabel242567[[#This Row],[Verbruik Espresso deze maand]]+Tabel242567[[#This Row],[Verbruik Coffee deze maand]]</f>
        <v>2860</v>
      </c>
      <c r="AD41" s="26"/>
      <c r="AE41" s="5"/>
      <c r="AF41" s="5"/>
      <c r="AG41" s="5"/>
      <c r="AH41" s="26"/>
      <c r="AI41" s="5"/>
      <c r="AJ41" s="5"/>
      <c r="AK41" s="5"/>
      <c r="AL41" s="26"/>
      <c r="AM41" s="5"/>
      <c r="AN41" s="5"/>
      <c r="AO41" s="5"/>
      <c r="AP41" s="26"/>
      <c r="AQ41" s="5"/>
      <c r="AR41" s="5"/>
      <c r="AS41" s="5"/>
      <c r="AT41" s="26"/>
      <c r="AU41" s="5"/>
      <c r="AV41" s="5"/>
      <c r="AW41" s="16"/>
      <c r="AX41" s="6"/>
      <c r="AY41" s="4">
        <f>Tabel242567[[#This Row],[Subtotaal waterbar in consumpties]]+Tabel242567[[#This Row],[Subtotaal koffieautomaten]]</f>
        <v>2860</v>
      </c>
    </row>
    <row r="42" spans="1:54" x14ac:dyDescent="0.25">
      <c r="A42" t="s">
        <v>43</v>
      </c>
      <c r="B42" t="s">
        <v>91</v>
      </c>
      <c r="C42" t="s">
        <v>47</v>
      </c>
      <c r="E42" s="25">
        <v>3073</v>
      </c>
      <c r="F42" s="25">
        <v>2592</v>
      </c>
      <c r="G42" s="12">
        <f>Tabel242567[[#This Row],[Stand Coffee einde maand]]-Tabel242567[[#This Row],[Coffee vorige maand]]</f>
        <v>481</v>
      </c>
      <c r="H42" s="25">
        <v>929</v>
      </c>
      <c r="I42">
        <v>826</v>
      </c>
      <c r="J42" s="12">
        <f>Tabel242567[[#This Row],[Stand Espresso Einde maand]]-Tabel242567[[#This Row],[Espresso vorige maand]]</f>
        <v>103</v>
      </c>
      <c r="K42" s="25">
        <v>211</v>
      </c>
      <c r="L42">
        <v>194</v>
      </c>
      <c r="M42">
        <f>Tabel242567[[#This Row],[Stand Latte Macchiato einde maand]]-Tabel242567[[#This Row],[Latte Macchiato vorige maand]]</f>
        <v>17</v>
      </c>
      <c r="N42" s="25">
        <v>173</v>
      </c>
      <c r="O42">
        <v>153</v>
      </c>
      <c r="P42">
        <f>Tabel242567[[#This Row],[Stand Coffee Latte einde maand]]-Tabel242567[[#This Row],[Coffee Latte vorige maand]]</f>
        <v>20</v>
      </c>
      <c r="Q42" s="25">
        <v>237</v>
      </c>
      <c r="R42">
        <v>213</v>
      </c>
      <c r="S42">
        <f>Tabel242567[[#This Row],[Stand Hot Water einde maand]]-Tabel242567[[#This Row],[Hot Water vorige maand]]</f>
        <v>24</v>
      </c>
      <c r="T42" s="25">
        <v>1117</v>
      </c>
      <c r="U42">
        <v>907</v>
      </c>
      <c r="V42">
        <f>Tabel242567[[#This Row],[Stand Cappucino einde maand]]-Tabel242567[[#This Row],[Stand Cappucino vorige maand]]</f>
        <v>210</v>
      </c>
      <c r="W42" s="25">
        <v>1129</v>
      </c>
      <c r="X42" s="25">
        <v>963</v>
      </c>
      <c r="Y42">
        <f>Tabel242567[[#This Row],[Stand Cappucino Plantaardig einde maand]]-Tabel242567[[#This Row],[Stand Cappucino Plantaardig vorige maand]]</f>
        <v>166</v>
      </c>
      <c r="Z42" s="25">
        <v>106</v>
      </c>
      <c r="AA42">
        <v>91</v>
      </c>
      <c r="AB42" s="12">
        <f>Tabel242567[[#This Row],[Stand Latte Macchiato Plantaardig einde maand]]-Tabel242567[[#This Row],[Stand Latte Macchiato Plantaardig vorige maand]]</f>
        <v>15</v>
      </c>
      <c r="AC42" s="3">
        <f>Tabel242567[[#This Row],[Verbruik Stand Latte Macchiato Plantaardig deze maand]]+Tabel242567[[#This Row],[Verbruik  Cappucino Plantaardig deze maand]]+Tabel242567[[#This Row],[Verbruik Cappucino deze maand]]+Tabel242567[[#This Row],[Verbruik Hot Water deze maand]]+Tabel242567[[#This Row],[Verbruik Coffee Latte deze maand]]+Tabel242567[[#This Row],[Verbruik Latte Macchiato deze maand]]+Tabel242567[[#This Row],[Verbruik Espresso deze maand]]+Tabel242567[[#This Row],[Verbruik Coffee deze maand]]</f>
        <v>1036</v>
      </c>
      <c r="AD42" s="25">
        <v>43</v>
      </c>
      <c r="AE42">
        <v>35.799999999999997</v>
      </c>
      <c r="AF42">
        <f>Tabel242567[[#This Row],[Stand Kamertemp liter einde maand]]-Tabel242567[[#This Row],[Stand Kamertemp liter vorige maand]]</f>
        <v>7.2000000000000028</v>
      </c>
      <c r="AG42" s="2">
        <f>Tabel242567[[#This Row],[Verbruik Kamertemp liter deze maand]]/0.15</f>
        <v>48.000000000000021</v>
      </c>
      <c r="AH42" s="25">
        <v>593.1</v>
      </c>
      <c r="AI42">
        <v>457.9</v>
      </c>
      <c r="AJ42">
        <f>Tabel242567[[#This Row],[Stand Gekoeld liter einde maand]]-Tabel242567[[#This Row],[Stand Gekoeld liter vorige maand]]</f>
        <v>135.20000000000005</v>
      </c>
      <c r="AK42" s="2">
        <f>Tabel242567[[#This Row],[Verbruik Gekoeld liter deze maand]]/0.15</f>
        <v>901.33333333333371</v>
      </c>
      <c r="AL42" s="25">
        <v>809.8</v>
      </c>
      <c r="AM42">
        <v>629.4</v>
      </c>
      <c r="AN42">
        <f>Tabel242567[[#This Row],[Stand Bruisend liter einde maand]]-Tabel242567[[#This Row],[Stand Bruisend liter vorige maand]]</f>
        <v>180.39999999999998</v>
      </c>
      <c r="AO42" s="2">
        <f>Tabel242567[[#This Row],[Verbruik Bruisend liter deze maand]]/0.15</f>
        <v>1202.6666666666665</v>
      </c>
      <c r="AP42" s="25">
        <v>528.29999999999995</v>
      </c>
      <c r="AQ42">
        <v>471.7</v>
      </c>
      <c r="AR42">
        <f>Tabel242567[[#This Row],[Stand licht bruisend liter einde maand]]-Tabel242567[[#This Row],[Stand licht bruisend liter vorige maand]]</f>
        <v>56.599999999999966</v>
      </c>
      <c r="AS42" s="2">
        <f>Tabel242567[[#This Row],[Verbruik licht bruisend liter deze maand]]/0.15</f>
        <v>377.33333333333314</v>
      </c>
      <c r="AT42" s="25">
        <v>2672.2</v>
      </c>
      <c r="AU42">
        <v>2352.5</v>
      </c>
      <c r="AV42">
        <f>Tabel242567[[#This Row],[Stand heet water liter einde maand]]-Tabel242567[[#This Row],[Stand heet water liter vorige maand]]</f>
        <v>319.69999999999982</v>
      </c>
      <c r="AW42" s="20">
        <f>Tabel242567[[#This Row],[Verbruik heet Water liter deze maand ]]/0.15</f>
        <v>2131.3333333333321</v>
      </c>
      <c r="AX42" s="4">
        <f>Tabel242567[[#This Row],[Aantal consumpties heet water deze maand]]+Tabel242567[[#This Row],[Aantal consumpties licht bruisend water deze maand]]+Tabel242567[[#This Row],[aantal consumpties Bruisend water deze maand]]+Tabel242567[[#This Row],[Aantal consumpties gekoeld water deze maand]]+Tabel242567[[#This Row],[Aantal consumpties Kamertemp deze maand]]</f>
        <v>4660.6666666666652</v>
      </c>
      <c r="AY42" s="4">
        <f>Tabel242567[[#This Row],[Subtotaal waterbar in consumpties]]+Tabel242567[[#This Row],[Subtotaal koffieautomaten]]</f>
        <v>5696.6666666666652</v>
      </c>
    </row>
    <row r="43" spans="1:54" x14ac:dyDescent="0.25">
      <c r="A43" t="s">
        <v>45</v>
      </c>
      <c r="B43" t="s">
        <v>92</v>
      </c>
      <c r="C43" t="s">
        <v>36</v>
      </c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25">
        <v>42.5</v>
      </c>
      <c r="AE43">
        <v>36.4</v>
      </c>
      <c r="AF43">
        <f>Tabel242567[[#This Row],[Stand Kamertemp liter einde maand]]-Tabel242567[[#This Row],[Stand Kamertemp liter vorige maand]]</f>
        <v>6.1000000000000014</v>
      </c>
      <c r="AG43" s="2">
        <f>Tabel242567[[#This Row],[Verbruik Kamertemp liter deze maand]]/0.15</f>
        <v>40.666666666666679</v>
      </c>
      <c r="AH43" s="25">
        <v>325.10000000000002</v>
      </c>
      <c r="AI43">
        <v>253</v>
      </c>
      <c r="AJ43">
        <f>Tabel242567[[#This Row],[Stand Gekoeld liter einde maand]]-Tabel242567[[#This Row],[Stand Gekoeld liter vorige maand]]</f>
        <v>72.100000000000023</v>
      </c>
      <c r="AK43" s="2">
        <f>Tabel242567[[#This Row],[Verbruik Gekoeld liter deze maand]]/0.15</f>
        <v>480.66666666666686</v>
      </c>
      <c r="AL43" s="25">
        <v>271.10000000000002</v>
      </c>
      <c r="AM43">
        <v>212.9</v>
      </c>
      <c r="AN43">
        <f>Tabel242567[[#This Row],[Stand Bruisend liter einde maand]]-Tabel242567[[#This Row],[Stand Bruisend liter vorige maand]]</f>
        <v>58.200000000000017</v>
      </c>
      <c r="AO43" s="2">
        <f>Tabel242567[[#This Row],[Verbruik Bruisend liter deze maand]]/0.15</f>
        <v>388.00000000000011</v>
      </c>
      <c r="AP43" s="25">
        <v>77.900000000000006</v>
      </c>
      <c r="AQ43">
        <v>65.599999999999994</v>
      </c>
      <c r="AR43">
        <f>Tabel242567[[#This Row],[Stand licht bruisend liter einde maand]]-Tabel242567[[#This Row],[Stand licht bruisend liter vorige maand]]</f>
        <v>12.300000000000011</v>
      </c>
      <c r="AS43" s="2">
        <f>Tabel242567[[#This Row],[Verbruik licht bruisend liter deze maand]]/0.15</f>
        <v>82.000000000000085</v>
      </c>
      <c r="AT43" s="25">
        <v>1028.4000000000001</v>
      </c>
      <c r="AU43">
        <v>928.7</v>
      </c>
      <c r="AV43">
        <f>Tabel242567[[#This Row],[Stand heet water liter einde maand]]-Tabel242567[[#This Row],[Stand heet water liter vorige maand]]</f>
        <v>99.700000000000045</v>
      </c>
      <c r="AW43" s="20">
        <f>Tabel242567[[#This Row],[Verbruik heet Water liter deze maand ]]/0.15</f>
        <v>664.66666666666697</v>
      </c>
      <c r="AX43" s="4">
        <f>Tabel242567[[#This Row],[Aantal consumpties heet water deze maand]]+Tabel242567[[#This Row],[Aantal consumpties licht bruisend water deze maand]]+Tabel242567[[#This Row],[aantal consumpties Bruisend water deze maand]]+Tabel242567[[#This Row],[Aantal consumpties gekoeld water deze maand]]+Tabel242567[[#This Row],[Aantal consumpties Kamertemp deze maand]]</f>
        <v>1656.0000000000007</v>
      </c>
      <c r="AY43" s="4">
        <f>Tabel242567[[#This Row],[Subtotaal waterbar in consumpties]]+Tabel242567[[#This Row],[Subtotaal koffieautomaten]]</f>
        <v>1656.0000000000007</v>
      </c>
    </row>
    <row r="44" spans="1:54" x14ac:dyDescent="0.25">
      <c r="A44" t="s">
        <v>48</v>
      </c>
      <c r="B44" t="s">
        <v>158</v>
      </c>
      <c r="C44" t="s">
        <v>31</v>
      </c>
      <c r="E44" s="25">
        <v>3991</v>
      </c>
      <c r="F44" s="25">
        <v>3319</v>
      </c>
      <c r="G44" s="12">
        <f>Tabel242567[[#This Row],[Stand Coffee einde maand]]-Tabel242567[[#This Row],[Coffee vorige maand]]</f>
        <v>672</v>
      </c>
      <c r="H44" s="25">
        <v>1018</v>
      </c>
      <c r="I44">
        <v>813</v>
      </c>
      <c r="J44" s="12">
        <f>Tabel242567[[#This Row],[Stand Espresso Einde maand]]-Tabel242567[[#This Row],[Espresso vorige maand]]</f>
        <v>205</v>
      </c>
      <c r="K44" s="25">
        <v>516</v>
      </c>
      <c r="L44">
        <v>439</v>
      </c>
      <c r="M44">
        <f>Tabel242567[[#This Row],[Stand Latte Macchiato einde maand]]-Tabel242567[[#This Row],[Latte Macchiato vorige maand]]</f>
        <v>77</v>
      </c>
      <c r="N44" s="25">
        <v>137</v>
      </c>
      <c r="O44">
        <v>82</v>
      </c>
      <c r="P44">
        <f>Tabel242567[[#This Row],[Stand Coffee Latte einde maand]]-Tabel242567[[#This Row],[Coffee Latte vorige maand]]</f>
        <v>55</v>
      </c>
      <c r="Q44" s="25">
        <v>4401</v>
      </c>
      <c r="R44">
        <v>3763</v>
      </c>
      <c r="S44">
        <f>Tabel242567[[#This Row],[Stand Hot Water einde maand]]-Tabel242567[[#This Row],[Hot Water vorige maand]]</f>
        <v>638</v>
      </c>
      <c r="T44" s="25">
        <v>1637</v>
      </c>
      <c r="U44">
        <v>1302</v>
      </c>
      <c r="V44">
        <f>Tabel242567[[#This Row],[Stand Cappucino einde maand]]-Tabel242567[[#This Row],[Stand Cappucino vorige maand]]</f>
        <v>335</v>
      </c>
      <c r="W44" s="25">
        <v>311</v>
      </c>
      <c r="X44" s="25">
        <v>254</v>
      </c>
      <c r="Y44">
        <f>Tabel242567[[#This Row],[Stand Cappucino Plantaardig einde maand]]-Tabel242567[[#This Row],[Stand Cappucino Plantaardig vorige maand]]</f>
        <v>57</v>
      </c>
      <c r="Z44" s="25">
        <v>252</v>
      </c>
      <c r="AA44">
        <v>199</v>
      </c>
      <c r="AB44" s="12">
        <f>Tabel242567[[#This Row],[Stand Latte Macchiato Plantaardig einde maand]]-Tabel242567[[#This Row],[Stand Latte Macchiato Plantaardig vorige maand]]</f>
        <v>53</v>
      </c>
      <c r="AC44" s="3">
        <f>Tabel242567[[#This Row],[Verbruik Stand Latte Macchiato Plantaardig deze maand]]+Tabel242567[[#This Row],[Verbruik  Cappucino Plantaardig deze maand]]+Tabel242567[[#This Row],[Verbruik Cappucino deze maand]]+Tabel242567[[#This Row],[Verbruik Hot Water deze maand]]+Tabel242567[[#This Row],[Verbruik Coffee Latte deze maand]]+Tabel242567[[#This Row],[Verbruik Latte Macchiato deze maand]]+Tabel242567[[#This Row],[Verbruik Espresso deze maand]]+Tabel242567[[#This Row],[Verbruik Coffee deze maand]]</f>
        <v>2092</v>
      </c>
      <c r="AD44" s="26"/>
      <c r="AE44" s="5"/>
      <c r="AF44" s="5"/>
      <c r="AG44" s="7"/>
      <c r="AH44" s="26"/>
      <c r="AI44" s="5"/>
      <c r="AJ44" s="5"/>
      <c r="AK44" s="7"/>
      <c r="AL44" s="26"/>
      <c r="AM44" s="5"/>
      <c r="AN44" s="5"/>
      <c r="AO44" s="7"/>
      <c r="AP44" s="26"/>
      <c r="AQ44" s="5"/>
      <c r="AR44" s="5"/>
      <c r="AS44" s="7"/>
      <c r="AT44" s="26"/>
      <c r="AU44" s="5"/>
      <c r="AV44" s="5"/>
      <c r="AW44" s="21"/>
      <c r="AX44" s="4">
        <f>Tabel242567[[#This Row],[Aantal consumpties heet water deze maand]]+Tabel242567[[#This Row],[Aantal consumpties licht bruisend water deze maand]]+Tabel242567[[#This Row],[aantal consumpties Bruisend water deze maand]]+Tabel242567[[#This Row],[Aantal consumpties gekoeld water deze maand]]+Tabel242567[[#This Row],[Aantal consumpties Kamertemp deze maand]]</f>
        <v>0</v>
      </c>
      <c r="AY44" s="4">
        <f>Tabel242567[[#This Row],[Subtotaal waterbar in consumpties]]+Tabel242567[[#This Row],[Subtotaal koffieautomaten]]</f>
        <v>2092</v>
      </c>
    </row>
    <row r="45" spans="1:54" x14ac:dyDescent="0.25">
      <c r="A45" t="s">
        <v>50</v>
      </c>
      <c r="B45" t="s">
        <v>93</v>
      </c>
      <c r="C45" t="s">
        <v>36</v>
      </c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25">
        <v>47.1</v>
      </c>
      <c r="AE45">
        <v>40.5</v>
      </c>
      <c r="AF45">
        <f>Tabel242567[[#This Row],[Stand Kamertemp liter einde maand]]-Tabel242567[[#This Row],[Stand Kamertemp liter vorige maand]]</f>
        <v>6.6000000000000014</v>
      </c>
      <c r="AG45" s="2">
        <f>Tabel242567[[#This Row],[Verbruik Kamertemp liter deze maand]]/0.15</f>
        <v>44.000000000000014</v>
      </c>
      <c r="AH45" s="25">
        <v>359.8</v>
      </c>
      <c r="AI45">
        <v>258.39999999999998</v>
      </c>
      <c r="AJ45">
        <f>Tabel242567[[#This Row],[Stand Gekoeld liter einde maand]]-Tabel242567[[#This Row],[Stand Gekoeld liter vorige maand]]</f>
        <v>101.40000000000003</v>
      </c>
      <c r="AK45" s="2">
        <f>Tabel242567[[#This Row],[Verbruik Gekoeld liter deze maand]]/0.15</f>
        <v>676.00000000000023</v>
      </c>
      <c r="AL45" s="25">
        <v>310.7</v>
      </c>
      <c r="AM45">
        <v>238.3</v>
      </c>
      <c r="AN45">
        <f>Tabel242567[[#This Row],[Stand Bruisend liter einde maand]]-Tabel242567[[#This Row],[Stand Bruisend liter vorige maand]]</f>
        <v>72.399999999999977</v>
      </c>
      <c r="AO45" s="2">
        <f>Tabel242567[[#This Row],[Verbruik Bruisend liter deze maand]]/0.15</f>
        <v>482.66666666666652</v>
      </c>
      <c r="AP45" s="25">
        <v>150.1</v>
      </c>
      <c r="AQ45">
        <v>118.9</v>
      </c>
      <c r="AR45">
        <f>Tabel242567[[#This Row],[Stand licht bruisend liter einde maand]]-Tabel242567[[#This Row],[Stand licht bruisend liter vorige maand]]</f>
        <v>31.199999999999989</v>
      </c>
      <c r="AS45" s="2">
        <f>Tabel242567[[#This Row],[Verbruik licht bruisend liter deze maand]]/0.15</f>
        <v>207.99999999999994</v>
      </c>
      <c r="AT45" s="25">
        <v>1171</v>
      </c>
      <c r="AU45">
        <v>1016.3</v>
      </c>
      <c r="AV45">
        <f>Tabel242567[[#This Row],[Stand heet water liter einde maand]]-Tabel242567[[#This Row],[Stand heet water liter vorige maand]]</f>
        <v>154.70000000000005</v>
      </c>
      <c r="AW45" s="20">
        <f>Tabel242567[[#This Row],[Verbruik heet Water liter deze maand ]]/0.15</f>
        <v>1031.3333333333337</v>
      </c>
      <c r="AX45" s="4">
        <f>Tabel242567[[#This Row],[Aantal consumpties heet water deze maand]]+Tabel242567[[#This Row],[Aantal consumpties licht bruisend water deze maand]]+Tabel242567[[#This Row],[aantal consumpties Bruisend water deze maand]]+Tabel242567[[#This Row],[Aantal consumpties gekoeld water deze maand]]+Tabel242567[[#This Row],[Aantal consumpties Kamertemp deze maand]]</f>
        <v>2442.0000000000005</v>
      </c>
      <c r="AY45" s="4">
        <f>Tabel242567[[#This Row],[Subtotaal waterbar in consumpties]]+Tabel242567[[#This Row],[Subtotaal koffieautomaten]]</f>
        <v>2442.0000000000005</v>
      </c>
    </row>
    <row r="46" spans="1:54" x14ac:dyDescent="0.25">
      <c r="A46" t="s">
        <v>52</v>
      </c>
      <c r="B46" t="s">
        <v>94</v>
      </c>
      <c r="C46" t="s">
        <v>31</v>
      </c>
      <c r="E46" s="25">
        <v>1947</v>
      </c>
      <c r="F46" s="25">
        <v>1587</v>
      </c>
      <c r="G46" s="12">
        <f>Tabel242567[[#This Row],[Stand Coffee einde maand]]-Tabel242567[[#This Row],[Coffee vorige maand]]</f>
        <v>360</v>
      </c>
      <c r="H46" s="25">
        <v>1137</v>
      </c>
      <c r="I46">
        <v>1003</v>
      </c>
      <c r="J46" s="12">
        <f>Tabel242567[[#This Row],[Stand Espresso Einde maand]]-Tabel242567[[#This Row],[Espresso vorige maand]]</f>
        <v>134</v>
      </c>
      <c r="K46" s="25">
        <v>288</v>
      </c>
      <c r="L46">
        <v>240</v>
      </c>
      <c r="M46">
        <f>Tabel242567[[#This Row],[Stand Latte Macchiato einde maand]]-Tabel242567[[#This Row],[Latte Macchiato vorige maand]]</f>
        <v>48</v>
      </c>
      <c r="N46" s="25">
        <v>190</v>
      </c>
      <c r="O46">
        <v>157</v>
      </c>
      <c r="P46">
        <f>Tabel242567[[#This Row],[Stand Coffee Latte einde maand]]-Tabel242567[[#This Row],[Coffee Latte vorige maand]]</f>
        <v>33</v>
      </c>
      <c r="Q46" s="25">
        <v>3841</v>
      </c>
      <c r="R46">
        <v>3331</v>
      </c>
      <c r="S46">
        <f>Tabel242567[[#This Row],[Stand Hot Water einde maand]]-Tabel242567[[#This Row],[Hot Water vorige maand]]</f>
        <v>510</v>
      </c>
      <c r="T46" s="25">
        <v>1810</v>
      </c>
      <c r="U46">
        <v>1477</v>
      </c>
      <c r="V46">
        <f>Tabel242567[[#This Row],[Stand Cappucino einde maand]]-Tabel242567[[#This Row],[Stand Cappucino vorige maand]]</f>
        <v>333</v>
      </c>
      <c r="W46" s="25">
        <v>221</v>
      </c>
      <c r="X46" s="25">
        <v>167</v>
      </c>
      <c r="Y46">
        <f>Tabel242567[[#This Row],[Stand Cappucino Plantaardig einde maand]]-Tabel242567[[#This Row],[Stand Cappucino Plantaardig vorige maand]]</f>
        <v>54</v>
      </c>
      <c r="Z46" s="25">
        <v>44</v>
      </c>
      <c r="AA46">
        <v>38</v>
      </c>
      <c r="AB46" s="12">
        <f>Tabel242567[[#This Row],[Stand Latte Macchiato Plantaardig einde maand]]-Tabel242567[[#This Row],[Stand Latte Macchiato Plantaardig vorige maand]]</f>
        <v>6</v>
      </c>
      <c r="AC46" s="3">
        <f>Tabel242567[[#This Row],[Verbruik Stand Latte Macchiato Plantaardig deze maand]]+Tabel242567[[#This Row],[Verbruik  Cappucino Plantaardig deze maand]]+Tabel242567[[#This Row],[Verbruik Cappucino deze maand]]+Tabel242567[[#This Row],[Verbruik Hot Water deze maand]]+Tabel242567[[#This Row],[Verbruik Coffee Latte deze maand]]+Tabel242567[[#This Row],[Verbruik Latte Macchiato deze maand]]+Tabel242567[[#This Row],[Verbruik Espresso deze maand]]+Tabel242567[[#This Row],[Verbruik Coffee deze maand]]</f>
        <v>1478</v>
      </c>
      <c r="AD46" s="26"/>
      <c r="AE46" s="5"/>
      <c r="AF46" s="5"/>
      <c r="AG46" s="7"/>
      <c r="AH46" s="26"/>
      <c r="AI46" s="5"/>
      <c r="AJ46" s="5"/>
      <c r="AK46" s="7"/>
      <c r="AL46" s="26"/>
      <c r="AM46" s="5"/>
      <c r="AN46" s="5"/>
      <c r="AO46" s="7"/>
      <c r="AP46" s="26"/>
      <c r="AQ46" s="5"/>
      <c r="AR46" s="5"/>
      <c r="AS46" s="7"/>
      <c r="AT46" s="26"/>
      <c r="AU46" s="5"/>
      <c r="AV46" s="5"/>
      <c r="AW46" s="21"/>
      <c r="AX46" s="8">
        <f>Tabel242567[[#This Row],[Aantal consumpties heet water deze maand]]+Tabel242567[[#This Row],[Aantal consumpties licht bruisend water deze maand]]+Tabel242567[[#This Row],[aantal consumpties Bruisend water deze maand]]+Tabel242567[[#This Row],[Aantal consumpties gekoeld water deze maand]]+Tabel242567[[#This Row],[Aantal consumpties Kamertemp deze maand]]</f>
        <v>0</v>
      </c>
      <c r="AY46" s="4">
        <f>Tabel242567[[#This Row],[Subtotaal waterbar in consumpties]]+Tabel242567[[#This Row],[Subtotaal koffieautomaten]]</f>
        <v>1478</v>
      </c>
    </row>
    <row r="47" spans="1:54" x14ac:dyDescent="0.25">
      <c r="A47" t="s">
        <v>54</v>
      </c>
      <c r="B47" t="s">
        <v>95</v>
      </c>
      <c r="C47" t="s">
        <v>47</v>
      </c>
      <c r="E47" s="25">
        <v>2813</v>
      </c>
      <c r="F47" s="25">
        <v>2411</v>
      </c>
      <c r="G47" s="12">
        <f>Tabel242567[[#This Row],[Stand Coffee einde maand]]-Tabel242567[[#This Row],[Coffee vorige maand]]</f>
        <v>402</v>
      </c>
      <c r="H47" s="25">
        <v>798</v>
      </c>
      <c r="I47">
        <v>617</v>
      </c>
      <c r="J47" s="12">
        <f>Tabel242567[[#This Row],[Stand Espresso Einde maand]]-Tabel242567[[#This Row],[Espresso vorige maand]]</f>
        <v>181</v>
      </c>
      <c r="K47" s="25">
        <v>288</v>
      </c>
      <c r="L47">
        <v>256</v>
      </c>
      <c r="M47">
        <f>Tabel242567[[#This Row],[Stand Latte Macchiato einde maand]]-Tabel242567[[#This Row],[Latte Macchiato vorige maand]]</f>
        <v>32</v>
      </c>
      <c r="N47" s="25">
        <v>177</v>
      </c>
      <c r="O47">
        <v>155</v>
      </c>
      <c r="P47">
        <f>Tabel242567[[#This Row],[Stand Coffee Latte einde maand]]-Tabel242567[[#This Row],[Coffee Latte vorige maand]]</f>
        <v>22</v>
      </c>
      <c r="Q47" s="25">
        <v>0</v>
      </c>
      <c r="R47">
        <v>0</v>
      </c>
      <c r="S47">
        <f>Tabel242567[[#This Row],[Stand Hot Water einde maand]]-Tabel242567[[#This Row],[Hot Water vorige maand]]</f>
        <v>0</v>
      </c>
      <c r="T47" s="25">
        <v>1281</v>
      </c>
      <c r="U47">
        <v>1088</v>
      </c>
      <c r="V47">
        <f>Tabel242567[[#This Row],[Stand Cappucino einde maand]]-Tabel242567[[#This Row],[Stand Cappucino vorige maand]]</f>
        <v>193</v>
      </c>
      <c r="W47" s="25">
        <v>454</v>
      </c>
      <c r="X47" s="25">
        <v>400</v>
      </c>
      <c r="Y47">
        <f>Tabel242567[[#This Row],[Stand Cappucino Plantaardig einde maand]]-Tabel242567[[#This Row],[Stand Cappucino Plantaardig vorige maand]]</f>
        <v>54</v>
      </c>
      <c r="Z47" s="25">
        <v>268</v>
      </c>
      <c r="AA47">
        <v>237</v>
      </c>
      <c r="AB47" s="12">
        <f>Tabel242567[[#This Row],[Stand Latte Macchiato Plantaardig einde maand]]-Tabel242567[[#This Row],[Stand Latte Macchiato Plantaardig vorige maand]]</f>
        <v>31</v>
      </c>
      <c r="AC47" s="3">
        <f>Tabel242567[[#This Row],[Verbruik Stand Latte Macchiato Plantaardig deze maand]]+Tabel242567[[#This Row],[Verbruik  Cappucino Plantaardig deze maand]]+Tabel242567[[#This Row],[Verbruik Cappucino deze maand]]+Tabel242567[[#This Row],[Verbruik Hot Water deze maand]]+Tabel242567[[#This Row],[Verbruik Coffee Latte deze maand]]+Tabel242567[[#This Row],[Verbruik Latte Macchiato deze maand]]+Tabel242567[[#This Row],[Verbruik Espresso deze maand]]+Tabel242567[[#This Row],[Verbruik Coffee deze maand]]</f>
        <v>915</v>
      </c>
      <c r="AD47" s="25">
        <v>104.4</v>
      </c>
      <c r="AE47">
        <v>94.2</v>
      </c>
      <c r="AF47">
        <f>Tabel242567[[#This Row],[Stand Kamertemp liter einde maand]]-Tabel242567[[#This Row],[Stand Kamertemp liter vorige maand]]</f>
        <v>10.200000000000003</v>
      </c>
      <c r="AG47" s="2">
        <f>Tabel242567[[#This Row],[Verbruik Kamertemp liter deze maand]]/0.15</f>
        <v>68.000000000000028</v>
      </c>
      <c r="AH47" s="25">
        <v>449.5</v>
      </c>
      <c r="AI47">
        <v>345.7</v>
      </c>
      <c r="AJ47">
        <f>Tabel242567[[#This Row],[Stand Gekoeld liter einde maand]]-Tabel242567[[#This Row],[Stand Gekoeld liter vorige maand]]</f>
        <v>103.80000000000001</v>
      </c>
      <c r="AK47" s="2">
        <f>Tabel242567[[#This Row],[Verbruik Gekoeld liter deze maand]]/0.15</f>
        <v>692.00000000000011</v>
      </c>
      <c r="AL47" s="25">
        <v>373</v>
      </c>
      <c r="AM47">
        <v>296</v>
      </c>
      <c r="AN47">
        <f>Tabel242567[[#This Row],[Stand Bruisend liter einde maand]]-Tabel242567[[#This Row],[Stand Bruisend liter vorige maand]]</f>
        <v>77</v>
      </c>
      <c r="AO47" s="2">
        <f>Tabel242567[[#This Row],[Verbruik Bruisend liter deze maand]]/0.15</f>
        <v>513.33333333333337</v>
      </c>
      <c r="AP47" s="25">
        <v>159.1</v>
      </c>
      <c r="AQ47">
        <v>124.3</v>
      </c>
      <c r="AR47">
        <f>Tabel242567[[#This Row],[Stand licht bruisend liter einde maand]]-Tabel242567[[#This Row],[Stand licht bruisend liter vorige maand]]</f>
        <v>34.799999999999997</v>
      </c>
      <c r="AS47" s="2">
        <f>Tabel242567[[#This Row],[Verbruik licht bruisend liter deze maand]]/0.15</f>
        <v>232</v>
      </c>
      <c r="AT47" s="25">
        <v>1363.4</v>
      </c>
      <c r="AU47">
        <v>1206.4000000000001</v>
      </c>
      <c r="AV47">
        <f>Tabel242567[[#This Row],[Stand heet water liter einde maand]]-Tabel242567[[#This Row],[Stand heet water liter vorige maand]]</f>
        <v>157</v>
      </c>
      <c r="AW47" s="20">
        <f>Tabel242567[[#This Row],[Verbruik heet Water liter deze maand ]]/0.15</f>
        <v>1046.6666666666667</v>
      </c>
      <c r="AX47" s="4">
        <f>Tabel242567[[#This Row],[Aantal consumpties heet water deze maand]]+Tabel242567[[#This Row],[Aantal consumpties licht bruisend water deze maand]]+Tabel242567[[#This Row],[aantal consumpties Bruisend water deze maand]]+Tabel242567[[#This Row],[Aantal consumpties gekoeld water deze maand]]+Tabel242567[[#This Row],[Aantal consumpties Kamertemp deze maand]]</f>
        <v>2552</v>
      </c>
      <c r="AY47" s="4">
        <f>Tabel242567[[#This Row],[Subtotaal waterbar in consumpties]]+Tabel242567[[#This Row],[Subtotaal koffieautomaten]]</f>
        <v>3467</v>
      </c>
    </row>
    <row r="48" spans="1:54" x14ac:dyDescent="0.25">
      <c r="A48" t="s">
        <v>56</v>
      </c>
      <c r="B48" t="s">
        <v>96</v>
      </c>
      <c r="C48" t="s">
        <v>36</v>
      </c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25">
        <v>103.2</v>
      </c>
      <c r="AE48">
        <v>76</v>
      </c>
      <c r="AF48">
        <f>Tabel242567[[#This Row],[Stand Kamertemp liter einde maand]]-Tabel242567[[#This Row],[Stand Kamertemp liter vorige maand]]</f>
        <v>27.200000000000003</v>
      </c>
      <c r="AG48" s="2">
        <f>Tabel242567[[#This Row],[Verbruik Kamertemp liter deze maand]]/0.15</f>
        <v>181.33333333333337</v>
      </c>
      <c r="AH48" s="25">
        <v>621.9</v>
      </c>
      <c r="AI48">
        <v>451.7</v>
      </c>
      <c r="AJ48">
        <f>Tabel242567[[#This Row],[Stand Gekoeld liter einde maand]]-Tabel242567[[#This Row],[Stand Gekoeld liter vorige maand]]</f>
        <v>170.2</v>
      </c>
      <c r="AK48" s="2">
        <f>Tabel242567[[#This Row],[Verbruik Gekoeld liter deze maand]]/0.15</f>
        <v>1134.6666666666667</v>
      </c>
      <c r="AL48" s="25">
        <v>294.5</v>
      </c>
      <c r="AM48">
        <v>239.2</v>
      </c>
      <c r="AN48">
        <f>Tabel242567[[#This Row],[Stand Bruisend liter einde maand]]-Tabel242567[[#This Row],[Stand Bruisend liter vorige maand]]</f>
        <v>55.300000000000011</v>
      </c>
      <c r="AO48" s="2">
        <f>Tabel242567[[#This Row],[Verbruik Bruisend liter deze maand]]/0.15</f>
        <v>368.66666666666674</v>
      </c>
      <c r="AP48" s="25">
        <v>228.5</v>
      </c>
      <c r="AQ48">
        <v>198.4</v>
      </c>
      <c r="AR48">
        <f>Tabel242567[[#This Row],[Stand licht bruisend liter einde maand]]-Tabel242567[[#This Row],[Stand licht bruisend liter vorige maand]]</f>
        <v>30.099999999999994</v>
      </c>
      <c r="AS48" s="2">
        <f>Tabel242567[[#This Row],[Verbruik licht bruisend liter deze maand]]/0.15</f>
        <v>200.66666666666663</v>
      </c>
      <c r="AT48" s="25">
        <v>2174.9</v>
      </c>
      <c r="AU48">
        <v>1946</v>
      </c>
      <c r="AV48">
        <f>Tabel242567[[#This Row],[Stand heet water liter einde maand]]-Tabel242567[[#This Row],[Stand heet water liter vorige maand]]</f>
        <v>228.90000000000009</v>
      </c>
      <c r="AW48" s="20">
        <f>Tabel242567[[#This Row],[Verbruik heet Water liter deze maand ]]/0.15</f>
        <v>1526.0000000000007</v>
      </c>
      <c r="AX48" s="4">
        <f>Tabel242567[[#This Row],[Aantal consumpties heet water deze maand]]+Tabel242567[[#This Row],[Aantal consumpties licht bruisend water deze maand]]+Tabel242567[[#This Row],[aantal consumpties Bruisend water deze maand]]+Tabel242567[[#This Row],[Aantal consumpties gekoeld water deze maand]]+Tabel242567[[#This Row],[Aantal consumpties Kamertemp deze maand]]</f>
        <v>3411.3333333333344</v>
      </c>
      <c r="AY48" s="4">
        <f>Tabel242567[[#This Row],[Subtotaal waterbar in consumpties]]+Tabel242567[[#This Row],[Subtotaal koffieautomaten]]</f>
        <v>3411.3333333333344</v>
      </c>
    </row>
    <row r="49" spans="1:51" x14ac:dyDescent="0.25">
      <c r="A49" t="s">
        <v>58</v>
      </c>
      <c r="B49" t="s">
        <v>97</v>
      </c>
      <c r="C49" t="s">
        <v>31</v>
      </c>
      <c r="E49" s="25">
        <v>2624</v>
      </c>
      <c r="F49" s="25">
        <v>2235</v>
      </c>
      <c r="G49" s="12">
        <f>Tabel242567[[#This Row],[Stand Coffee einde maand]]-Tabel242567[[#This Row],[Coffee vorige maand]]</f>
        <v>389</v>
      </c>
      <c r="H49" s="25">
        <v>647</v>
      </c>
      <c r="I49">
        <v>466</v>
      </c>
      <c r="J49" s="12">
        <f>Tabel242567[[#This Row],[Stand Espresso Einde maand]]-Tabel242567[[#This Row],[Espresso vorige maand]]</f>
        <v>181</v>
      </c>
      <c r="K49" s="25">
        <v>291</v>
      </c>
      <c r="L49">
        <v>210</v>
      </c>
      <c r="M49">
        <f>Tabel242567[[#This Row],[Stand Latte Macchiato einde maand]]-Tabel242567[[#This Row],[Latte Macchiato vorige maand]]</f>
        <v>81</v>
      </c>
      <c r="N49" s="25">
        <v>328</v>
      </c>
      <c r="O49">
        <v>255</v>
      </c>
      <c r="P49">
        <f>Tabel242567[[#This Row],[Stand Coffee Latte einde maand]]-Tabel242567[[#This Row],[Coffee Latte vorige maand]]</f>
        <v>73</v>
      </c>
      <c r="Q49" s="25">
        <v>2753</v>
      </c>
      <c r="R49">
        <v>2399</v>
      </c>
      <c r="S49">
        <f>Tabel242567[[#This Row],[Stand Hot Water einde maand]]-Tabel242567[[#This Row],[Hot Water vorige maand]]</f>
        <v>354</v>
      </c>
      <c r="T49" s="25">
        <v>1548</v>
      </c>
      <c r="U49">
        <v>1262</v>
      </c>
      <c r="V49">
        <f>Tabel242567[[#This Row],[Stand Cappucino einde maand]]-Tabel242567[[#This Row],[Stand Cappucino vorige maand]]</f>
        <v>286</v>
      </c>
      <c r="W49" s="25">
        <v>570</v>
      </c>
      <c r="X49" s="25">
        <v>519</v>
      </c>
      <c r="Y49">
        <f>Tabel242567[[#This Row],[Stand Cappucino Plantaardig einde maand]]-Tabel242567[[#This Row],[Stand Cappucino Plantaardig vorige maand]]</f>
        <v>51</v>
      </c>
      <c r="Z49" s="25">
        <v>113</v>
      </c>
      <c r="AA49">
        <v>109</v>
      </c>
      <c r="AB49" s="12">
        <f>Tabel242567[[#This Row],[Stand Latte Macchiato Plantaardig einde maand]]-Tabel242567[[#This Row],[Stand Latte Macchiato Plantaardig vorige maand]]</f>
        <v>4</v>
      </c>
      <c r="AC49" s="3">
        <f>Tabel242567[[#This Row],[Verbruik Stand Latte Macchiato Plantaardig deze maand]]+Tabel242567[[#This Row],[Verbruik  Cappucino Plantaardig deze maand]]+Tabel242567[[#This Row],[Verbruik Cappucino deze maand]]+Tabel242567[[#This Row],[Verbruik Hot Water deze maand]]+Tabel242567[[#This Row],[Verbruik Coffee Latte deze maand]]+Tabel242567[[#This Row],[Verbruik Latte Macchiato deze maand]]+Tabel242567[[#This Row],[Verbruik Espresso deze maand]]+Tabel242567[[#This Row],[Verbruik Coffee deze maand]]</f>
        <v>1419</v>
      </c>
      <c r="AD49" s="26"/>
      <c r="AE49" s="5"/>
      <c r="AF49" s="5"/>
      <c r="AG49" s="7"/>
      <c r="AH49" s="26"/>
      <c r="AI49" s="5"/>
      <c r="AJ49" s="5"/>
      <c r="AK49" s="7"/>
      <c r="AL49" s="26"/>
      <c r="AM49" s="5"/>
      <c r="AN49" s="5"/>
      <c r="AO49" s="7"/>
      <c r="AP49" s="26"/>
      <c r="AQ49" s="5"/>
      <c r="AR49" s="5"/>
      <c r="AS49" s="7"/>
      <c r="AT49" s="26"/>
      <c r="AU49" s="5"/>
      <c r="AV49" s="5"/>
      <c r="AW49" s="21"/>
      <c r="AX49" s="8">
        <f>Tabel242567[[#This Row],[Aantal consumpties heet water deze maand]]+Tabel242567[[#This Row],[Aantal consumpties licht bruisend water deze maand]]+Tabel242567[[#This Row],[aantal consumpties Bruisend water deze maand]]+Tabel242567[[#This Row],[Aantal consumpties gekoeld water deze maand]]+Tabel242567[[#This Row],[Aantal consumpties Kamertemp deze maand]]</f>
        <v>0</v>
      </c>
      <c r="AY49" s="4">
        <f>Tabel242567[[#This Row],[Subtotaal waterbar in consumpties]]+Tabel242567[[#This Row],[Subtotaal koffieautomaten]]</f>
        <v>1419</v>
      </c>
    </row>
    <row r="50" spans="1:51" x14ac:dyDescent="0.25">
      <c r="A50" t="s">
        <v>60</v>
      </c>
      <c r="B50" t="s">
        <v>98</v>
      </c>
      <c r="C50" t="s">
        <v>47</v>
      </c>
      <c r="E50" s="25">
        <v>1296</v>
      </c>
      <c r="F50" s="25">
        <v>1090</v>
      </c>
      <c r="G50" s="12">
        <f>Tabel242567[[#This Row],[Stand Coffee einde maand]]-Tabel242567[[#This Row],[Coffee vorige maand]]</f>
        <v>206</v>
      </c>
      <c r="H50" s="25">
        <v>379</v>
      </c>
      <c r="I50">
        <v>347</v>
      </c>
      <c r="J50" s="12">
        <f>Tabel242567[[#This Row],[Stand Espresso Einde maand]]-Tabel242567[[#This Row],[Espresso vorige maand]]</f>
        <v>32</v>
      </c>
      <c r="K50" s="25">
        <v>277</v>
      </c>
      <c r="L50">
        <v>245</v>
      </c>
      <c r="M50">
        <f>Tabel242567[[#This Row],[Stand Latte Macchiato einde maand]]-Tabel242567[[#This Row],[Latte Macchiato vorige maand]]</f>
        <v>32</v>
      </c>
      <c r="N50" s="25">
        <v>137</v>
      </c>
      <c r="O50">
        <v>121</v>
      </c>
      <c r="P50">
        <f>Tabel242567[[#This Row],[Stand Coffee Latte einde maand]]-Tabel242567[[#This Row],[Coffee Latte vorige maand]]</f>
        <v>16</v>
      </c>
      <c r="Q50" s="25">
        <v>1</v>
      </c>
      <c r="R50">
        <v>1</v>
      </c>
      <c r="S50">
        <f>Tabel242567[[#This Row],[Stand Hot Water einde maand]]-Tabel242567[[#This Row],[Hot Water vorige maand]]</f>
        <v>0</v>
      </c>
      <c r="T50" s="25">
        <v>830</v>
      </c>
      <c r="U50">
        <v>664</v>
      </c>
      <c r="V50">
        <f>Tabel242567[[#This Row],[Stand Cappucino einde maand]]-Tabel242567[[#This Row],[Stand Cappucino vorige maand]]</f>
        <v>166</v>
      </c>
      <c r="W50" s="25">
        <v>228</v>
      </c>
      <c r="X50" s="25">
        <v>206</v>
      </c>
      <c r="Y50">
        <f>Tabel242567[[#This Row],[Stand Cappucino Plantaardig einde maand]]-Tabel242567[[#This Row],[Stand Cappucino Plantaardig vorige maand]]</f>
        <v>22</v>
      </c>
      <c r="Z50" s="25">
        <v>70</v>
      </c>
      <c r="AA50">
        <v>60</v>
      </c>
      <c r="AB50" s="12">
        <f>Tabel242567[[#This Row],[Stand Latte Macchiato Plantaardig einde maand]]-Tabel242567[[#This Row],[Stand Latte Macchiato Plantaardig vorige maand]]</f>
        <v>10</v>
      </c>
      <c r="AC50" s="3">
        <f>Tabel242567[[#This Row],[Verbruik Stand Latte Macchiato Plantaardig deze maand]]+Tabel242567[[#This Row],[Verbruik  Cappucino Plantaardig deze maand]]+Tabel242567[[#This Row],[Verbruik Cappucino deze maand]]+Tabel242567[[#This Row],[Verbruik Hot Water deze maand]]+Tabel242567[[#This Row],[Verbruik Coffee Latte deze maand]]+Tabel242567[[#This Row],[Verbruik Latte Macchiato deze maand]]+Tabel242567[[#This Row],[Verbruik Espresso deze maand]]+Tabel242567[[#This Row],[Verbruik Coffee deze maand]]</f>
        <v>484</v>
      </c>
      <c r="AD50" s="25">
        <v>84.8</v>
      </c>
      <c r="AE50">
        <v>69.2</v>
      </c>
      <c r="AF50">
        <f>Tabel242567[[#This Row],[Stand Kamertemp liter einde maand]]-Tabel242567[[#This Row],[Stand Kamertemp liter vorige maand]]</f>
        <v>15.599999999999994</v>
      </c>
      <c r="AG50" s="2">
        <f>Tabel242567[[#This Row],[Verbruik Kamertemp liter deze maand]]/0.15</f>
        <v>103.99999999999997</v>
      </c>
      <c r="AH50" s="25">
        <v>401.6</v>
      </c>
      <c r="AI50">
        <v>304</v>
      </c>
      <c r="AJ50">
        <f>Tabel242567[[#This Row],[Stand Gekoeld liter einde maand]]-Tabel242567[[#This Row],[Stand Gekoeld liter vorige maand]]</f>
        <v>97.600000000000023</v>
      </c>
      <c r="AK50" s="2">
        <f>Tabel242567[[#This Row],[Verbruik Gekoeld liter deze maand]]/0.15</f>
        <v>650.66666666666686</v>
      </c>
      <c r="AL50" s="25">
        <v>235.2</v>
      </c>
      <c r="AM50">
        <v>184</v>
      </c>
      <c r="AN50">
        <f>Tabel242567[[#This Row],[Stand Bruisend liter einde maand]]-Tabel242567[[#This Row],[Stand Bruisend liter vorige maand]]</f>
        <v>51.199999999999989</v>
      </c>
      <c r="AO50" s="2">
        <f>Tabel242567[[#This Row],[Verbruik Bruisend liter deze maand]]/0.15</f>
        <v>341.33333333333326</v>
      </c>
      <c r="AP50" s="25">
        <v>87.5</v>
      </c>
      <c r="AQ50">
        <v>67.8</v>
      </c>
      <c r="AR50">
        <f>Tabel242567[[#This Row],[Stand licht bruisend liter einde maand]]-Tabel242567[[#This Row],[Stand licht bruisend liter vorige maand]]</f>
        <v>19.700000000000003</v>
      </c>
      <c r="AS50" s="2">
        <f>Tabel242567[[#This Row],[Verbruik licht bruisend liter deze maand]]/0.15</f>
        <v>131.33333333333337</v>
      </c>
      <c r="AT50" s="25">
        <v>1230.0999999999999</v>
      </c>
      <c r="AU50">
        <v>1101.5999999999999</v>
      </c>
      <c r="AV50">
        <f>Tabel242567[[#This Row],[Stand heet water liter einde maand]]-Tabel242567[[#This Row],[Stand heet water liter vorige maand]]</f>
        <v>128.5</v>
      </c>
      <c r="AW50" s="20">
        <f>Tabel242567[[#This Row],[Verbruik heet Water liter deze maand ]]/0.15</f>
        <v>856.66666666666674</v>
      </c>
      <c r="AX50" s="4">
        <f>Tabel242567[[#This Row],[Aantal consumpties heet water deze maand]]+Tabel242567[[#This Row],[Aantal consumpties licht bruisend water deze maand]]+Tabel242567[[#This Row],[aantal consumpties Bruisend water deze maand]]+Tabel242567[[#This Row],[Aantal consumpties gekoeld water deze maand]]+Tabel242567[[#This Row],[Aantal consumpties Kamertemp deze maand]]</f>
        <v>2084.0000000000005</v>
      </c>
      <c r="AY50" s="4">
        <f>Tabel242567[[#This Row],[Subtotaal waterbar in consumpties]]+Tabel242567[[#This Row],[Subtotaal koffieautomaten]]</f>
        <v>2568.0000000000005</v>
      </c>
    </row>
    <row r="51" spans="1:51" x14ac:dyDescent="0.25">
      <c r="A51" s="3" t="s">
        <v>99</v>
      </c>
      <c r="E51" s="25"/>
      <c r="F51" s="25"/>
      <c r="H51" s="25"/>
      <c r="J51" s="12"/>
      <c r="K51" s="25"/>
      <c r="N51" s="25"/>
      <c r="Q51" s="25"/>
      <c r="T51" s="25"/>
      <c r="W51" s="25"/>
      <c r="X51" s="25"/>
      <c r="Z51" s="25"/>
      <c r="AC51" s="3">
        <f>Tabel242567[[#This Row],[Verbruik Stand Latte Macchiato Plantaardig deze maand]]+Tabel242567[[#This Row],[Verbruik  Cappucino Plantaardig deze maand]]+Tabel242567[[#This Row],[Verbruik Cappucino deze maand]]+Tabel242567[[#This Row],[Verbruik Hot Water deze maand]]+Tabel242567[[#This Row],[Verbruik Coffee Latte deze maand]]+Tabel242567[[#This Row],[Verbruik Latte Macchiato deze maand]]+Tabel242567[[#This Row],[Verbruik Espresso deze maand]]+Tabel242567[[#This Row],[Verbruik Coffee deze maand]]</f>
        <v>0</v>
      </c>
      <c r="AD51" s="25"/>
      <c r="AG51" s="2"/>
      <c r="AH51" s="25"/>
      <c r="AK51" s="2"/>
      <c r="AL51" s="25"/>
      <c r="AO51" s="2"/>
      <c r="AP51" s="25"/>
      <c r="AS51" s="2"/>
      <c r="AT51" s="25"/>
      <c r="AV51">
        <f>Tabel242567[[#This Row],[Stand heet water liter einde maand]]-Tabel242567[[#This Row],[Stand heet water liter vorige maand]]</f>
        <v>0</v>
      </c>
      <c r="AW51" s="20">
        <f>Tabel242567[[#This Row],[Verbruik heet Water liter deze maand ]]/0.15</f>
        <v>0</v>
      </c>
      <c r="AX51" s="4"/>
      <c r="AY51" s="4">
        <f>Tabel242567[[#This Row],[Subtotaal waterbar in consumpties]]+Tabel242567[[#This Row],[Subtotaal koffieautomaten]]</f>
        <v>0</v>
      </c>
    </row>
    <row r="52" spans="1:51" x14ac:dyDescent="0.25">
      <c r="A52" t="s">
        <v>43</v>
      </c>
      <c r="B52" t="s">
        <v>100</v>
      </c>
      <c r="C52" t="s">
        <v>31</v>
      </c>
      <c r="E52" s="25">
        <v>2224</v>
      </c>
      <c r="F52" s="25">
        <v>1646</v>
      </c>
      <c r="G52" s="12">
        <f>Tabel242567[[#This Row],[Stand Coffee einde maand]]-Tabel242567[[#This Row],[Coffee vorige maand]]</f>
        <v>578</v>
      </c>
      <c r="H52" s="25">
        <v>693</v>
      </c>
      <c r="I52">
        <v>526</v>
      </c>
      <c r="J52" s="12">
        <f>Tabel242567[[#This Row],[Stand Espresso Einde maand]]-Tabel242567[[#This Row],[Espresso vorige maand]]</f>
        <v>167</v>
      </c>
      <c r="K52" s="25">
        <v>326</v>
      </c>
      <c r="L52">
        <v>223</v>
      </c>
      <c r="M52">
        <f>Tabel242567[[#This Row],[Stand Latte Macchiato einde maand]]-Tabel242567[[#This Row],[Latte Macchiato vorige maand]]</f>
        <v>103</v>
      </c>
      <c r="N52" s="25">
        <v>190</v>
      </c>
      <c r="O52">
        <v>162</v>
      </c>
      <c r="P52">
        <f>Tabel242567[[#This Row],[Stand Coffee Latte einde maand]]-Tabel242567[[#This Row],[Coffee Latte vorige maand]]</f>
        <v>28</v>
      </c>
      <c r="Q52" s="25">
        <v>5860</v>
      </c>
      <c r="R52">
        <v>4724</v>
      </c>
      <c r="S52">
        <f>Tabel242567[[#This Row],[Stand Hot Water einde maand]]-Tabel242567[[#This Row],[Hot Water vorige maand]]</f>
        <v>1136</v>
      </c>
      <c r="T52" s="25">
        <v>631</v>
      </c>
      <c r="U52">
        <v>423</v>
      </c>
      <c r="V52">
        <f>Tabel242567[[#This Row],[Stand Cappucino einde maand]]-Tabel242567[[#This Row],[Stand Cappucino vorige maand]]</f>
        <v>208</v>
      </c>
      <c r="W52" s="25">
        <v>161</v>
      </c>
      <c r="X52" s="25">
        <v>110</v>
      </c>
      <c r="Y52">
        <f>Tabel242567[[#This Row],[Stand Cappucino Plantaardig einde maand]]-Tabel242567[[#This Row],[Stand Cappucino Plantaardig vorige maand]]</f>
        <v>51</v>
      </c>
      <c r="Z52" s="25">
        <v>86</v>
      </c>
      <c r="AA52">
        <v>81</v>
      </c>
      <c r="AB52" s="12">
        <f>Tabel242567[[#This Row],[Stand Latte Macchiato Plantaardig einde maand]]-Tabel242567[[#This Row],[Stand Latte Macchiato Plantaardig vorige maand]]</f>
        <v>5</v>
      </c>
      <c r="AC52" s="3">
        <f>Tabel242567[[#This Row],[Verbruik Stand Latte Macchiato Plantaardig deze maand]]+Tabel242567[[#This Row],[Verbruik  Cappucino Plantaardig deze maand]]+Tabel242567[[#This Row],[Verbruik Cappucino deze maand]]+Tabel242567[[#This Row],[Verbruik Hot Water deze maand]]+Tabel242567[[#This Row],[Verbruik Coffee Latte deze maand]]+Tabel242567[[#This Row],[Verbruik Latte Macchiato deze maand]]+Tabel242567[[#This Row],[Verbruik Espresso deze maand]]+Tabel242567[[#This Row],[Verbruik Coffee deze maand]]</f>
        <v>2276</v>
      </c>
      <c r="AD52" s="26"/>
      <c r="AE52" s="5"/>
      <c r="AF52" s="5"/>
      <c r="AG52" s="7"/>
      <c r="AH52" s="26"/>
      <c r="AI52" s="5"/>
      <c r="AJ52" s="5"/>
      <c r="AK52" s="7"/>
      <c r="AL52" s="26"/>
      <c r="AM52" s="5"/>
      <c r="AN52" s="5"/>
      <c r="AO52" s="7"/>
      <c r="AP52" s="26"/>
      <c r="AQ52" s="5"/>
      <c r="AR52" s="5"/>
      <c r="AS52" s="7"/>
      <c r="AT52" s="26"/>
      <c r="AU52" s="5"/>
      <c r="AV52" s="5"/>
      <c r="AW52" s="21"/>
      <c r="AX52" s="8"/>
      <c r="AY52" s="4">
        <f>Tabel242567[[#This Row],[Subtotaal waterbar in consumpties]]+Tabel242567[[#This Row],[Subtotaal koffieautomaten]]</f>
        <v>2276</v>
      </c>
    </row>
    <row r="53" spans="1:51" x14ac:dyDescent="0.25">
      <c r="A53" t="s">
        <v>45</v>
      </c>
      <c r="B53" t="s">
        <v>101</v>
      </c>
      <c r="C53" t="s">
        <v>47</v>
      </c>
      <c r="E53" s="25">
        <v>2340</v>
      </c>
      <c r="F53" s="25">
        <v>1896</v>
      </c>
      <c r="G53" s="12">
        <f>Tabel242567[[#This Row],[Stand Coffee einde maand]]-Tabel242567[[#This Row],[Coffee vorige maand]]</f>
        <v>444</v>
      </c>
      <c r="H53" s="25">
        <v>811</v>
      </c>
      <c r="I53">
        <v>578</v>
      </c>
      <c r="J53" s="12">
        <f>Tabel242567[[#This Row],[Stand Espresso Einde maand]]-Tabel242567[[#This Row],[Espresso vorige maand]]</f>
        <v>233</v>
      </c>
      <c r="K53" s="25">
        <v>194</v>
      </c>
      <c r="L53">
        <v>154</v>
      </c>
      <c r="M53">
        <f>Tabel242567[[#This Row],[Stand Latte Macchiato einde maand]]-Tabel242567[[#This Row],[Latte Macchiato vorige maand]]</f>
        <v>40</v>
      </c>
      <c r="N53" s="25">
        <v>187</v>
      </c>
      <c r="O53">
        <v>103</v>
      </c>
      <c r="P53">
        <f>Tabel242567[[#This Row],[Stand Coffee Latte einde maand]]-Tabel242567[[#This Row],[Coffee Latte vorige maand]]</f>
        <v>84</v>
      </c>
      <c r="Q53" s="25">
        <v>1</v>
      </c>
      <c r="R53">
        <v>1</v>
      </c>
      <c r="S53">
        <f>Tabel242567[[#This Row],[Stand Hot Water einde maand]]-Tabel242567[[#This Row],[Hot Water vorige maand]]</f>
        <v>0</v>
      </c>
      <c r="T53" s="25">
        <v>1012</v>
      </c>
      <c r="U53">
        <v>781</v>
      </c>
      <c r="V53">
        <f>Tabel242567[[#This Row],[Stand Cappucino einde maand]]-Tabel242567[[#This Row],[Stand Cappucino vorige maand]]</f>
        <v>231</v>
      </c>
      <c r="W53" s="25">
        <v>245</v>
      </c>
      <c r="X53" s="25">
        <v>180</v>
      </c>
      <c r="Y53">
        <f>Tabel242567[[#This Row],[Stand Cappucino Plantaardig einde maand]]-Tabel242567[[#This Row],[Stand Cappucino Plantaardig vorige maand]]</f>
        <v>65</v>
      </c>
      <c r="Z53" s="25">
        <v>95</v>
      </c>
      <c r="AA53">
        <v>88</v>
      </c>
      <c r="AB53" s="12">
        <f>Tabel242567[[#This Row],[Stand Latte Macchiato Plantaardig einde maand]]-Tabel242567[[#This Row],[Stand Latte Macchiato Plantaardig vorige maand]]</f>
        <v>7</v>
      </c>
      <c r="AC53" s="3">
        <f>Tabel242567[[#This Row],[Verbruik Stand Latte Macchiato Plantaardig deze maand]]+Tabel242567[[#This Row],[Verbruik  Cappucino Plantaardig deze maand]]+Tabel242567[[#This Row],[Verbruik Cappucino deze maand]]+Tabel242567[[#This Row],[Verbruik Hot Water deze maand]]+Tabel242567[[#This Row],[Verbruik Coffee Latte deze maand]]+Tabel242567[[#This Row],[Verbruik Latte Macchiato deze maand]]+Tabel242567[[#This Row],[Verbruik Espresso deze maand]]+Tabel242567[[#This Row],[Verbruik Coffee deze maand]]</f>
        <v>1104</v>
      </c>
      <c r="AD53" s="25">
        <v>119.8</v>
      </c>
      <c r="AE53">
        <v>101.2</v>
      </c>
      <c r="AF53">
        <f>Tabel242567[[#This Row],[Stand Kamertemp liter einde maand]]-Tabel242567[[#This Row],[Stand Kamertemp liter vorige maand]]</f>
        <v>18.599999999999994</v>
      </c>
      <c r="AG53" s="2">
        <f>Tabel242567[[#This Row],[Verbruik Kamertemp liter deze maand]]/0.15</f>
        <v>123.99999999999997</v>
      </c>
      <c r="AH53" s="25">
        <v>498.9</v>
      </c>
      <c r="AI53">
        <v>328.2</v>
      </c>
      <c r="AJ53">
        <f>Tabel242567[[#This Row],[Stand Gekoeld liter einde maand]]-Tabel242567[[#This Row],[Stand Gekoeld liter vorige maand]]</f>
        <v>170.7</v>
      </c>
      <c r="AK53" s="2">
        <f>Tabel242567[[#This Row],[Verbruik Gekoeld liter deze maand]]/0.15</f>
        <v>1138</v>
      </c>
      <c r="AL53" s="25">
        <v>742.2</v>
      </c>
      <c r="AM53">
        <v>567.20000000000005</v>
      </c>
      <c r="AN53">
        <f>Tabel242567[[#This Row],[Stand Bruisend liter einde maand]]-Tabel242567[[#This Row],[Stand Bruisend liter vorige maand]]</f>
        <v>175</v>
      </c>
      <c r="AO53" s="2">
        <f>Tabel242567[[#This Row],[Verbruik Bruisend liter deze maand]]/0.15</f>
        <v>1166.6666666666667</v>
      </c>
      <c r="AP53" s="25">
        <v>274.7</v>
      </c>
      <c r="AQ53">
        <v>221.9</v>
      </c>
      <c r="AR53">
        <f>Tabel242567[[#This Row],[Stand licht bruisend liter einde maand]]-Tabel242567[[#This Row],[Stand licht bruisend liter vorige maand]]</f>
        <v>52.799999999999983</v>
      </c>
      <c r="AS53" s="2">
        <f>Tabel242567[[#This Row],[Verbruik licht bruisend liter deze maand]]/0.15</f>
        <v>351.99999999999989</v>
      </c>
      <c r="AT53" s="25">
        <v>1663.2</v>
      </c>
      <c r="AU53">
        <v>1456.2</v>
      </c>
      <c r="AV53">
        <f>Tabel242567[[#This Row],[Stand heet water liter einde maand]]-Tabel242567[[#This Row],[Stand heet water liter vorige maand]]</f>
        <v>207</v>
      </c>
      <c r="AW53" s="20">
        <f>Tabel242567[[#This Row],[Verbruik heet Water liter deze maand ]]/0.15</f>
        <v>1380</v>
      </c>
      <c r="AX53" s="4">
        <f>Tabel242567[[#This Row],[Aantal consumpties heet water deze maand]]+Tabel242567[[#This Row],[Aantal consumpties licht bruisend water deze maand]]+Tabel242567[[#This Row],[aantal consumpties Bruisend water deze maand]]+Tabel242567[[#This Row],[Aantal consumpties gekoeld water deze maand]]+Tabel242567[[#This Row],[Aantal consumpties Kamertemp deze maand]]</f>
        <v>4160.666666666667</v>
      </c>
      <c r="AY53" s="4">
        <f>Tabel242567[[#This Row],[Subtotaal waterbar in consumpties]]+Tabel242567[[#This Row],[Subtotaal koffieautomaten]]</f>
        <v>5264.666666666667</v>
      </c>
    </row>
    <row r="54" spans="1:51" x14ac:dyDescent="0.25">
      <c r="A54" t="s">
        <v>48</v>
      </c>
      <c r="B54" t="s">
        <v>102</v>
      </c>
      <c r="C54" t="s">
        <v>31</v>
      </c>
      <c r="E54" s="25">
        <v>1519</v>
      </c>
      <c r="F54" s="25">
        <v>1178</v>
      </c>
      <c r="G54" s="12">
        <f>Tabel242567[[#This Row],[Stand Coffee einde maand]]-Tabel242567[[#This Row],[Coffee vorige maand]]</f>
        <v>341</v>
      </c>
      <c r="H54" s="25">
        <v>206</v>
      </c>
      <c r="I54">
        <v>141</v>
      </c>
      <c r="J54" s="12">
        <f>Tabel242567[[#This Row],[Stand Espresso Einde maand]]-Tabel242567[[#This Row],[Espresso vorige maand]]</f>
        <v>65</v>
      </c>
      <c r="K54" s="25">
        <v>68</v>
      </c>
      <c r="L54">
        <v>57</v>
      </c>
      <c r="M54">
        <f>Tabel242567[[#This Row],[Stand Latte Macchiato einde maand]]-Tabel242567[[#This Row],[Latte Macchiato vorige maand]]</f>
        <v>11</v>
      </c>
      <c r="N54" s="25">
        <v>119</v>
      </c>
      <c r="O54">
        <v>90</v>
      </c>
      <c r="P54">
        <f>Tabel242567[[#This Row],[Stand Coffee Latte einde maand]]-Tabel242567[[#This Row],[Coffee Latte vorige maand]]</f>
        <v>29</v>
      </c>
      <c r="Q54" s="25">
        <v>3594</v>
      </c>
      <c r="R54">
        <v>2885</v>
      </c>
      <c r="S54">
        <f>Tabel242567[[#This Row],[Stand Hot Water einde maand]]-Tabel242567[[#This Row],[Hot Water vorige maand]]</f>
        <v>709</v>
      </c>
      <c r="T54" s="25">
        <v>676</v>
      </c>
      <c r="U54">
        <v>489</v>
      </c>
      <c r="V54">
        <f>Tabel242567[[#This Row],[Stand Cappucino einde maand]]-Tabel242567[[#This Row],[Stand Cappucino vorige maand]]</f>
        <v>187</v>
      </c>
      <c r="W54" s="25">
        <v>567</v>
      </c>
      <c r="X54" s="25">
        <v>447</v>
      </c>
      <c r="Y54">
        <f>Tabel242567[[#This Row],[Stand Cappucino Plantaardig einde maand]]-Tabel242567[[#This Row],[Stand Cappucino Plantaardig vorige maand]]</f>
        <v>120</v>
      </c>
      <c r="Z54" s="25">
        <v>58</v>
      </c>
      <c r="AA54">
        <v>45</v>
      </c>
      <c r="AB54" s="12">
        <f>Tabel242567[[#This Row],[Stand Latte Macchiato Plantaardig einde maand]]-Tabel242567[[#This Row],[Stand Latte Macchiato Plantaardig vorige maand]]</f>
        <v>13</v>
      </c>
      <c r="AC54" s="3">
        <f>Tabel242567[[#This Row],[Verbruik Stand Latte Macchiato Plantaardig deze maand]]+Tabel242567[[#This Row],[Verbruik  Cappucino Plantaardig deze maand]]+Tabel242567[[#This Row],[Verbruik Cappucino deze maand]]+Tabel242567[[#This Row],[Verbruik Hot Water deze maand]]+Tabel242567[[#This Row],[Verbruik Coffee Latte deze maand]]+Tabel242567[[#This Row],[Verbruik Latte Macchiato deze maand]]+Tabel242567[[#This Row],[Verbruik Espresso deze maand]]+Tabel242567[[#This Row],[Verbruik Coffee deze maand]]</f>
        <v>1475</v>
      </c>
      <c r="AD54" s="26"/>
      <c r="AE54" s="5"/>
      <c r="AF54" s="5"/>
      <c r="AG54" s="7"/>
      <c r="AH54" s="26"/>
      <c r="AI54" s="5"/>
      <c r="AJ54" s="5"/>
      <c r="AK54" s="7"/>
      <c r="AL54" s="26"/>
      <c r="AM54" s="5"/>
      <c r="AN54" s="5"/>
      <c r="AO54" s="7"/>
      <c r="AP54" s="26"/>
      <c r="AQ54" s="5"/>
      <c r="AR54" s="5"/>
      <c r="AS54" s="7"/>
      <c r="AT54" s="26"/>
      <c r="AU54" s="5"/>
      <c r="AV54" s="5"/>
      <c r="AW54" s="21"/>
      <c r="AX54" s="8"/>
      <c r="AY54" s="4">
        <f>Tabel242567[[#This Row],[Subtotaal waterbar in consumpties]]+Tabel242567[[#This Row],[Subtotaal koffieautomaten]]</f>
        <v>1475</v>
      </c>
    </row>
    <row r="55" spans="1:51" x14ac:dyDescent="0.25">
      <c r="A55" t="s">
        <v>50</v>
      </c>
      <c r="B55" t="s">
        <v>103</v>
      </c>
      <c r="C55" t="s">
        <v>47</v>
      </c>
      <c r="E55" s="25">
        <v>2556</v>
      </c>
      <c r="F55" s="25">
        <v>1994</v>
      </c>
      <c r="G55" s="12">
        <f>Tabel242567[[#This Row],[Stand Coffee einde maand]]-Tabel242567[[#This Row],[Coffee vorige maand]]</f>
        <v>562</v>
      </c>
      <c r="H55" s="25">
        <v>1449</v>
      </c>
      <c r="I55">
        <v>1292</v>
      </c>
      <c r="J55" s="12">
        <f>Tabel242567[[#This Row],[Stand Espresso Einde maand]]-Tabel242567[[#This Row],[Espresso vorige maand]]</f>
        <v>157</v>
      </c>
      <c r="K55" s="25">
        <v>128</v>
      </c>
      <c r="L55">
        <v>105</v>
      </c>
      <c r="M55">
        <f>Tabel242567[[#This Row],[Stand Latte Macchiato einde maand]]-Tabel242567[[#This Row],[Latte Macchiato vorige maand]]</f>
        <v>23</v>
      </c>
      <c r="N55" s="25">
        <v>43</v>
      </c>
      <c r="O55">
        <v>33</v>
      </c>
      <c r="P55">
        <f>Tabel242567[[#This Row],[Stand Coffee Latte einde maand]]-Tabel242567[[#This Row],[Coffee Latte vorige maand]]</f>
        <v>10</v>
      </c>
      <c r="Q55" s="25">
        <v>1</v>
      </c>
      <c r="R55">
        <v>1</v>
      </c>
      <c r="S55">
        <f>Tabel242567[[#This Row],[Stand Hot Water einde maand]]-Tabel242567[[#This Row],[Hot Water vorige maand]]</f>
        <v>0</v>
      </c>
      <c r="T55" s="25">
        <v>2650</v>
      </c>
      <c r="U55">
        <v>2164</v>
      </c>
      <c r="V55">
        <f>Tabel242567[[#This Row],[Stand Cappucino einde maand]]-Tabel242567[[#This Row],[Stand Cappucino vorige maand]]</f>
        <v>486</v>
      </c>
      <c r="W55" s="25">
        <v>231</v>
      </c>
      <c r="X55" s="25">
        <v>195</v>
      </c>
      <c r="Y55">
        <f>Tabel242567[[#This Row],[Stand Cappucino Plantaardig einde maand]]-Tabel242567[[#This Row],[Stand Cappucino Plantaardig vorige maand]]</f>
        <v>36</v>
      </c>
      <c r="Z55" s="25">
        <v>45</v>
      </c>
      <c r="AA55">
        <v>41</v>
      </c>
      <c r="AB55" s="12">
        <f>Tabel242567[[#This Row],[Stand Latte Macchiato Plantaardig einde maand]]-Tabel242567[[#This Row],[Stand Latte Macchiato Plantaardig vorige maand]]</f>
        <v>4</v>
      </c>
      <c r="AC55" s="3">
        <f>Tabel242567[[#This Row],[Verbruik Stand Latte Macchiato Plantaardig deze maand]]+Tabel242567[[#This Row],[Verbruik  Cappucino Plantaardig deze maand]]+Tabel242567[[#This Row],[Verbruik Cappucino deze maand]]+Tabel242567[[#This Row],[Verbruik Hot Water deze maand]]+Tabel242567[[#This Row],[Verbruik Coffee Latte deze maand]]+Tabel242567[[#This Row],[Verbruik Latte Macchiato deze maand]]+Tabel242567[[#This Row],[Verbruik Espresso deze maand]]+Tabel242567[[#This Row],[Verbruik Coffee deze maand]]</f>
        <v>1278</v>
      </c>
      <c r="AD55" s="25">
        <v>106.1</v>
      </c>
      <c r="AE55">
        <v>92</v>
      </c>
      <c r="AF55">
        <f>Tabel242567[[#This Row],[Stand Kamertemp liter einde maand]]-Tabel242567[[#This Row],[Stand Kamertemp liter vorige maand]]</f>
        <v>14.099999999999994</v>
      </c>
      <c r="AG55" s="2">
        <f>Tabel242567[[#This Row],[Verbruik Kamertemp liter deze maand]]/0.15</f>
        <v>93.999999999999972</v>
      </c>
      <c r="AH55" s="25">
        <v>272.3</v>
      </c>
      <c r="AI55">
        <v>211.2</v>
      </c>
      <c r="AJ55">
        <f>Tabel242567[[#This Row],[Stand Gekoeld liter einde maand]]-Tabel242567[[#This Row],[Stand Gekoeld liter vorige maand]]</f>
        <v>61.100000000000023</v>
      </c>
      <c r="AK55" s="2">
        <f>Tabel242567[[#This Row],[Verbruik Gekoeld liter deze maand]]/0.15</f>
        <v>407.33333333333348</v>
      </c>
      <c r="AL55" s="25">
        <v>565.6</v>
      </c>
      <c r="AM55">
        <v>434.9</v>
      </c>
      <c r="AN55">
        <f>Tabel242567[[#This Row],[Stand Bruisend liter einde maand]]-Tabel242567[[#This Row],[Stand Bruisend liter vorige maand]]</f>
        <v>130.70000000000005</v>
      </c>
      <c r="AO55" s="2">
        <f>Tabel242567[[#This Row],[Verbruik Bruisend liter deze maand]]/0.15</f>
        <v>871.33333333333371</v>
      </c>
      <c r="AP55" s="25">
        <v>205.2</v>
      </c>
      <c r="AQ55">
        <v>143.6</v>
      </c>
      <c r="AR55">
        <f>Tabel242567[[#This Row],[Stand licht bruisend liter einde maand]]-Tabel242567[[#This Row],[Stand licht bruisend liter vorige maand]]</f>
        <v>61.599999999999994</v>
      </c>
      <c r="AS55" s="2">
        <f>Tabel242567[[#This Row],[Verbruik licht bruisend liter deze maand]]/0.15</f>
        <v>410.66666666666663</v>
      </c>
      <c r="AT55" s="25">
        <v>1440.6</v>
      </c>
      <c r="AU55">
        <v>1224.5</v>
      </c>
      <c r="AV55">
        <f>Tabel242567[[#This Row],[Stand heet water liter einde maand]]-Tabel242567[[#This Row],[Stand heet water liter vorige maand]]</f>
        <v>216.09999999999991</v>
      </c>
      <c r="AW55" s="20">
        <f>Tabel242567[[#This Row],[Verbruik heet Water liter deze maand ]]/0.15</f>
        <v>1440.6666666666661</v>
      </c>
      <c r="AX55" s="4">
        <f>Tabel242567[[#This Row],[Aantal consumpties heet water deze maand]]+Tabel242567[[#This Row],[Aantal consumpties licht bruisend water deze maand]]+Tabel242567[[#This Row],[aantal consumpties Bruisend water deze maand]]+Tabel242567[[#This Row],[Aantal consumpties gekoeld water deze maand]]+Tabel242567[[#This Row],[Aantal consumpties Kamertemp deze maand]]</f>
        <v>3223.9999999999995</v>
      </c>
      <c r="AY55" s="4">
        <f>Tabel242567[[#This Row],[Subtotaal waterbar in consumpties]]+Tabel242567[[#This Row],[Subtotaal koffieautomaten]]</f>
        <v>4502</v>
      </c>
    </row>
    <row r="56" spans="1:51" x14ac:dyDescent="0.25">
      <c r="A56" t="s">
        <v>52</v>
      </c>
      <c r="B56" t="s">
        <v>104</v>
      </c>
      <c r="C56" t="s">
        <v>36</v>
      </c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25">
        <v>55.3</v>
      </c>
      <c r="AE56">
        <v>43.2</v>
      </c>
      <c r="AF56">
        <f>Tabel242567[[#This Row],[Stand Kamertemp liter einde maand]]-Tabel242567[[#This Row],[Stand Kamertemp liter vorige maand]]</f>
        <v>12.099999999999994</v>
      </c>
      <c r="AG56" s="2">
        <f>Tabel242567[[#This Row],[Verbruik Kamertemp liter deze maand]]/0.15</f>
        <v>80.666666666666629</v>
      </c>
      <c r="AH56" s="25">
        <v>271.8</v>
      </c>
      <c r="AI56">
        <v>183.9</v>
      </c>
      <c r="AJ56">
        <f>Tabel242567[[#This Row],[Stand Gekoeld liter einde maand]]-Tabel242567[[#This Row],[Stand Gekoeld liter vorige maand]]</f>
        <v>87.9</v>
      </c>
      <c r="AK56" s="2">
        <f>Tabel242567[[#This Row],[Verbruik Gekoeld liter deze maand]]/0.15</f>
        <v>586.00000000000011</v>
      </c>
      <c r="AL56" s="25">
        <v>400.8</v>
      </c>
      <c r="AM56">
        <v>315.8</v>
      </c>
      <c r="AN56">
        <f>Tabel242567[[#This Row],[Stand Bruisend liter einde maand]]-Tabel242567[[#This Row],[Stand Bruisend liter vorige maand]]</f>
        <v>85</v>
      </c>
      <c r="AO56" s="2">
        <f>Tabel242567[[#This Row],[Verbruik Bruisend liter deze maand]]/0.15</f>
        <v>566.66666666666674</v>
      </c>
      <c r="AP56" s="25">
        <v>379.8</v>
      </c>
      <c r="AQ56">
        <v>290.7</v>
      </c>
      <c r="AR56">
        <f>Tabel242567[[#This Row],[Stand licht bruisend liter einde maand]]-Tabel242567[[#This Row],[Stand licht bruisend liter vorige maand]]</f>
        <v>89.100000000000023</v>
      </c>
      <c r="AS56" s="2">
        <f>Tabel242567[[#This Row],[Verbruik licht bruisend liter deze maand]]/0.15</f>
        <v>594.00000000000023</v>
      </c>
      <c r="AT56" s="25">
        <v>2085.6999999999998</v>
      </c>
      <c r="AU56">
        <v>1841.5</v>
      </c>
      <c r="AV56">
        <f>Tabel242567[[#This Row],[Stand heet water liter einde maand]]-Tabel242567[[#This Row],[Stand heet water liter vorige maand]]</f>
        <v>244.19999999999982</v>
      </c>
      <c r="AW56" s="20">
        <f>Tabel242567[[#This Row],[Verbruik heet Water liter deze maand ]]/0.15</f>
        <v>1627.9999999999989</v>
      </c>
      <c r="AX56" s="4">
        <f>Tabel242567[[#This Row],[Aantal consumpties heet water deze maand]]+Tabel242567[[#This Row],[Aantal consumpties licht bruisend water deze maand]]+Tabel242567[[#This Row],[aantal consumpties Bruisend water deze maand]]+Tabel242567[[#This Row],[Aantal consumpties gekoeld water deze maand]]+Tabel242567[[#This Row],[Aantal consumpties Kamertemp deze maand]]</f>
        <v>3455.3333333333326</v>
      </c>
      <c r="AY56" s="4">
        <f>Tabel242567[[#This Row],[Subtotaal waterbar in consumpties]]+Tabel242567[[#This Row],[Subtotaal koffieautomaten]]</f>
        <v>3455.3333333333326</v>
      </c>
    </row>
    <row r="57" spans="1:51" x14ac:dyDescent="0.25">
      <c r="A57" t="s">
        <v>54</v>
      </c>
      <c r="B57" t="s">
        <v>105</v>
      </c>
      <c r="C57" t="s">
        <v>31</v>
      </c>
      <c r="E57" s="25">
        <v>2047</v>
      </c>
      <c r="F57" s="25">
        <v>1615</v>
      </c>
      <c r="G57" s="12">
        <f>Tabel242567[[#This Row],[Stand Coffee einde maand]]-Tabel242567[[#This Row],[Coffee vorige maand]]</f>
        <v>432</v>
      </c>
      <c r="H57" s="25">
        <v>1072</v>
      </c>
      <c r="I57">
        <v>812</v>
      </c>
      <c r="J57" s="12">
        <f>Tabel242567[[#This Row],[Stand Espresso Einde maand]]-Tabel242567[[#This Row],[Espresso vorige maand]]</f>
        <v>260</v>
      </c>
      <c r="K57" s="25">
        <v>526</v>
      </c>
      <c r="L57">
        <v>359</v>
      </c>
      <c r="M57">
        <f>Tabel242567[[#This Row],[Stand Latte Macchiato einde maand]]-Tabel242567[[#This Row],[Latte Macchiato vorige maand]]</f>
        <v>167</v>
      </c>
      <c r="N57" s="25">
        <v>107</v>
      </c>
      <c r="O57">
        <v>84</v>
      </c>
      <c r="P57">
        <f>Tabel242567[[#This Row],[Stand Coffee Latte einde maand]]-Tabel242567[[#This Row],[Coffee Latte vorige maand]]</f>
        <v>23</v>
      </c>
      <c r="Q57" s="25">
        <v>6605</v>
      </c>
      <c r="R57">
        <v>5259</v>
      </c>
      <c r="S57">
        <f>Tabel242567[[#This Row],[Stand Hot Water einde maand]]-Tabel242567[[#This Row],[Hot Water vorige maand]]</f>
        <v>1346</v>
      </c>
      <c r="T57" s="25">
        <v>1604</v>
      </c>
      <c r="U57">
        <v>1277</v>
      </c>
      <c r="V57">
        <f>Tabel242567[[#This Row],[Stand Cappucino einde maand]]-Tabel242567[[#This Row],[Stand Cappucino vorige maand]]</f>
        <v>327</v>
      </c>
      <c r="W57" s="25">
        <v>363</v>
      </c>
      <c r="X57" s="25">
        <v>285</v>
      </c>
      <c r="Y57">
        <f>Tabel242567[[#This Row],[Stand Cappucino Plantaardig einde maand]]-Tabel242567[[#This Row],[Stand Cappucino Plantaardig vorige maand]]</f>
        <v>78</v>
      </c>
      <c r="Z57" s="25">
        <v>42</v>
      </c>
      <c r="AA57">
        <v>38</v>
      </c>
      <c r="AB57" s="12">
        <f>Tabel242567[[#This Row],[Stand Latte Macchiato Plantaardig einde maand]]-Tabel242567[[#This Row],[Stand Latte Macchiato Plantaardig vorige maand]]</f>
        <v>4</v>
      </c>
      <c r="AC57" s="3">
        <f>Tabel242567[[#This Row],[Verbruik Stand Latte Macchiato Plantaardig deze maand]]+Tabel242567[[#This Row],[Verbruik  Cappucino Plantaardig deze maand]]+Tabel242567[[#This Row],[Verbruik Cappucino deze maand]]+Tabel242567[[#This Row],[Verbruik Hot Water deze maand]]+Tabel242567[[#This Row],[Verbruik Coffee Latte deze maand]]+Tabel242567[[#This Row],[Verbruik Latte Macchiato deze maand]]+Tabel242567[[#This Row],[Verbruik Espresso deze maand]]+Tabel242567[[#This Row],[Verbruik Coffee deze maand]]</f>
        <v>2637</v>
      </c>
      <c r="AD57" s="26"/>
      <c r="AE57" s="5"/>
      <c r="AF57" s="5"/>
      <c r="AG57" s="7"/>
      <c r="AH57" s="26"/>
      <c r="AI57" s="5"/>
      <c r="AJ57" s="5"/>
      <c r="AK57" s="7"/>
      <c r="AL57" s="26"/>
      <c r="AM57" s="5"/>
      <c r="AN57" s="5"/>
      <c r="AO57" s="7"/>
      <c r="AP57" s="26"/>
      <c r="AQ57" s="5"/>
      <c r="AR57" s="5"/>
      <c r="AS57" s="7"/>
      <c r="AT57" s="26"/>
      <c r="AU57" s="5"/>
      <c r="AV57" s="5"/>
      <c r="AW57" s="21"/>
      <c r="AX57" s="8"/>
      <c r="AY57" s="4">
        <f>Tabel242567[[#This Row],[Subtotaal waterbar in consumpties]]+Tabel242567[[#This Row],[Subtotaal koffieautomaten]]</f>
        <v>2637</v>
      </c>
    </row>
    <row r="58" spans="1:51" x14ac:dyDescent="0.25">
      <c r="A58" t="s">
        <v>56</v>
      </c>
      <c r="B58" t="s">
        <v>106</v>
      </c>
      <c r="C58" t="s">
        <v>47</v>
      </c>
      <c r="E58" s="25">
        <v>2732</v>
      </c>
      <c r="F58" s="25">
        <v>2186</v>
      </c>
      <c r="G58" s="12">
        <f>Tabel242567[[#This Row],[Stand Coffee einde maand]]-Tabel242567[[#This Row],[Coffee vorige maand]]</f>
        <v>546</v>
      </c>
      <c r="H58" s="25">
        <v>749</v>
      </c>
      <c r="I58">
        <v>623</v>
      </c>
      <c r="J58" s="12">
        <f>Tabel242567[[#This Row],[Stand Espresso Einde maand]]-Tabel242567[[#This Row],[Espresso vorige maand]]</f>
        <v>126</v>
      </c>
      <c r="K58" s="25">
        <v>974</v>
      </c>
      <c r="L58">
        <v>739</v>
      </c>
      <c r="M58">
        <f>Tabel242567[[#This Row],[Stand Latte Macchiato einde maand]]-Tabel242567[[#This Row],[Latte Macchiato vorige maand]]</f>
        <v>235</v>
      </c>
      <c r="N58" s="25">
        <v>97</v>
      </c>
      <c r="O58">
        <v>79</v>
      </c>
      <c r="P58">
        <f>Tabel242567[[#This Row],[Stand Coffee Latte einde maand]]-Tabel242567[[#This Row],[Coffee Latte vorige maand]]</f>
        <v>18</v>
      </c>
      <c r="Q58" s="25">
        <v>1</v>
      </c>
      <c r="R58">
        <v>1</v>
      </c>
      <c r="S58">
        <f>Tabel242567[[#This Row],[Stand Hot Water einde maand]]-Tabel242567[[#This Row],[Hot Water vorige maand]]</f>
        <v>0</v>
      </c>
      <c r="T58" s="25">
        <v>1588</v>
      </c>
      <c r="U58">
        <v>1284</v>
      </c>
      <c r="V58">
        <f>Tabel242567[[#This Row],[Stand Cappucino einde maand]]-Tabel242567[[#This Row],[Stand Cappucino vorige maand]]</f>
        <v>304</v>
      </c>
      <c r="W58" s="25">
        <v>514</v>
      </c>
      <c r="X58" s="25">
        <v>407</v>
      </c>
      <c r="Y58">
        <f>Tabel242567[[#This Row],[Stand Cappucino Plantaardig einde maand]]-Tabel242567[[#This Row],[Stand Cappucino Plantaardig vorige maand]]</f>
        <v>107</v>
      </c>
      <c r="Z58" s="25">
        <v>55</v>
      </c>
      <c r="AA58">
        <v>49</v>
      </c>
      <c r="AB58" s="12">
        <f>Tabel242567[[#This Row],[Stand Latte Macchiato Plantaardig einde maand]]-Tabel242567[[#This Row],[Stand Latte Macchiato Plantaardig vorige maand]]</f>
        <v>6</v>
      </c>
      <c r="AC58" s="3">
        <f>Tabel242567[[#This Row],[Verbruik Stand Latte Macchiato Plantaardig deze maand]]+Tabel242567[[#This Row],[Verbruik  Cappucino Plantaardig deze maand]]+Tabel242567[[#This Row],[Verbruik Cappucino deze maand]]+Tabel242567[[#This Row],[Verbruik Hot Water deze maand]]+Tabel242567[[#This Row],[Verbruik Coffee Latte deze maand]]+Tabel242567[[#This Row],[Verbruik Latte Macchiato deze maand]]+Tabel242567[[#This Row],[Verbruik Espresso deze maand]]+Tabel242567[[#This Row],[Verbruik Coffee deze maand]]</f>
        <v>1342</v>
      </c>
      <c r="AD58" s="25">
        <v>50.4</v>
      </c>
      <c r="AE58">
        <v>43.4</v>
      </c>
      <c r="AF58">
        <f>Tabel242567[[#This Row],[Stand Kamertemp liter einde maand]]-Tabel242567[[#This Row],[Stand Kamertemp liter vorige maand]]</f>
        <v>7</v>
      </c>
      <c r="AG58" s="2">
        <f>Tabel242567[[#This Row],[Verbruik Kamertemp liter deze maand]]/0.15</f>
        <v>46.666666666666671</v>
      </c>
      <c r="AH58" s="25">
        <v>485.2</v>
      </c>
      <c r="AI58">
        <v>357.1</v>
      </c>
      <c r="AJ58">
        <f>Tabel242567[[#This Row],[Stand Gekoeld liter einde maand]]-Tabel242567[[#This Row],[Stand Gekoeld liter vorige maand]]</f>
        <v>128.09999999999997</v>
      </c>
      <c r="AK58" s="2">
        <f>Tabel242567[[#This Row],[Verbruik Gekoeld liter deze maand]]/0.15</f>
        <v>853.99999999999977</v>
      </c>
      <c r="AL58" s="25">
        <v>464.9</v>
      </c>
      <c r="AM58">
        <v>341.8</v>
      </c>
      <c r="AN58">
        <f>Tabel242567[[#This Row],[Stand Bruisend liter einde maand]]-Tabel242567[[#This Row],[Stand Bruisend liter vorige maand]]</f>
        <v>123.09999999999997</v>
      </c>
      <c r="AO58" s="2">
        <f>Tabel242567[[#This Row],[Verbruik Bruisend liter deze maand]]/0.15</f>
        <v>820.66666666666652</v>
      </c>
      <c r="AP58" s="25">
        <v>243.4</v>
      </c>
      <c r="AQ58">
        <v>188.3</v>
      </c>
      <c r="AR58">
        <f>Tabel242567[[#This Row],[Stand licht bruisend liter einde maand]]-Tabel242567[[#This Row],[Stand licht bruisend liter vorige maand]]</f>
        <v>55.099999999999994</v>
      </c>
      <c r="AS58" s="2">
        <f>Tabel242567[[#This Row],[Verbruik licht bruisend liter deze maand]]/0.15</f>
        <v>367.33333333333331</v>
      </c>
      <c r="AT58" s="25">
        <v>2064.1999999999998</v>
      </c>
      <c r="AU58">
        <v>1810</v>
      </c>
      <c r="AV58">
        <f>Tabel242567[[#This Row],[Stand heet water liter einde maand]]-Tabel242567[[#This Row],[Stand heet water liter vorige maand]]</f>
        <v>254.19999999999982</v>
      </c>
      <c r="AW58" s="20">
        <f>Tabel242567[[#This Row],[Verbruik heet Water liter deze maand ]]/0.15</f>
        <v>1694.6666666666656</v>
      </c>
      <c r="AX58" s="4">
        <f>Tabel242567[[#This Row],[Aantal consumpties heet water deze maand]]+Tabel242567[[#This Row],[Aantal consumpties licht bruisend water deze maand]]+Tabel242567[[#This Row],[aantal consumpties Bruisend water deze maand]]+Tabel242567[[#This Row],[Aantal consumpties gekoeld water deze maand]]+Tabel242567[[#This Row],[Aantal consumpties Kamertemp deze maand]]</f>
        <v>3783.3333333333317</v>
      </c>
      <c r="AY58" s="4">
        <f>Tabel242567[[#This Row],[Subtotaal waterbar in consumpties]]+Tabel242567[[#This Row],[Subtotaal koffieautomaten]]</f>
        <v>5125.3333333333321</v>
      </c>
    </row>
    <row r="59" spans="1:51" x14ac:dyDescent="0.25">
      <c r="A59" t="s">
        <v>58</v>
      </c>
      <c r="B59" t="s">
        <v>107</v>
      </c>
      <c r="C59" t="s">
        <v>31</v>
      </c>
      <c r="E59" s="25">
        <v>1892</v>
      </c>
      <c r="F59" s="25">
        <v>1438</v>
      </c>
      <c r="G59" s="12">
        <f>Tabel242567[[#This Row],[Stand Coffee einde maand]]-Tabel242567[[#This Row],[Coffee vorige maand]]</f>
        <v>454</v>
      </c>
      <c r="H59" s="25">
        <v>414</v>
      </c>
      <c r="I59">
        <v>304</v>
      </c>
      <c r="J59" s="12">
        <f>Tabel242567[[#This Row],[Stand Espresso Einde maand]]-Tabel242567[[#This Row],[Espresso vorige maand]]</f>
        <v>110</v>
      </c>
      <c r="K59" s="25">
        <v>81</v>
      </c>
      <c r="L59">
        <v>72</v>
      </c>
      <c r="M59">
        <f>Tabel242567[[#This Row],[Stand Latte Macchiato einde maand]]-Tabel242567[[#This Row],[Latte Macchiato vorige maand]]</f>
        <v>9</v>
      </c>
      <c r="N59" s="25">
        <v>90</v>
      </c>
      <c r="O59">
        <v>77</v>
      </c>
      <c r="P59">
        <f>Tabel242567[[#This Row],[Stand Coffee Latte einde maand]]-Tabel242567[[#This Row],[Coffee Latte vorige maand]]</f>
        <v>13</v>
      </c>
      <c r="Q59" s="25">
        <v>4638</v>
      </c>
      <c r="R59">
        <v>3743</v>
      </c>
      <c r="S59">
        <f>Tabel242567[[#This Row],[Stand Hot Water einde maand]]-Tabel242567[[#This Row],[Hot Water vorige maand]]</f>
        <v>895</v>
      </c>
      <c r="T59" s="25">
        <v>631</v>
      </c>
      <c r="U59">
        <v>512</v>
      </c>
      <c r="V59">
        <f>Tabel242567[[#This Row],[Stand Cappucino einde maand]]-Tabel242567[[#This Row],[Stand Cappucino vorige maand]]</f>
        <v>119</v>
      </c>
      <c r="W59" s="25">
        <v>457</v>
      </c>
      <c r="X59" s="25">
        <v>403</v>
      </c>
      <c r="Y59">
        <f>Tabel242567[[#This Row],[Stand Cappucino Plantaardig einde maand]]-Tabel242567[[#This Row],[Stand Cappucino Plantaardig vorige maand]]</f>
        <v>54</v>
      </c>
      <c r="Z59" s="25">
        <v>276</v>
      </c>
      <c r="AA59">
        <v>213</v>
      </c>
      <c r="AB59" s="12">
        <f>Tabel242567[[#This Row],[Stand Latte Macchiato Plantaardig einde maand]]-Tabel242567[[#This Row],[Stand Latte Macchiato Plantaardig vorige maand]]</f>
        <v>63</v>
      </c>
      <c r="AC59" s="3">
        <f>Tabel242567[[#This Row],[Verbruik Stand Latte Macchiato Plantaardig deze maand]]+Tabel242567[[#This Row],[Verbruik  Cappucino Plantaardig deze maand]]+Tabel242567[[#This Row],[Verbruik Cappucino deze maand]]+Tabel242567[[#This Row],[Verbruik Hot Water deze maand]]+Tabel242567[[#This Row],[Verbruik Coffee Latte deze maand]]+Tabel242567[[#This Row],[Verbruik Latte Macchiato deze maand]]+Tabel242567[[#This Row],[Verbruik Espresso deze maand]]+Tabel242567[[#This Row],[Verbruik Coffee deze maand]]</f>
        <v>1717</v>
      </c>
      <c r="AD59" s="26"/>
      <c r="AE59" s="5"/>
      <c r="AF59" s="5"/>
      <c r="AG59" s="7"/>
      <c r="AH59" s="26"/>
      <c r="AI59" s="5"/>
      <c r="AJ59" s="5"/>
      <c r="AK59" s="7"/>
      <c r="AL59" s="26"/>
      <c r="AM59" s="5"/>
      <c r="AN59" s="5"/>
      <c r="AO59" s="7"/>
      <c r="AP59" s="26"/>
      <c r="AQ59" s="5"/>
      <c r="AR59" s="5"/>
      <c r="AS59" s="7"/>
      <c r="AT59" s="26"/>
      <c r="AU59" s="5"/>
      <c r="AV59" s="5"/>
      <c r="AW59" s="21"/>
      <c r="AX59" s="8"/>
      <c r="AY59" s="4">
        <f>Tabel242567[[#This Row],[Subtotaal waterbar in consumpties]]+Tabel242567[[#This Row],[Subtotaal koffieautomaten]]</f>
        <v>1717</v>
      </c>
    </row>
    <row r="60" spans="1:51" x14ac:dyDescent="0.25">
      <c r="A60" t="s">
        <v>60</v>
      </c>
      <c r="B60" t="s">
        <v>108</v>
      </c>
      <c r="C60" t="s">
        <v>36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25">
        <v>89.1</v>
      </c>
      <c r="AE60">
        <v>84.4</v>
      </c>
      <c r="AF60">
        <f>Tabel242567[[#This Row],[Stand Kamertemp liter einde maand]]-Tabel242567[[#This Row],[Stand Kamertemp liter vorige maand]]</f>
        <v>4.6999999999999886</v>
      </c>
      <c r="AG60" s="2">
        <f>Tabel242567[[#This Row],[Verbruik Kamertemp liter deze maand]]/0.15</f>
        <v>31.333333333333258</v>
      </c>
      <c r="AH60" s="25">
        <v>353.5</v>
      </c>
      <c r="AI60">
        <v>284.10000000000002</v>
      </c>
      <c r="AJ60">
        <f>Tabel242567[[#This Row],[Stand Gekoeld liter einde maand]]-Tabel242567[[#This Row],[Stand Gekoeld liter vorige maand]]</f>
        <v>69.399999999999977</v>
      </c>
      <c r="AK60" s="2">
        <f>Tabel242567[[#This Row],[Verbruik Gekoeld liter deze maand]]/0.15</f>
        <v>462.66666666666652</v>
      </c>
      <c r="AL60" s="25">
        <v>256</v>
      </c>
      <c r="AM60">
        <v>203.7</v>
      </c>
      <c r="AN60">
        <f>Tabel242567[[#This Row],[Stand Bruisend liter einde maand]]-Tabel242567[[#This Row],[Stand Bruisend liter vorige maand]]</f>
        <v>52.300000000000011</v>
      </c>
      <c r="AO60" s="2">
        <f>Tabel242567[[#This Row],[Verbruik Bruisend liter deze maand]]/0.15</f>
        <v>348.66666666666674</v>
      </c>
      <c r="AP60" s="25">
        <v>215.1</v>
      </c>
      <c r="AQ60">
        <v>182</v>
      </c>
      <c r="AR60">
        <f>Tabel242567[[#This Row],[Stand licht bruisend liter einde maand]]-Tabel242567[[#This Row],[Stand licht bruisend liter vorige maand]]</f>
        <v>33.099999999999994</v>
      </c>
      <c r="AS60" s="2">
        <f>Tabel242567[[#This Row],[Verbruik licht bruisend liter deze maand]]/0.15</f>
        <v>220.66666666666663</v>
      </c>
      <c r="AT60" s="25">
        <v>980.1</v>
      </c>
      <c r="AU60">
        <v>885.8</v>
      </c>
      <c r="AV60">
        <f>Tabel242567[[#This Row],[Stand heet water liter einde maand]]-Tabel242567[[#This Row],[Stand heet water liter vorige maand]]</f>
        <v>94.300000000000068</v>
      </c>
      <c r="AW60" s="20">
        <f>Tabel242567[[#This Row],[Verbruik heet Water liter deze maand ]]/0.15</f>
        <v>628.6666666666672</v>
      </c>
      <c r="AX60" s="4">
        <f>Tabel242567[[#This Row],[Aantal consumpties heet water deze maand]]+Tabel242567[[#This Row],[Aantal consumpties licht bruisend water deze maand]]+Tabel242567[[#This Row],[aantal consumpties Bruisend water deze maand]]+Tabel242567[[#This Row],[Aantal consumpties gekoeld water deze maand]]+Tabel242567[[#This Row],[Aantal consumpties Kamertemp deze maand]]</f>
        <v>1692.0000000000002</v>
      </c>
      <c r="AY60" s="4">
        <f>Tabel242567[[#This Row],[Subtotaal waterbar in consumpties]]+Tabel242567[[#This Row],[Subtotaal koffieautomaten]]</f>
        <v>1692.0000000000002</v>
      </c>
    </row>
    <row r="61" spans="1:51" x14ac:dyDescent="0.25">
      <c r="A61" s="3" t="s">
        <v>109</v>
      </c>
      <c r="E61" s="25"/>
      <c r="F61" s="25"/>
      <c r="H61" s="25"/>
      <c r="J61" s="12"/>
      <c r="K61" s="25"/>
      <c r="N61" s="25"/>
      <c r="Q61" s="25"/>
      <c r="T61" s="25"/>
      <c r="W61" s="25"/>
      <c r="X61" s="25"/>
      <c r="Z61" s="25"/>
      <c r="AC61" s="3">
        <f>Tabel242567[[#This Row],[Verbruik Stand Latte Macchiato Plantaardig deze maand]]+Tabel242567[[#This Row],[Verbruik  Cappucino Plantaardig deze maand]]+Tabel242567[[#This Row],[Verbruik Cappucino deze maand]]+Tabel242567[[#This Row],[Verbruik Hot Water deze maand]]+Tabel242567[[#This Row],[Verbruik Coffee Latte deze maand]]+Tabel242567[[#This Row],[Verbruik Latte Macchiato deze maand]]+Tabel242567[[#This Row],[Verbruik Espresso deze maand]]+Tabel242567[[#This Row],[Verbruik Coffee deze maand]]</f>
        <v>0</v>
      </c>
      <c r="AD61" s="25"/>
      <c r="AG61" s="2"/>
      <c r="AH61" s="25"/>
      <c r="AK61" s="2"/>
      <c r="AL61" s="25"/>
      <c r="AO61" s="2"/>
      <c r="AP61" s="25"/>
      <c r="AS61" s="2"/>
      <c r="AT61" s="25"/>
      <c r="AW61" s="20"/>
      <c r="AX61" s="4"/>
      <c r="AY61" s="4">
        <f>Tabel242567[[#This Row],[Subtotaal waterbar in consumpties]]+Tabel242567[[#This Row],[Subtotaal koffieautomaten]]</f>
        <v>0</v>
      </c>
    </row>
    <row r="62" spans="1:51" x14ac:dyDescent="0.25">
      <c r="A62">
        <v>1</v>
      </c>
      <c r="B62" t="s">
        <v>110</v>
      </c>
      <c r="C62" t="s">
        <v>31</v>
      </c>
      <c r="E62" s="25">
        <v>2927</v>
      </c>
      <c r="F62" s="25">
        <v>2571</v>
      </c>
      <c r="G62" s="12">
        <f>Tabel242567[[#This Row],[Stand Coffee einde maand]]-Tabel242567[[#This Row],[Coffee vorige maand]]</f>
        <v>356</v>
      </c>
      <c r="H62" s="25">
        <v>222</v>
      </c>
      <c r="I62">
        <v>188</v>
      </c>
      <c r="J62" s="12">
        <f>Tabel242567[[#This Row],[Stand Espresso Einde maand]]-Tabel242567[[#This Row],[Espresso vorige maand]]</f>
        <v>34</v>
      </c>
      <c r="K62" s="25">
        <v>277</v>
      </c>
      <c r="L62">
        <v>221</v>
      </c>
      <c r="M62">
        <f>Tabel242567[[#This Row],[Stand Latte Macchiato einde maand]]-Tabel242567[[#This Row],[Latte Macchiato vorige maand]]</f>
        <v>56</v>
      </c>
      <c r="N62" s="25">
        <v>230</v>
      </c>
      <c r="O62">
        <v>221</v>
      </c>
      <c r="P62">
        <f>Tabel242567[[#This Row],[Stand Coffee Latte einde maand]]-Tabel242567[[#This Row],[Coffee Latte vorige maand]]</f>
        <v>9</v>
      </c>
      <c r="Q62" s="25">
        <v>1670</v>
      </c>
      <c r="R62">
        <v>1463</v>
      </c>
      <c r="S62">
        <f>Tabel242567[[#This Row],[Stand Hot Water einde maand]]-Tabel242567[[#This Row],[Hot Water vorige maand]]</f>
        <v>207</v>
      </c>
      <c r="T62" s="25">
        <v>757</v>
      </c>
      <c r="U62">
        <v>640</v>
      </c>
      <c r="V62">
        <f>Tabel242567[[#This Row],[Stand Cappucino einde maand]]-Tabel242567[[#This Row],[Stand Cappucino vorige maand]]</f>
        <v>117</v>
      </c>
      <c r="W62" s="25">
        <v>19</v>
      </c>
      <c r="X62" s="25">
        <v>19</v>
      </c>
      <c r="Y62">
        <f>Tabel242567[[#This Row],[Stand Cappucino Plantaardig einde maand]]-Tabel242567[[#This Row],[Stand Cappucino Plantaardig vorige maand]]</f>
        <v>0</v>
      </c>
      <c r="Z62" s="25">
        <v>110</v>
      </c>
      <c r="AA62">
        <v>97</v>
      </c>
      <c r="AB62" s="12">
        <f>Tabel242567[[#This Row],[Stand Latte Macchiato Plantaardig einde maand]]-Tabel242567[[#This Row],[Stand Latte Macchiato Plantaardig vorige maand]]</f>
        <v>13</v>
      </c>
      <c r="AC62" s="3">
        <f>Tabel242567[[#This Row],[Verbruik Stand Latte Macchiato Plantaardig deze maand]]+Tabel242567[[#This Row],[Verbruik  Cappucino Plantaardig deze maand]]+Tabel242567[[#This Row],[Verbruik Cappucino deze maand]]+Tabel242567[[#This Row],[Verbruik Hot Water deze maand]]+Tabel242567[[#This Row],[Verbruik Coffee Latte deze maand]]+Tabel242567[[#This Row],[Verbruik Latte Macchiato deze maand]]+Tabel242567[[#This Row],[Verbruik Espresso deze maand]]+Tabel242567[[#This Row],[Verbruik Coffee deze maand]]</f>
        <v>792</v>
      </c>
      <c r="AD62" s="26"/>
      <c r="AE62" s="5"/>
      <c r="AF62" s="5"/>
      <c r="AG62" s="5"/>
      <c r="AH62" s="26"/>
      <c r="AI62" s="5"/>
      <c r="AJ62" s="5"/>
      <c r="AK62" s="5"/>
      <c r="AL62" s="26"/>
      <c r="AM62" s="5"/>
      <c r="AN62" s="5"/>
      <c r="AO62" s="5"/>
      <c r="AP62" s="26"/>
      <c r="AQ62" s="5"/>
      <c r="AR62" s="5"/>
      <c r="AS62" s="5"/>
      <c r="AT62" s="26"/>
      <c r="AU62" s="5"/>
      <c r="AV62" s="5"/>
      <c r="AW62" s="21"/>
      <c r="AX62" s="8"/>
      <c r="AY62" s="4">
        <f>Tabel242567[[#This Row],[Subtotaal waterbar in consumpties]]+Tabel242567[[#This Row],[Subtotaal koffieautomaten]]</f>
        <v>792</v>
      </c>
    </row>
    <row r="63" spans="1:51" x14ac:dyDescent="0.25">
      <c r="A63">
        <v>1</v>
      </c>
      <c r="B63" t="s">
        <v>111</v>
      </c>
      <c r="C63" t="s">
        <v>31</v>
      </c>
      <c r="E63" s="25">
        <v>2442</v>
      </c>
      <c r="F63" s="25">
        <v>1851</v>
      </c>
      <c r="G63" s="12">
        <f>Tabel242567[[#This Row],[Stand Coffee einde maand]]-Tabel242567[[#This Row],[Coffee vorige maand]]</f>
        <v>591</v>
      </c>
      <c r="H63" s="25">
        <v>194</v>
      </c>
      <c r="I63">
        <v>150</v>
      </c>
      <c r="J63" s="12">
        <f>Tabel242567[[#This Row],[Stand Espresso Einde maand]]-Tabel242567[[#This Row],[Espresso vorige maand]]</f>
        <v>44</v>
      </c>
      <c r="K63" s="25">
        <v>643</v>
      </c>
      <c r="L63">
        <v>523</v>
      </c>
      <c r="M63">
        <f>Tabel242567[[#This Row],[Stand Latte Macchiato einde maand]]-Tabel242567[[#This Row],[Latte Macchiato vorige maand]]</f>
        <v>120</v>
      </c>
      <c r="N63" s="25">
        <v>325</v>
      </c>
      <c r="O63">
        <v>255</v>
      </c>
      <c r="P63">
        <f>Tabel242567[[#This Row],[Stand Coffee Latte einde maand]]-Tabel242567[[#This Row],[Coffee Latte vorige maand]]</f>
        <v>70</v>
      </c>
      <c r="Q63" s="25">
        <v>1965</v>
      </c>
      <c r="R63">
        <v>1529</v>
      </c>
      <c r="S63">
        <f>Tabel242567[[#This Row],[Stand Hot Water einde maand]]-Tabel242567[[#This Row],[Hot Water vorige maand]]</f>
        <v>436</v>
      </c>
      <c r="T63" s="25">
        <v>590</v>
      </c>
      <c r="U63">
        <v>478</v>
      </c>
      <c r="V63">
        <f>Tabel242567[[#This Row],[Stand Cappucino einde maand]]-Tabel242567[[#This Row],[Stand Cappucino vorige maand]]</f>
        <v>112</v>
      </c>
      <c r="W63" s="25">
        <v>76</v>
      </c>
      <c r="X63" s="25">
        <v>61</v>
      </c>
      <c r="Y63">
        <f>Tabel242567[[#This Row],[Stand Cappucino Plantaardig einde maand]]-Tabel242567[[#This Row],[Stand Cappucino Plantaardig vorige maand]]</f>
        <v>15</v>
      </c>
      <c r="Z63" s="25">
        <v>227</v>
      </c>
      <c r="AA63">
        <v>214</v>
      </c>
      <c r="AB63" s="12">
        <f>Tabel242567[[#This Row],[Stand Latte Macchiato Plantaardig einde maand]]-Tabel242567[[#This Row],[Stand Latte Macchiato Plantaardig vorige maand]]</f>
        <v>13</v>
      </c>
      <c r="AC63" s="3">
        <f>Tabel242567[[#This Row],[Verbruik Stand Latte Macchiato Plantaardig deze maand]]+Tabel242567[[#This Row],[Verbruik  Cappucino Plantaardig deze maand]]+Tabel242567[[#This Row],[Verbruik Cappucino deze maand]]+Tabel242567[[#This Row],[Verbruik Hot Water deze maand]]+Tabel242567[[#This Row],[Verbruik Coffee Latte deze maand]]+Tabel242567[[#This Row],[Verbruik Latte Macchiato deze maand]]+Tabel242567[[#This Row],[Verbruik Espresso deze maand]]+Tabel242567[[#This Row],[Verbruik Coffee deze maand]]</f>
        <v>1401</v>
      </c>
      <c r="AD63" s="26"/>
      <c r="AE63" s="5"/>
      <c r="AF63" s="5"/>
      <c r="AG63" s="5"/>
      <c r="AH63" s="26"/>
      <c r="AI63" s="5"/>
      <c r="AJ63" s="5"/>
      <c r="AK63" s="5"/>
      <c r="AL63" s="26"/>
      <c r="AM63" s="5"/>
      <c r="AN63" s="5"/>
      <c r="AO63" s="5"/>
      <c r="AP63" s="26"/>
      <c r="AQ63" s="5"/>
      <c r="AR63" s="5"/>
      <c r="AS63" s="5"/>
      <c r="AT63" s="26"/>
      <c r="AU63" s="5"/>
      <c r="AV63" s="5"/>
      <c r="AW63" s="21"/>
      <c r="AX63" s="8"/>
      <c r="AY63" s="4">
        <f>Tabel242567[[#This Row],[Subtotaal waterbar in consumpties]]+Tabel242567[[#This Row],[Subtotaal koffieautomaten]]</f>
        <v>1401</v>
      </c>
    </row>
    <row r="64" spans="1:51" x14ac:dyDescent="0.25">
      <c r="A64" s="3" t="s">
        <v>112</v>
      </c>
      <c r="E64" s="24">
        <f>SUM(E3:E63)</f>
        <v>136816</v>
      </c>
      <c r="F64" s="3">
        <f>SUM(F4:F63)</f>
        <v>111649</v>
      </c>
      <c r="G64" s="17">
        <f>Tabel242567[[#This Row],[Stand Coffee einde maand]]-Tabel242567[[#This Row],[Coffee vorige maand]]</f>
        <v>25167</v>
      </c>
      <c r="H64" s="24">
        <f t="shared" ref="H64:W64" si="0">SUM(H3:H63)</f>
        <v>34763</v>
      </c>
      <c r="I64" s="3">
        <f>SUM(I4:I63)</f>
        <v>28548</v>
      </c>
      <c r="J64" s="17">
        <f>Tabel242567[[#This Row],[Stand Espresso Einde maand]]-Tabel242567[[#This Row],[Espresso vorige maand]]</f>
        <v>6215</v>
      </c>
      <c r="K64" s="24">
        <f t="shared" si="0"/>
        <v>17899</v>
      </c>
      <c r="L64" s="3">
        <f>SUM(L4:L63)</f>
        <v>14907</v>
      </c>
      <c r="M64" s="3">
        <f>Tabel242567[[#This Row],[Stand Latte Macchiato einde maand]]-Tabel242567[[#This Row],[Latte Macchiato vorige maand]]</f>
        <v>2992</v>
      </c>
      <c r="N64" s="24">
        <f t="shared" si="0"/>
        <v>10014</v>
      </c>
      <c r="O64" s="3">
        <f>SUM(O4:O63)</f>
        <v>8093</v>
      </c>
      <c r="P64" s="3">
        <f>Tabel242567[[#This Row],[Stand Coffee Latte einde maand]]-Tabel242567[[#This Row],[Coffee Latte vorige maand]]</f>
        <v>1921</v>
      </c>
      <c r="Q64" s="24">
        <f t="shared" si="0"/>
        <v>156228</v>
      </c>
      <c r="R64" s="3">
        <f>SUM(R4:R63)</f>
        <v>129998</v>
      </c>
      <c r="S64" s="3">
        <f>Tabel242567[[#This Row],[Stand Hot Water einde maand]]-Tabel242567[[#This Row],[Hot Water vorige maand]]</f>
        <v>26230</v>
      </c>
      <c r="T64" s="24">
        <f t="shared" si="0"/>
        <v>77379</v>
      </c>
      <c r="U64" s="3">
        <f>SUM(U4:U63)</f>
        <v>62813</v>
      </c>
      <c r="V64" s="3">
        <f>Tabel242567[[#This Row],[Stand Cappucino einde maand]]-Tabel242567[[#This Row],[Stand Cappucino vorige maand]]</f>
        <v>14566</v>
      </c>
      <c r="W64" s="24">
        <f t="shared" si="0"/>
        <v>19427</v>
      </c>
      <c r="X64" s="3">
        <f>SUM(X4:X63)</f>
        <v>16247</v>
      </c>
      <c r="Y64" s="3">
        <f>Tabel242567[[#This Row],[Stand Cappucino Plantaardig einde maand]]-Tabel242567[[#This Row],[Stand Cappucino Plantaardig vorige maand]]</f>
        <v>3180</v>
      </c>
      <c r="Z64" s="24">
        <f>SUM(Z3:Z63)</f>
        <v>6841</v>
      </c>
      <c r="AA64" s="3">
        <f>SUM(AA4:AA63)</f>
        <v>5748</v>
      </c>
      <c r="AB64" s="17">
        <f>Tabel242567[[#This Row],[Stand Latte Macchiato Plantaardig einde maand]]-Tabel242567[[#This Row],[Stand Latte Macchiato Plantaardig vorige maand]]</f>
        <v>1093</v>
      </c>
      <c r="AC64" s="3">
        <f>SUM(AC3:AC63)</f>
        <v>81364</v>
      </c>
      <c r="AD64" s="24">
        <f>SUM(AD3:AD63)</f>
        <v>2170.7999999999993</v>
      </c>
      <c r="AE64" s="3">
        <f>SUM(AE4:AE63)</f>
        <v>1802.1000000000004</v>
      </c>
      <c r="AF64" s="4">
        <f t="shared" ref="AF64:AW64" si="1">SUM(AF3:AF63)</f>
        <v>368.7</v>
      </c>
      <c r="AG64" s="4">
        <f>SUM(AG3:AG63)</f>
        <v>2458</v>
      </c>
      <c r="AH64" s="23">
        <f t="shared" si="1"/>
        <v>13735.399999999998</v>
      </c>
      <c r="AI64" s="3">
        <f>SUM(AI4:AI63)</f>
        <v>10320.600000000002</v>
      </c>
      <c r="AJ64" s="4">
        <f t="shared" si="1"/>
        <v>3414.7999999999997</v>
      </c>
      <c r="AK64" s="4">
        <f t="shared" si="1"/>
        <v>22765.333333333339</v>
      </c>
      <c r="AL64" s="23">
        <f t="shared" si="1"/>
        <v>13098.800000000001</v>
      </c>
      <c r="AM64" s="3">
        <f>SUM(AM4:AM63)</f>
        <v>10108.4</v>
      </c>
      <c r="AN64" s="4">
        <f t="shared" si="1"/>
        <v>2990.4</v>
      </c>
      <c r="AO64" s="4">
        <f t="shared" si="1"/>
        <v>19936</v>
      </c>
      <c r="AP64" s="23">
        <f t="shared" si="1"/>
        <v>6470.9</v>
      </c>
      <c r="AQ64" s="3">
        <f>SUM(AQ4:AQ63)</f>
        <v>5195.5000000000009</v>
      </c>
      <c r="AR64" s="3">
        <f>SUM(AR4:AR63)</f>
        <v>1275.3999999999996</v>
      </c>
      <c r="AS64" s="4">
        <f t="shared" si="1"/>
        <v>8502.6666666666661</v>
      </c>
      <c r="AT64" s="23">
        <f t="shared" si="1"/>
        <v>40757.1</v>
      </c>
      <c r="AU64" s="3">
        <f>SUM(AU4:AU63)</f>
        <v>35778.6</v>
      </c>
      <c r="AV64" s="3">
        <f>SUM(AV4:AV63)</f>
        <v>4978.4999999999991</v>
      </c>
      <c r="AW64" s="22">
        <f t="shared" si="1"/>
        <v>33190</v>
      </c>
      <c r="AX64" s="4">
        <f>SUM(AX3:AX63)</f>
        <v>86852.333333333328</v>
      </c>
      <c r="AY64" s="4">
        <f>Tabel242567[[#This Row],[Subtotaal waterbar in consumpties]]+Tabel242567[[#This Row],[Subtotaal koffieautomaten]]</f>
        <v>168216.33333333331</v>
      </c>
    </row>
    <row r="65" spans="8:58" x14ac:dyDescent="0.25">
      <c r="H65" s="13"/>
      <c r="I65" s="14"/>
      <c r="J65" s="15"/>
      <c r="K65" s="13"/>
      <c r="L65" s="14"/>
      <c r="M65" s="14"/>
      <c r="AX65" s="3"/>
      <c r="AY65" s="3"/>
      <c r="BC65">
        <v>167924</v>
      </c>
      <c r="BD65">
        <v>22765</v>
      </c>
      <c r="BE65">
        <v>2458</v>
      </c>
      <c r="BF65">
        <f>BC65-BD65-BE65</f>
        <v>142701</v>
      </c>
    </row>
    <row r="66" spans="8:58" x14ac:dyDescent="0.25">
      <c r="BC66">
        <v>168216</v>
      </c>
      <c r="BF66">
        <f>BC66-BD65-BE65</f>
        <v>142993</v>
      </c>
    </row>
    <row r="67" spans="8:58" x14ac:dyDescent="0.25">
      <c r="AY67" s="2"/>
      <c r="BA67" s="2">
        <f>AY64-AG64-AK64</f>
        <v>142992.99999999997</v>
      </c>
      <c r="BF67">
        <f>BF66-BF65</f>
        <v>292</v>
      </c>
    </row>
    <row r="68" spans="8:58" x14ac:dyDescent="0.25">
      <c r="L68" s="44"/>
      <c r="AY68" s="2"/>
      <c r="BF68">
        <f>1059-1351</f>
        <v>-292</v>
      </c>
    </row>
    <row r="69" spans="8:58" x14ac:dyDescent="0.25">
      <c r="L69" s="44"/>
    </row>
  </sheetData>
  <mergeCells count="3">
    <mergeCell ref="A1:D1"/>
    <mergeCell ref="E1:AC1"/>
    <mergeCell ref="AD1:AY1"/>
  </mergeCell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4B735-D62C-4441-A2FC-8969E7EF91BA}">
  <dimension ref="A1:BA70"/>
  <sheetViews>
    <sheetView zoomScale="70" zoomScaleNormal="70" workbookViewId="0">
      <pane xSplit="2" ySplit="1" topLeftCell="AR57" activePane="bottomRight" state="frozen"/>
      <selection pane="topRight" activeCell="G19" sqref="G19"/>
      <selection pane="bottomLeft" activeCell="G19" sqref="G19"/>
      <selection pane="bottomRight" activeCell="G19" sqref="G19"/>
    </sheetView>
  </sheetViews>
  <sheetFormatPr defaultRowHeight="15" x14ac:dyDescent="0.25"/>
  <cols>
    <col min="1" max="1" width="32.140625" bestFit="1" customWidth="1"/>
    <col min="2" max="2" width="21.42578125" bestFit="1" customWidth="1"/>
    <col min="3" max="3" width="25.42578125" bestFit="1" customWidth="1"/>
    <col min="4" max="4" width="18.5703125" customWidth="1"/>
    <col min="5" max="5" width="10.140625" style="11" customWidth="1"/>
    <col min="6" max="6" width="10.42578125" customWidth="1"/>
    <col min="7" max="7" width="10.5703125" style="12" customWidth="1"/>
    <col min="8" max="8" width="11.85546875" customWidth="1"/>
    <col min="9" max="9" width="11.7109375" customWidth="1"/>
    <col min="10" max="10" width="12.42578125" customWidth="1"/>
    <col min="11" max="11" width="17.140625" customWidth="1"/>
    <col min="12" max="12" width="13.5703125" customWidth="1"/>
    <col min="13" max="13" width="13.42578125" bestFit="1" customWidth="1"/>
    <col min="14" max="14" width="14" style="11" customWidth="1"/>
    <col min="15" max="16" width="14" customWidth="1"/>
    <col min="17" max="17" width="14.140625" style="11" customWidth="1"/>
    <col min="18" max="19" width="12.28515625" customWidth="1"/>
    <col min="20" max="20" width="12.42578125" style="11" customWidth="1"/>
    <col min="21" max="22" width="12.42578125" customWidth="1"/>
    <col min="23" max="23" width="17" style="11" customWidth="1"/>
    <col min="24" max="25" width="17" customWidth="1"/>
    <col min="26" max="26" width="20.7109375" style="11" customWidth="1"/>
    <col min="27" max="27" width="20.7109375" customWidth="1"/>
    <col min="28" max="28" width="20.7109375" style="12" customWidth="1"/>
    <col min="29" max="29" width="13.85546875" customWidth="1"/>
    <col min="30" max="30" width="17.5703125" style="11" customWidth="1"/>
    <col min="31" max="32" width="17.5703125" customWidth="1"/>
    <col min="33" max="33" width="20.28515625" customWidth="1"/>
    <col min="34" max="34" width="14.42578125" style="11" customWidth="1"/>
    <col min="35" max="36" width="14.42578125" customWidth="1"/>
    <col min="37" max="37" width="21.28515625" customWidth="1"/>
    <col min="38" max="38" width="15.140625" style="11" customWidth="1"/>
    <col min="39" max="40" width="15.140625" customWidth="1"/>
    <col min="41" max="41" width="21.28515625" customWidth="1"/>
    <col min="42" max="42" width="19.42578125" style="11" customWidth="1"/>
    <col min="43" max="44" width="19.42578125" customWidth="1"/>
    <col min="45" max="45" width="21.28515625" customWidth="1"/>
    <col min="46" max="46" width="17" style="11" customWidth="1"/>
    <col min="47" max="48" width="17" customWidth="1"/>
    <col min="49" max="49" width="21.28515625" style="12" customWidth="1"/>
    <col min="50" max="50" width="20" customWidth="1"/>
    <col min="51" max="51" width="14.140625" customWidth="1"/>
  </cols>
  <sheetData>
    <row r="1" spans="1:51" x14ac:dyDescent="0.25">
      <c r="A1" s="172" t="s">
        <v>0</v>
      </c>
      <c r="B1" s="172"/>
      <c r="C1" s="172"/>
      <c r="D1" s="172"/>
      <c r="E1" s="172" t="s">
        <v>1</v>
      </c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 t="s">
        <v>2</v>
      </c>
      <c r="AE1" s="172"/>
      <c r="AF1" s="172"/>
      <c r="AG1" s="172"/>
      <c r="AH1" s="172"/>
      <c r="AI1" s="172"/>
      <c r="AJ1" s="172"/>
      <c r="AK1" s="172"/>
      <c r="AL1" s="172"/>
      <c r="AM1" s="172"/>
      <c r="AN1" s="172"/>
      <c r="AO1" s="172"/>
      <c r="AP1" s="172"/>
      <c r="AQ1" s="172"/>
      <c r="AR1" s="172"/>
      <c r="AS1" s="172"/>
      <c r="AT1" s="172"/>
      <c r="AU1" s="172"/>
      <c r="AV1" s="172"/>
      <c r="AW1" s="172"/>
      <c r="AX1" s="172"/>
      <c r="AY1" s="172"/>
    </row>
    <row r="2" spans="1:51" ht="60" x14ac:dyDescent="0.25">
      <c r="A2" t="s">
        <v>3</v>
      </c>
      <c r="B2" t="s">
        <v>4</v>
      </c>
      <c r="C2" t="s">
        <v>5</v>
      </c>
      <c r="D2" t="s">
        <v>6</v>
      </c>
      <c r="E2" s="9" t="s">
        <v>113</v>
      </c>
      <c r="F2" s="1" t="s">
        <v>114</v>
      </c>
      <c r="G2" s="10" t="s">
        <v>115</v>
      </c>
      <c r="H2" s="1" t="s">
        <v>116</v>
      </c>
      <c r="I2" s="1" t="s">
        <v>117</v>
      </c>
      <c r="J2" s="1" t="s">
        <v>118</v>
      </c>
      <c r="K2" s="1" t="s">
        <v>119</v>
      </c>
      <c r="L2" s="1" t="s">
        <v>120</v>
      </c>
      <c r="M2" s="1" t="s">
        <v>121</v>
      </c>
      <c r="N2" s="9" t="s">
        <v>122</v>
      </c>
      <c r="O2" s="1" t="s">
        <v>123</v>
      </c>
      <c r="P2" s="1" t="s">
        <v>124</v>
      </c>
      <c r="Q2" s="9" t="s">
        <v>125</v>
      </c>
      <c r="R2" s="1" t="s">
        <v>126</v>
      </c>
      <c r="S2" s="1" t="s">
        <v>127</v>
      </c>
      <c r="T2" s="9" t="s">
        <v>128</v>
      </c>
      <c r="U2" s="1" t="s">
        <v>129</v>
      </c>
      <c r="V2" s="1" t="s">
        <v>130</v>
      </c>
      <c r="W2" s="9" t="s">
        <v>131</v>
      </c>
      <c r="X2" s="1" t="s">
        <v>132</v>
      </c>
      <c r="Y2" s="1" t="s">
        <v>133</v>
      </c>
      <c r="Z2" s="9" t="s">
        <v>134</v>
      </c>
      <c r="AA2" s="1" t="s">
        <v>135</v>
      </c>
      <c r="AB2" s="10" t="s">
        <v>136</v>
      </c>
      <c r="AC2" s="1" t="s">
        <v>15</v>
      </c>
      <c r="AD2" s="9" t="s">
        <v>137</v>
      </c>
      <c r="AE2" s="1" t="s">
        <v>138</v>
      </c>
      <c r="AF2" s="1" t="s">
        <v>139</v>
      </c>
      <c r="AG2" s="1" t="s">
        <v>140</v>
      </c>
      <c r="AH2" s="9" t="s">
        <v>141</v>
      </c>
      <c r="AI2" s="1" t="s">
        <v>142</v>
      </c>
      <c r="AJ2" s="1" t="s">
        <v>143</v>
      </c>
      <c r="AK2" s="1" t="s">
        <v>144</v>
      </c>
      <c r="AL2" s="9" t="s">
        <v>145</v>
      </c>
      <c r="AM2" s="1" t="s">
        <v>146</v>
      </c>
      <c r="AN2" s="1" t="s">
        <v>147</v>
      </c>
      <c r="AO2" s="1" t="s">
        <v>148</v>
      </c>
      <c r="AP2" s="9" t="s">
        <v>149</v>
      </c>
      <c r="AQ2" s="1" t="s">
        <v>150</v>
      </c>
      <c r="AR2" s="1" t="s">
        <v>151</v>
      </c>
      <c r="AS2" s="1" t="s">
        <v>152</v>
      </c>
      <c r="AT2" s="9" t="s">
        <v>153</v>
      </c>
      <c r="AU2" s="1" t="s">
        <v>154</v>
      </c>
      <c r="AV2" s="1" t="s">
        <v>155</v>
      </c>
      <c r="AW2" s="10" t="s">
        <v>156</v>
      </c>
      <c r="AX2" s="1" t="s">
        <v>157</v>
      </c>
      <c r="AY2" t="s">
        <v>27</v>
      </c>
    </row>
    <row r="3" spans="1:51" x14ac:dyDescent="0.25">
      <c r="A3" s="3" t="s">
        <v>28</v>
      </c>
      <c r="E3" s="25"/>
      <c r="H3" s="27"/>
      <c r="I3" s="18"/>
      <c r="J3" s="19"/>
      <c r="K3" s="27"/>
      <c r="L3" s="18"/>
      <c r="M3" s="18"/>
      <c r="N3" s="25"/>
      <c r="Q3" s="25"/>
      <c r="T3" s="25"/>
      <c r="W3" s="25"/>
      <c r="Z3" s="25"/>
      <c r="AC3" s="3"/>
      <c r="AG3" s="2"/>
      <c r="AH3" s="25"/>
      <c r="AK3" s="2"/>
      <c r="AL3" s="25"/>
      <c r="AO3" s="2"/>
      <c r="AP3" s="25"/>
      <c r="AS3" s="2"/>
      <c r="AT3" s="25"/>
      <c r="AW3" s="20"/>
      <c r="AX3" s="4"/>
      <c r="AY3" s="4">
        <f>Tabel2425678[[#This Row],[Subtotaal waterbar in consumpties]]+Tabel2425678[[#This Row],[Subtotaal koffieautomaten]]</f>
        <v>0</v>
      </c>
    </row>
    <row r="4" spans="1:51" x14ac:dyDescent="0.25">
      <c r="A4" t="s">
        <v>29</v>
      </c>
      <c r="B4" t="s">
        <v>30</v>
      </c>
      <c r="C4" t="s">
        <v>31</v>
      </c>
      <c r="E4" s="11">
        <v>1350</v>
      </c>
      <c r="F4" s="25">
        <v>1180</v>
      </c>
      <c r="G4" s="12">
        <f>Tabel2425678[[#This Row],[Stand Coffee einde maand]]-Tabel2425678[[#This Row],[Coffee vorige maand]]</f>
        <v>170</v>
      </c>
      <c r="H4" s="11">
        <v>499</v>
      </c>
      <c r="I4" s="25">
        <v>445</v>
      </c>
      <c r="J4" s="12">
        <f>Tabel2425678[[#This Row],[Stand Espresso Einde maand]]-Tabel2425678[[#This Row],[Espresso vorige maand]]</f>
        <v>54</v>
      </c>
      <c r="K4" s="11">
        <v>502</v>
      </c>
      <c r="L4" s="25">
        <v>450</v>
      </c>
      <c r="M4">
        <f>Tabel2425678[[#This Row],[Stand Latte Macchiato einde maand]]-Tabel2425678[[#This Row],[Latte Macchiato vorige maand]]</f>
        <v>52</v>
      </c>
      <c r="N4" s="11">
        <v>546</v>
      </c>
      <c r="O4" s="25">
        <v>509</v>
      </c>
      <c r="P4">
        <f>Tabel2425678[[#This Row],[Stand Coffee Latte einde maand]]-Tabel2425678[[#This Row],[Coffee Latte vorige maand]]</f>
        <v>37</v>
      </c>
      <c r="Q4" s="11">
        <v>2118</v>
      </c>
      <c r="R4" s="25">
        <v>1881</v>
      </c>
      <c r="S4">
        <f>Tabel2425678[[#This Row],[Stand Hot Water einde maand]]-Tabel2425678[[#This Row],[Hot Water vorige maand]]</f>
        <v>237</v>
      </c>
      <c r="T4" s="11">
        <v>2008</v>
      </c>
      <c r="U4" s="25">
        <v>1790</v>
      </c>
      <c r="V4">
        <f>Tabel2425678[[#This Row],[Stand Cappucino einde maand]]-Tabel2425678[[#This Row],[Stand Cappucino vorige maand]]</f>
        <v>218</v>
      </c>
      <c r="W4" s="11">
        <v>60</v>
      </c>
      <c r="X4" s="25">
        <v>55</v>
      </c>
      <c r="Y4">
        <f>Tabel2425678[[#This Row],[Stand Cappucino Plantaardig einde maand]]-Tabel2425678[[#This Row],[Stand Cappucino Plantaardig vorige maand]]</f>
        <v>5</v>
      </c>
      <c r="Z4" s="11">
        <v>56</v>
      </c>
      <c r="AA4" s="25">
        <v>46</v>
      </c>
      <c r="AB4" s="12">
        <f>Tabel2425678[[#This Row],[Stand Latte Macchiato Plantaardig einde maand]]-Tabel2425678[[#This Row],[Stand Latte Macchiato Plantaardig vorige maand]]</f>
        <v>10</v>
      </c>
      <c r="AC4" s="3">
        <f>Tabel2425678[[#This Row],[Verbruik Stand Latte Macchiato Plantaardig deze maand]]+Tabel2425678[[#This Row],[Verbruik  Cappucino Plantaardig deze maand]]+Tabel2425678[[#This Row],[Verbruik Cappucino deze maand]]+Tabel2425678[[#This Row],[Verbruik Hot Water deze maand]]+Tabel2425678[[#This Row],[Verbruik Coffee Latte deze maand]]+Tabel2425678[[#This Row],[Verbruik Latte Macchiato deze maand]]+Tabel2425678[[#This Row],[Verbruik Espresso deze maand]]+Tabel2425678[[#This Row],[Verbruik Coffee deze maand]]</f>
        <v>783</v>
      </c>
      <c r="AD4" s="26"/>
      <c r="AE4" s="5"/>
      <c r="AF4" s="5"/>
      <c r="AG4" s="5"/>
      <c r="AH4" s="26"/>
      <c r="AI4" s="5"/>
      <c r="AJ4" s="5"/>
      <c r="AK4" s="5"/>
      <c r="AL4" s="26"/>
      <c r="AM4" s="5"/>
      <c r="AN4" s="5"/>
      <c r="AO4" s="5"/>
      <c r="AP4" s="26"/>
      <c r="AQ4" s="5"/>
      <c r="AR4" s="5"/>
      <c r="AS4" s="5"/>
      <c r="AT4" s="26"/>
      <c r="AU4" s="5"/>
      <c r="AV4" s="5"/>
      <c r="AW4" s="21"/>
      <c r="AX4" s="8"/>
      <c r="AY4" s="4">
        <f>Tabel2425678[[#This Row],[Subtotaal waterbar in consumpties]]+Tabel2425678[[#This Row],[Subtotaal koffieautomaten]]</f>
        <v>783</v>
      </c>
    </row>
    <row r="5" spans="1:51" x14ac:dyDescent="0.25">
      <c r="A5" t="s">
        <v>32</v>
      </c>
      <c r="B5" t="s">
        <v>33</v>
      </c>
      <c r="C5" t="s">
        <v>31</v>
      </c>
      <c r="E5" s="11">
        <v>2726</v>
      </c>
      <c r="F5" s="25">
        <v>2514</v>
      </c>
      <c r="G5" s="12">
        <f>Tabel2425678[[#This Row],[Stand Coffee einde maand]]-Tabel2425678[[#This Row],[Coffee vorige maand]]</f>
        <v>212</v>
      </c>
      <c r="H5" s="11">
        <v>700</v>
      </c>
      <c r="I5" s="25">
        <v>651</v>
      </c>
      <c r="J5" s="12">
        <f>Tabel2425678[[#This Row],[Stand Espresso Einde maand]]-Tabel2425678[[#This Row],[Espresso vorige maand]]</f>
        <v>49</v>
      </c>
      <c r="K5" s="11">
        <v>678</v>
      </c>
      <c r="L5" s="25">
        <v>643</v>
      </c>
      <c r="M5">
        <f>Tabel2425678[[#This Row],[Stand Latte Macchiato einde maand]]-Tabel2425678[[#This Row],[Latte Macchiato vorige maand]]</f>
        <v>35</v>
      </c>
      <c r="N5" s="11">
        <v>738</v>
      </c>
      <c r="O5" s="25">
        <v>691</v>
      </c>
      <c r="P5">
        <f>Tabel2425678[[#This Row],[Stand Coffee Latte einde maand]]-Tabel2425678[[#This Row],[Coffee Latte vorige maand]]</f>
        <v>47</v>
      </c>
      <c r="Q5" s="11">
        <v>6316</v>
      </c>
      <c r="R5" s="25">
        <v>5876</v>
      </c>
      <c r="S5">
        <f>Tabel2425678[[#This Row],[Stand Hot Water einde maand]]-Tabel2425678[[#This Row],[Hot Water vorige maand]]</f>
        <v>440</v>
      </c>
      <c r="T5" s="11">
        <v>3744</v>
      </c>
      <c r="U5" s="25">
        <v>3399</v>
      </c>
      <c r="V5">
        <f>Tabel2425678[[#This Row],[Stand Cappucino einde maand]]-Tabel2425678[[#This Row],[Stand Cappucino vorige maand]]</f>
        <v>345</v>
      </c>
      <c r="W5" s="11">
        <v>527</v>
      </c>
      <c r="X5" s="25">
        <v>451</v>
      </c>
      <c r="Y5">
        <f>Tabel2425678[[#This Row],[Stand Cappucino Plantaardig einde maand]]-Tabel2425678[[#This Row],[Stand Cappucino Plantaardig vorige maand]]</f>
        <v>76</v>
      </c>
      <c r="Z5" s="11">
        <v>275</v>
      </c>
      <c r="AA5" s="25">
        <v>171</v>
      </c>
      <c r="AB5" s="12">
        <f>Tabel2425678[[#This Row],[Stand Latte Macchiato Plantaardig einde maand]]-Tabel2425678[[#This Row],[Stand Latte Macchiato Plantaardig vorige maand]]</f>
        <v>104</v>
      </c>
      <c r="AC5" s="3">
        <f>Tabel2425678[[#This Row],[Verbruik Stand Latte Macchiato Plantaardig deze maand]]+Tabel2425678[[#This Row],[Verbruik  Cappucino Plantaardig deze maand]]+Tabel2425678[[#This Row],[Verbruik Cappucino deze maand]]+Tabel2425678[[#This Row],[Verbruik Hot Water deze maand]]+Tabel2425678[[#This Row],[Verbruik Coffee Latte deze maand]]+Tabel2425678[[#This Row],[Verbruik Latte Macchiato deze maand]]+Tabel2425678[[#This Row],[Verbruik Espresso deze maand]]+Tabel2425678[[#This Row],[Verbruik Coffee deze maand]]</f>
        <v>1308</v>
      </c>
      <c r="AD5" s="26"/>
      <c r="AE5" s="5"/>
      <c r="AF5" s="5"/>
      <c r="AG5" s="5"/>
      <c r="AH5" s="26"/>
      <c r="AI5" s="5"/>
      <c r="AJ5" s="5"/>
      <c r="AK5" s="5"/>
      <c r="AL5" s="26"/>
      <c r="AM5" s="5"/>
      <c r="AN5" s="5"/>
      <c r="AO5" s="5"/>
      <c r="AP5" s="26"/>
      <c r="AQ5" s="5"/>
      <c r="AR5" s="5"/>
      <c r="AS5" s="5"/>
      <c r="AT5" s="26"/>
      <c r="AU5" s="5"/>
      <c r="AV5" s="5"/>
      <c r="AW5" s="21"/>
      <c r="AX5" s="8"/>
      <c r="AY5" s="4">
        <f>Tabel2425678[[#This Row],[Subtotaal waterbar in consumpties]]+Tabel2425678[[#This Row],[Subtotaal koffieautomaten]]</f>
        <v>1308</v>
      </c>
    </row>
    <row r="6" spans="1:51" x14ac:dyDescent="0.25">
      <c r="A6" t="s">
        <v>34</v>
      </c>
      <c r="B6" t="s">
        <v>35</v>
      </c>
      <c r="C6" t="s">
        <v>47</v>
      </c>
      <c r="E6" s="11">
        <v>1157</v>
      </c>
      <c r="F6" s="25">
        <v>887</v>
      </c>
      <c r="G6" s="12">
        <f>Tabel2425678[[#This Row],[Stand Coffee einde maand]]-Tabel2425678[[#This Row],[Coffee vorige maand]]</f>
        <v>270</v>
      </c>
      <c r="H6" s="11">
        <v>165</v>
      </c>
      <c r="I6" s="25">
        <v>127</v>
      </c>
      <c r="J6" s="12">
        <f>Tabel2425678[[#This Row],[Stand Espresso Einde maand]]-Tabel2425678[[#This Row],[Espresso vorige maand]]</f>
        <v>38</v>
      </c>
      <c r="K6" s="11">
        <v>229</v>
      </c>
      <c r="L6" s="25">
        <v>179</v>
      </c>
      <c r="M6">
        <f>Tabel2425678[[#This Row],[Stand Latte Macchiato einde maand]]-Tabel2425678[[#This Row],[Latte Macchiato vorige maand]]</f>
        <v>50</v>
      </c>
      <c r="N6" s="11">
        <v>259</v>
      </c>
      <c r="O6" s="25">
        <v>215</v>
      </c>
      <c r="P6">
        <f>Tabel2425678[[#This Row],[Stand Coffee Latte einde maand]]-Tabel2425678[[#This Row],[Coffee Latte vorige maand]]</f>
        <v>44</v>
      </c>
      <c r="Q6" s="11">
        <v>1207</v>
      </c>
      <c r="R6" s="25">
        <v>899</v>
      </c>
      <c r="S6">
        <f>Tabel2425678[[#This Row],[Stand Hot Water einde maand]]-Tabel2425678[[#This Row],[Hot Water vorige maand]]</f>
        <v>308</v>
      </c>
      <c r="T6" s="11">
        <v>1582</v>
      </c>
      <c r="U6" s="25">
        <v>1229</v>
      </c>
      <c r="V6">
        <f>Tabel2425678[[#This Row],[Stand Cappucino einde maand]]-Tabel2425678[[#This Row],[Stand Cappucino vorige maand]]</f>
        <v>353</v>
      </c>
      <c r="W6" s="11">
        <v>146</v>
      </c>
      <c r="X6" s="25">
        <v>117</v>
      </c>
      <c r="Y6">
        <f>Tabel2425678[[#This Row],[Stand Cappucino Plantaardig einde maand]]-Tabel2425678[[#This Row],[Stand Cappucino Plantaardig vorige maand]]</f>
        <v>29</v>
      </c>
      <c r="Z6" s="11">
        <v>81</v>
      </c>
      <c r="AA6" s="25">
        <v>59</v>
      </c>
      <c r="AB6" s="12">
        <f>Tabel2425678[[#This Row],[Stand Latte Macchiato Plantaardig einde maand]]-Tabel2425678[[#This Row],[Stand Latte Macchiato Plantaardig vorige maand]]</f>
        <v>22</v>
      </c>
      <c r="AC6" s="3">
        <f>Tabel2425678[[#This Row],[Verbruik Stand Latte Macchiato Plantaardig deze maand]]+Tabel2425678[[#This Row],[Verbruik  Cappucino Plantaardig deze maand]]+Tabel2425678[[#This Row],[Verbruik Cappucino deze maand]]+Tabel2425678[[#This Row],[Verbruik Hot Water deze maand]]+Tabel2425678[[#This Row],[Verbruik Coffee Latte deze maand]]+Tabel2425678[[#This Row],[Verbruik Latte Macchiato deze maand]]+Tabel2425678[[#This Row],[Verbruik Espresso deze maand]]+Tabel2425678[[#This Row],[Verbruik Coffee deze maand]]</f>
        <v>1114</v>
      </c>
      <c r="AD6" s="11">
        <v>99.7</v>
      </c>
      <c r="AE6" s="40">
        <v>87.1</v>
      </c>
      <c r="AF6">
        <f>Tabel2425678[[#This Row],[Stand Kamertemp liter einde maand]]-Tabel2425678[[#This Row],[Stand Kamertemp liter vorige maand]]</f>
        <v>12.600000000000009</v>
      </c>
      <c r="AG6" s="2">
        <f>Tabel2425678[[#This Row],[Verbruik Kamertemp liter deze maand]]/0.15</f>
        <v>84.000000000000057</v>
      </c>
      <c r="AH6" s="11">
        <v>837.8</v>
      </c>
      <c r="AI6" s="40">
        <v>653.5</v>
      </c>
      <c r="AJ6">
        <f>Tabel2425678[[#This Row],[Stand Gekoeld liter einde maand]]-Tabel2425678[[#This Row],[Stand Gekoeld liter vorige maand]]</f>
        <v>184.29999999999995</v>
      </c>
      <c r="AK6" s="2">
        <f>Tabel2425678[[#This Row],[Verbruik Gekoeld liter deze maand]]/0.15</f>
        <v>1228.6666666666665</v>
      </c>
      <c r="AL6" s="11">
        <v>533.1</v>
      </c>
      <c r="AM6" s="25">
        <v>445.7</v>
      </c>
      <c r="AN6">
        <f>Tabel2425678[[#This Row],[Stand Bruisend liter einde maand]]-Tabel2425678[[#This Row],[Stand Bruisend liter vorige maand]]</f>
        <v>87.400000000000034</v>
      </c>
      <c r="AO6" s="2">
        <f>Tabel2425678[[#This Row],[Verbruik Bruisend liter deze maand]]/0.15</f>
        <v>582.66666666666697</v>
      </c>
      <c r="AP6" s="11">
        <v>219.2</v>
      </c>
      <c r="AQ6" s="25">
        <v>174.7</v>
      </c>
      <c r="AR6">
        <f>Tabel2425678[[#This Row],[Stand licht bruisend liter einde maand]]-Tabel2425678[[#This Row],[Stand licht bruisend liter vorige maand]]</f>
        <v>44.5</v>
      </c>
      <c r="AS6" s="2">
        <f>Tabel2425678[[#This Row],[Verbruik licht bruisend liter deze maand]]/0.15</f>
        <v>296.66666666666669</v>
      </c>
      <c r="AT6" s="11">
        <v>909.1</v>
      </c>
      <c r="AU6" s="25">
        <v>781.3</v>
      </c>
      <c r="AV6">
        <f>Tabel2425678[[#This Row],[Stand heet water liter einde maand]]-Tabel2425678[[#This Row],[Stand heet water liter vorige maand]]</f>
        <v>127.80000000000007</v>
      </c>
      <c r="AW6" s="20">
        <f>Tabel2425678[[#This Row],[Verbruik heet Water liter deze maand ]]/0.15</f>
        <v>852.00000000000045</v>
      </c>
      <c r="AX6" s="4">
        <f>Tabel2425678[[#This Row],[Aantal consumpties heet water deze maand]]+Tabel2425678[[#This Row],[Aantal consumpties licht bruisend water deze maand]]+Tabel2425678[[#This Row],[aantal consumpties Bruisend water deze maand]]+Tabel2425678[[#This Row],[Aantal consumpties gekoeld water deze maand]]+Tabel2425678[[#This Row],[Aantal consumpties Kamertemp deze maand]]</f>
        <v>3044.0000000000009</v>
      </c>
      <c r="AY6" s="4">
        <f>Tabel2425678[[#This Row],[Subtotaal waterbar in consumpties]]+Tabel2425678[[#This Row],[Subtotaal koffieautomaten]]</f>
        <v>4158.0000000000009</v>
      </c>
    </row>
    <row r="7" spans="1:51" x14ac:dyDescent="0.25">
      <c r="A7" t="s">
        <v>37</v>
      </c>
      <c r="B7" t="s">
        <v>38</v>
      </c>
      <c r="C7" t="s">
        <v>31</v>
      </c>
      <c r="E7" s="11">
        <v>3108</v>
      </c>
      <c r="F7" s="25">
        <v>2509</v>
      </c>
      <c r="G7" s="12">
        <f>Tabel2425678[[#This Row],[Stand Coffee einde maand]]-Tabel2425678[[#This Row],[Coffee vorige maand]]</f>
        <v>599</v>
      </c>
      <c r="H7" s="11">
        <v>986</v>
      </c>
      <c r="I7" s="25">
        <v>838</v>
      </c>
      <c r="J7" s="12">
        <f>Tabel2425678[[#This Row],[Stand Espresso Einde maand]]-Tabel2425678[[#This Row],[Espresso vorige maand]]</f>
        <v>148</v>
      </c>
      <c r="K7" s="11">
        <v>344</v>
      </c>
      <c r="L7" s="25">
        <v>275</v>
      </c>
      <c r="M7">
        <f>Tabel2425678[[#This Row],[Stand Latte Macchiato einde maand]]-Tabel2425678[[#This Row],[Latte Macchiato vorige maand]]</f>
        <v>69</v>
      </c>
      <c r="N7" s="11">
        <v>256</v>
      </c>
      <c r="O7" s="25">
        <v>194</v>
      </c>
      <c r="P7">
        <f>Tabel2425678[[#This Row],[Stand Coffee Latte einde maand]]-Tabel2425678[[#This Row],[Coffee Latte vorige maand]]</f>
        <v>62</v>
      </c>
      <c r="Q7" s="11">
        <v>5025</v>
      </c>
      <c r="R7" s="25">
        <v>3945</v>
      </c>
      <c r="S7">
        <f>Tabel2425678[[#This Row],[Stand Hot Water einde maand]]-Tabel2425678[[#This Row],[Hot Water vorige maand]]</f>
        <v>1080</v>
      </c>
      <c r="T7" s="11">
        <v>2370</v>
      </c>
      <c r="U7" s="25">
        <v>1920</v>
      </c>
      <c r="V7">
        <f>Tabel2425678[[#This Row],[Stand Cappucino einde maand]]-Tabel2425678[[#This Row],[Stand Cappucino vorige maand]]</f>
        <v>450</v>
      </c>
      <c r="W7" s="11">
        <v>152</v>
      </c>
      <c r="X7" s="25">
        <v>131</v>
      </c>
      <c r="Y7">
        <f>Tabel2425678[[#This Row],[Stand Cappucino Plantaardig einde maand]]-Tabel2425678[[#This Row],[Stand Cappucino Plantaardig vorige maand]]</f>
        <v>21</v>
      </c>
      <c r="Z7" s="11">
        <v>72</v>
      </c>
      <c r="AA7" s="25">
        <v>60</v>
      </c>
      <c r="AB7" s="12">
        <f>Tabel2425678[[#This Row],[Stand Latte Macchiato Plantaardig einde maand]]-Tabel2425678[[#This Row],[Stand Latte Macchiato Plantaardig vorige maand]]</f>
        <v>12</v>
      </c>
      <c r="AC7" s="3">
        <f>Tabel2425678[[#This Row],[Verbruik Stand Latte Macchiato Plantaardig deze maand]]+Tabel2425678[[#This Row],[Verbruik  Cappucino Plantaardig deze maand]]+Tabel2425678[[#This Row],[Verbruik Cappucino deze maand]]+Tabel2425678[[#This Row],[Verbruik Hot Water deze maand]]+Tabel2425678[[#This Row],[Verbruik Coffee Latte deze maand]]+Tabel2425678[[#This Row],[Verbruik Latte Macchiato deze maand]]+Tabel2425678[[#This Row],[Verbruik Espresso deze maand]]+Tabel2425678[[#This Row],[Verbruik Coffee deze maand]]</f>
        <v>2441</v>
      </c>
      <c r="AD7" s="26"/>
      <c r="AE7" s="41"/>
      <c r="AF7" s="5"/>
      <c r="AG7" s="5"/>
      <c r="AH7" s="26"/>
      <c r="AI7" s="41"/>
      <c r="AJ7" s="5"/>
      <c r="AK7" s="5"/>
      <c r="AL7" s="26"/>
      <c r="AM7" s="26"/>
      <c r="AN7" s="5"/>
      <c r="AO7" s="5"/>
      <c r="AP7" s="26"/>
      <c r="AQ7" s="26"/>
      <c r="AR7" s="5"/>
      <c r="AS7" s="5"/>
      <c r="AT7" s="26"/>
      <c r="AU7" s="26"/>
      <c r="AV7" s="5"/>
      <c r="AW7" s="21"/>
      <c r="AX7" s="8"/>
      <c r="AY7" s="4">
        <f>Tabel2425678[[#This Row],[Subtotaal waterbar in consumpties]]+Tabel2425678[[#This Row],[Subtotaal koffieautomaten]]</f>
        <v>2441</v>
      </c>
    </row>
    <row r="8" spans="1:51" x14ac:dyDescent="0.25">
      <c r="A8" t="s">
        <v>39</v>
      </c>
      <c r="B8" t="s">
        <v>40</v>
      </c>
      <c r="C8" t="s">
        <v>31</v>
      </c>
      <c r="E8" s="11">
        <v>5335</v>
      </c>
      <c r="F8" s="25">
        <v>4470</v>
      </c>
      <c r="G8" s="12">
        <f>Tabel2425678[[#This Row],[Stand Coffee einde maand]]-Tabel2425678[[#This Row],[Coffee vorige maand]]</f>
        <v>865</v>
      </c>
      <c r="H8" s="11">
        <v>1605</v>
      </c>
      <c r="I8" s="25">
        <v>1513</v>
      </c>
      <c r="J8" s="12">
        <f>Tabel2425678[[#This Row],[Stand Espresso Einde maand]]-Tabel2425678[[#This Row],[Espresso vorige maand]]</f>
        <v>92</v>
      </c>
      <c r="K8" s="11">
        <v>890</v>
      </c>
      <c r="L8" s="25">
        <v>832</v>
      </c>
      <c r="M8">
        <f>Tabel2425678[[#This Row],[Stand Latte Macchiato einde maand]]-Tabel2425678[[#This Row],[Latte Macchiato vorige maand]]</f>
        <v>58</v>
      </c>
      <c r="N8" s="11">
        <v>483</v>
      </c>
      <c r="O8" s="25">
        <v>458</v>
      </c>
      <c r="P8">
        <f>Tabel2425678[[#This Row],[Stand Coffee Latte einde maand]]-Tabel2425678[[#This Row],[Coffee Latte vorige maand]]</f>
        <v>25</v>
      </c>
      <c r="Q8" s="11">
        <v>7464</v>
      </c>
      <c r="R8" s="25">
        <v>6411</v>
      </c>
      <c r="S8">
        <f>Tabel2425678[[#This Row],[Stand Hot Water einde maand]]-Tabel2425678[[#This Row],[Hot Water vorige maand]]</f>
        <v>1053</v>
      </c>
      <c r="T8" s="11">
        <v>3632</v>
      </c>
      <c r="U8" s="25">
        <v>3019</v>
      </c>
      <c r="V8">
        <f>Tabel2425678[[#This Row],[Stand Cappucino einde maand]]-Tabel2425678[[#This Row],[Stand Cappucino vorige maand]]</f>
        <v>613</v>
      </c>
      <c r="W8" s="11">
        <v>524</v>
      </c>
      <c r="X8" s="25">
        <v>512</v>
      </c>
      <c r="Y8">
        <f>Tabel2425678[[#This Row],[Stand Cappucino Plantaardig einde maand]]-Tabel2425678[[#This Row],[Stand Cappucino Plantaardig vorige maand]]</f>
        <v>12</v>
      </c>
      <c r="Z8" s="11">
        <v>54</v>
      </c>
      <c r="AA8" s="25">
        <v>50</v>
      </c>
      <c r="AB8" s="12">
        <f>Tabel2425678[[#This Row],[Stand Latte Macchiato Plantaardig einde maand]]-Tabel2425678[[#This Row],[Stand Latte Macchiato Plantaardig vorige maand]]</f>
        <v>4</v>
      </c>
      <c r="AC8" s="3">
        <f>Tabel2425678[[#This Row],[Verbruik Stand Latte Macchiato Plantaardig deze maand]]+Tabel2425678[[#This Row],[Verbruik  Cappucino Plantaardig deze maand]]+Tabel2425678[[#This Row],[Verbruik Cappucino deze maand]]+Tabel2425678[[#This Row],[Verbruik Hot Water deze maand]]+Tabel2425678[[#This Row],[Verbruik Coffee Latte deze maand]]+Tabel2425678[[#This Row],[Verbruik Latte Macchiato deze maand]]+Tabel2425678[[#This Row],[Verbruik Espresso deze maand]]+Tabel2425678[[#This Row],[Verbruik Coffee deze maand]]</f>
        <v>2722</v>
      </c>
      <c r="AD8" s="26"/>
      <c r="AE8" s="41"/>
      <c r="AF8" s="5"/>
      <c r="AG8" s="5"/>
      <c r="AH8" s="26"/>
      <c r="AI8" s="41"/>
      <c r="AJ8" s="5"/>
      <c r="AK8" s="5"/>
      <c r="AL8" s="26"/>
      <c r="AM8" s="26"/>
      <c r="AN8" s="5"/>
      <c r="AO8" s="5"/>
      <c r="AP8" s="26"/>
      <c r="AQ8" s="26"/>
      <c r="AR8" s="5"/>
      <c r="AS8" s="5"/>
      <c r="AT8" s="26"/>
      <c r="AU8" s="26"/>
      <c r="AV8" s="5"/>
      <c r="AW8" s="21"/>
      <c r="AX8" s="8"/>
      <c r="AY8" s="4">
        <f>Tabel2425678[[#This Row],[Subtotaal waterbar in consumpties]]+Tabel2425678[[#This Row],[Subtotaal koffieautomaten]]</f>
        <v>2722</v>
      </c>
    </row>
    <row r="9" spans="1:51" x14ac:dyDescent="0.25">
      <c r="A9" t="s">
        <v>41</v>
      </c>
      <c r="B9" t="s">
        <v>42</v>
      </c>
      <c r="C9" t="s">
        <v>31</v>
      </c>
      <c r="E9" s="11">
        <v>2353</v>
      </c>
      <c r="F9" s="25">
        <v>2091</v>
      </c>
      <c r="G9" s="12">
        <f>Tabel2425678[[#This Row],[Stand Coffee einde maand]]-Tabel2425678[[#This Row],[Coffee vorige maand]]</f>
        <v>262</v>
      </c>
      <c r="H9" s="11">
        <v>710</v>
      </c>
      <c r="I9" s="25">
        <v>684</v>
      </c>
      <c r="J9" s="12">
        <f>Tabel2425678[[#This Row],[Stand Espresso Einde maand]]-Tabel2425678[[#This Row],[Espresso vorige maand]]</f>
        <v>26</v>
      </c>
      <c r="K9" s="11">
        <v>825</v>
      </c>
      <c r="L9" s="25">
        <v>692</v>
      </c>
      <c r="M9">
        <f>Tabel2425678[[#This Row],[Stand Latte Macchiato einde maand]]-Tabel2425678[[#This Row],[Latte Macchiato vorige maand]]</f>
        <v>133</v>
      </c>
      <c r="N9" s="11">
        <v>409</v>
      </c>
      <c r="O9" s="25">
        <v>351</v>
      </c>
      <c r="P9">
        <f>Tabel2425678[[#This Row],[Stand Coffee Latte einde maand]]-Tabel2425678[[#This Row],[Coffee Latte vorige maand]]</f>
        <v>58</v>
      </c>
      <c r="Q9" s="11">
        <v>8502</v>
      </c>
      <c r="R9" s="25">
        <v>7752</v>
      </c>
      <c r="S9">
        <f>Tabel2425678[[#This Row],[Stand Hot Water einde maand]]-Tabel2425678[[#This Row],[Hot Water vorige maand]]</f>
        <v>750</v>
      </c>
      <c r="T9" s="11">
        <v>1597</v>
      </c>
      <c r="U9" s="25">
        <v>1437</v>
      </c>
      <c r="V9">
        <f>Tabel2425678[[#This Row],[Stand Cappucino einde maand]]-Tabel2425678[[#This Row],[Stand Cappucino vorige maand]]</f>
        <v>160</v>
      </c>
      <c r="W9" s="11">
        <v>480</v>
      </c>
      <c r="X9" s="25">
        <v>449</v>
      </c>
      <c r="Y9">
        <f>Tabel2425678[[#This Row],[Stand Cappucino Plantaardig einde maand]]-Tabel2425678[[#This Row],[Stand Cappucino Plantaardig vorige maand]]</f>
        <v>31</v>
      </c>
      <c r="Z9" s="11">
        <v>187</v>
      </c>
      <c r="AA9" s="25">
        <v>171</v>
      </c>
      <c r="AB9" s="12">
        <f>Tabel2425678[[#This Row],[Stand Latte Macchiato Plantaardig einde maand]]-Tabel2425678[[#This Row],[Stand Latte Macchiato Plantaardig vorige maand]]</f>
        <v>16</v>
      </c>
      <c r="AC9" s="3">
        <f>Tabel2425678[[#This Row],[Verbruik Stand Latte Macchiato Plantaardig deze maand]]+Tabel2425678[[#This Row],[Verbruik  Cappucino Plantaardig deze maand]]+Tabel2425678[[#This Row],[Verbruik Cappucino deze maand]]+Tabel2425678[[#This Row],[Verbruik Hot Water deze maand]]+Tabel2425678[[#This Row],[Verbruik Coffee Latte deze maand]]+Tabel2425678[[#This Row],[Verbruik Latte Macchiato deze maand]]+Tabel2425678[[#This Row],[Verbruik Espresso deze maand]]+Tabel2425678[[#This Row],[Verbruik Coffee deze maand]]</f>
        <v>1436</v>
      </c>
      <c r="AD9" s="26"/>
      <c r="AE9" s="41"/>
      <c r="AF9" s="5"/>
      <c r="AG9" s="5"/>
      <c r="AH9" s="26"/>
      <c r="AI9" s="41"/>
      <c r="AJ9" s="5"/>
      <c r="AK9" s="5"/>
      <c r="AL9" s="26"/>
      <c r="AM9" s="26"/>
      <c r="AN9" s="5"/>
      <c r="AO9" s="5"/>
      <c r="AP9" s="26"/>
      <c r="AQ9" s="26"/>
      <c r="AR9" s="5"/>
      <c r="AS9" s="5"/>
      <c r="AT9" s="26"/>
      <c r="AU9" s="26"/>
      <c r="AV9" s="5"/>
      <c r="AW9" s="21"/>
      <c r="AX9" s="8"/>
      <c r="AY9" s="4">
        <f>Tabel2425678[[#This Row],[Subtotaal waterbar in consumpties]]+Tabel2425678[[#This Row],[Subtotaal koffieautomaten]]</f>
        <v>1436</v>
      </c>
    </row>
    <row r="10" spans="1:51" x14ac:dyDescent="0.25">
      <c r="A10" t="s">
        <v>43</v>
      </c>
      <c r="B10" t="s">
        <v>44</v>
      </c>
      <c r="C10" t="s">
        <v>31</v>
      </c>
      <c r="E10" s="11">
        <v>3759</v>
      </c>
      <c r="F10" s="25">
        <v>3354</v>
      </c>
      <c r="G10" s="12">
        <f>Tabel2425678[[#This Row],[Stand Coffee einde maand]]-Tabel2425678[[#This Row],[Coffee vorige maand]]</f>
        <v>405</v>
      </c>
      <c r="H10" s="11">
        <v>715</v>
      </c>
      <c r="I10" s="25">
        <v>639</v>
      </c>
      <c r="J10" s="12">
        <f>Tabel2425678[[#This Row],[Stand Espresso Einde maand]]-Tabel2425678[[#This Row],[Espresso vorige maand]]</f>
        <v>76</v>
      </c>
      <c r="K10" s="11">
        <v>395</v>
      </c>
      <c r="L10" s="25">
        <v>371</v>
      </c>
      <c r="M10">
        <f>Tabel2425678[[#This Row],[Stand Latte Macchiato einde maand]]-Tabel2425678[[#This Row],[Latte Macchiato vorige maand]]</f>
        <v>24</v>
      </c>
      <c r="N10" s="11">
        <v>273</v>
      </c>
      <c r="O10" s="25">
        <v>244</v>
      </c>
      <c r="P10">
        <f>Tabel2425678[[#This Row],[Stand Coffee Latte einde maand]]-Tabel2425678[[#This Row],[Coffee Latte vorige maand]]</f>
        <v>29</v>
      </c>
      <c r="Q10" s="11">
        <v>5561</v>
      </c>
      <c r="R10" s="25">
        <v>4806</v>
      </c>
      <c r="S10">
        <f>Tabel2425678[[#This Row],[Stand Hot Water einde maand]]-Tabel2425678[[#This Row],[Hot Water vorige maand]]</f>
        <v>755</v>
      </c>
      <c r="T10" s="11">
        <v>1936</v>
      </c>
      <c r="U10" s="25">
        <v>1776</v>
      </c>
      <c r="V10">
        <f>Tabel2425678[[#This Row],[Stand Cappucino einde maand]]-Tabel2425678[[#This Row],[Stand Cappucino vorige maand]]</f>
        <v>160</v>
      </c>
      <c r="W10" s="11">
        <v>582</v>
      </c>
      <c r="X10" s="25">
        <v>551</v>
      </c>
      <c r="Y10">
        <f>Tabel2425678[[#This Row],[Stand Cappucino Plantaardig einde maand]]-Tabel2425678[[#This Row],[Stand Cappucino Plantaardig vorige maand]]</f>
        <v>31</v>
      </c>
      <c r="Z10" s="11">
        <v>359</v>
      </c>
      <c r="AA10" s="25">
        <v>330</v>
      </c>
      <c r="AB10" s="12">
        <f>Tabel2425678[[#This Row],[Stand Latte Macchiato Plantaardig einde maand]]-Tabel2425678[[#This Row],[Stand Latte Macchiato Plantaardig vorige maand]]</f>
        <v>29</v>
      </c>
      <c r="AC10" s="3">
        <f>Tabel2425678[[#This Row],[Verbruik Stand Latte Macchiato Plantaardig deze maand]]+Tabel2425678[[#This Row],[Verbruik  Cappucino Plantaardig deze maand]]+Tabel2425678[[#This Row],[Verbruik Cappucino deze maand]]+Tabel2425678[[#This Row],[Verbruik Hot Water deze maand]]+Tabel2425678[[#This Row],[Verbruik Coffee Latte deze maand]]+Tabel2425678[[#This Row],[Verbruik Latte Macchiato deze maand]]+Tabel2425678[[#This Row],[Verbruik Espresso deze maand]]+Tabel2425678[[#This Row],[Verbruik Coffee deze maand]]</f>
        <v>1509</v>
      </c>
      <c r="AD10" s="26"/>
      <c r="AE10" s="41"/>
      <c r="AF10" s="5"/>
      <c r="AG10" s="7"/>
      <c r="AH10" s="26"/>
      <c r="AI10" s="41"/>
      <c r="AJ10" s="5"/>
      <c r="AK10" s="5"/>
      <c r="AL10" s="26"/>
      <c r="AM10" s="26"/>
      <c r="AN10" s="5"/>
      <c r="AO10" s="5"/>
      <c r="AP10" s="26"/>
      <c r="AQ10" s="26"/>
      <c r="AR10" s="5"/>
      <c r="AS10" s="5"/>
      <c r="AT10" s="26"/>
      <c r="AU10" s="26"/>
      <c r="AV10" s="5"/>
      <c r="AW10" s="21"/>
      <c r="AX10" s="8"/>
      <c r="AY10" s="4">
        <f>Tabel2425678[[#This Row],[Subtotaal waterbar in consumpties]]+Tabel2425678[[#This Row],[Subtotaal koffieautomaten]]</f>
        <v>1509</v>
      </c>
    </row>
    <row r="11" spans="1:51" x14ac:dyDescent="0.25">
      <c r="A11" t="s">
        <v>45</v>
      </c>
      <c r="B11" t="s">
        <v>46</v>
      </c>
      <c r="C11" t="s">
        <v>47</v>
      </c>
      <c r="E11" s="11">
        <v>5953</v>
      </c>
      <c r="F11" s="25">
        <v>5265</v>
      </c>
      <c r="G11" s="12">
        <f>Tabel2425678[[#This Row],[Stand Coffee einde maand]]-Tabel2425678[[#This Row],[Coffee vorige maand]]</f>
        <v>688</v>
      </c>
      <c r="H11" s="11">
        <v>636</v>
      </c>
      <c r="I11" s="25">
        <v>586</v>
      </c>
      <c r="J11" s="12">
        <f>Tabel2425678[[#This Row],[Stand Espresso Einde maand]]-Tabel2425678[[#This Row],[Espresso vorige maand]]</f>
        <v>50</v>
      </c>
      <c r="K11" s="11">
        <v>413</v>
      </c>
      <c r="L11" s="25">
        <v>386</v>
      </c>
      <c r="M11">
        <f>Tabel2425678[[#This Row],[Stand Latte Macchiato einde maand]]-Tabel2425678[[#This Row],[Latte Macchiato vorige maand]]</f>
        <v>27</v>
      </c>
      <c r="N11" s="11">
        <v>209</v>
      </c>
      <c r="O11" s="25">
        <v>191</v>
      </c>
      <c r="P11">
        <f>Tabel2425678[[#This Row],[Stand Coffee Latte einde maand]]-Tabel2425678[[#This Row],[Coffee Latte vorige maand]]</f>
        <v>18</v>
      </c>
      <c r="Q11" s="11">
        <v>1</v>
      </c>
      <c r="R11" s="25">
        <v>1</v>
      </c>
      <c r="S11">
        <f>Tabel2425678[[#This Row],[Stand Hot Water einde maand]]-Tabel2425678[[#This Row],[Hot Water vorige maand]]</f>
        <v>0</v>
      </c>
      <c r="T11" s="11">
        <v>1962</v>
      </c>
      <c r="U11" s="25">
        <v>1704</v>
      </c>
      <c r="V11">
        <f>Tabel2425678[[#This Row],[Stand Cappucino einde maand]]-Tabel2425678[[#This Row],[Stand Cappucino vorige maand]]</f>
        <v>258</v>
      </c>
      <c r="W11" s="11">
        <v>737</v>
      </c>
      <c r="X11" s="25">
        <v>678</v>
      </c>
      <c r="Y11">
        <f>Tabel2425678[[#This Row],[Stand Cappucino Plantaardig einde maand]]-Tabel2425678[[#This Row],[Stand Cappucino Plantaardig vorige maand]]</f>
        <v>59</v>
      </c>
      <c r="Z11" s="11">
        <v>362</v>
      </c>
      <c r="AA11" s="25">
        <v>336</v>
      </c>
      <c r="AB11" s="12">
        <f>Tabel2425678[[#This Row],[Stand Latte Macchiato Plantaardig einde maand]]-Tabel2425678[[#This Row],[Stand Latte Macchiato Plantaardig vorige maand]]</f>
        <v>26</v>
      </c>
      <c r="AC11" s="3">
        <f>Tabel2425678[[#This Row],[Verbruik Stand Latte Macchiato Plantaardig deze maand]]+Tabel2425678[[#This Row],[Verbruik  Cappucino Plantaardig deze maand]]+Tabel2425678[[#This Row],[Verbruik Cappucino deze maand]]+Tabel2425678[[#This Row],[Verbruik Hot Water deze maand]]+Tabel2425678[[#This Row],[Verbruik Coffee Latte deze maand]]+Tabel2425678[[#This Row],[Verbruik Latte Macchiato deze maand]]+Tabel2425678[[#This Row],[Verbruik Espresso deze maand]]+Tabel2425678[[#This Row],[Verbruik Coffee deze maand]]</f>
        <v>1126</v>
      </c>
      <c r="AD11" s="11">
        <v>190.2</v>
      </c>
      <c r="AE11" s="40">
        <v>160.69999999999999</v>
      </c>
      <c r="AF11">
        <f>Tabel2425678[[#This Row],[Stand Kamertemp liter einde maand]]-Tabel2425678[[#This Row],[Stand Kamertemp liter vorige maand]]</f>
        <v>29.5</v>
      </c>
      <c r="AG11" s="2">
        <f>Tabel2425678[[#This Row],[Verbruik Kamertemp liter deze maand]]/0.15</f>
        <v>196.66666666666669</v>
      </c>
      <c r="AH11" s="11">
        <v>1088.8</v>
      </c>
      <c r="AI11" s="40">
        <v>901.2</v>
      </c>
      <c r="AJ11">
        <f>Tabel2425678[[#This Row],[Stand Gekoeld liter einde maand]]-Tabel2425678[[#This Row],[Stand Gekoeld liter vorige maand]]</f>
        <v>187.59999999999991</v>
      </c>
      <c r="AK11" s="2">
        <f>Tabel2425678[[#This Row],[Verbruik Gekoeld liter deze maand]]/0.15</f>
        <v>1250.6666666666661</v>
      </c>
      <c r="AL11" s="11">
        <v>1089.0999999999999</v>
      </c>
      <c r="AM11" s="25">
        <v>936.2</v>
      </c>
      <c r="AN11">
        <f>Tabel2425678[[#This Row],[Stand Bruisend liter einde maand]]-Tabel2425678[[#This Row],[Stand Bruisend liter vorige maand]]</f>
        <v>152.89999999999986</v>
      </c>
      <c r="AO11" s="2">
        <f>Tabel2425678[[#This Row],[Verbruik Bruisend liter deze maand]]/0.15</f>
        <v>1019.3333333333325</v>
      </c>
      <c r="AP11" s="11">
        <v>501.6</v>
      </c>
      <c r="AQ11" s="25">
        <v>436.6</v>
      </c>
      <c r="AR11">
        <f>Tabel2425678[[#This Row],[Stand licht bruisend liter einde maand]]-Tabel2425678[[#This Row],[Stand licht bruisend liter vorige maand]]</f>
        <v>65</v>
      </c>
      <c r="AS11" s="2">
        <f>Tabel2425678[[#This Row],[Verbruik licht bruisend liter deze maand]]/0.15</f>
        <v>433.33333333333337</v>
      </c>
      <c r="AT11" s="11">
        <v>2749.2</v>
      </c>
      <c r="AU11" s="25">
        <v>2442.9</v>
      </c>
      <c r="AV11">
        <f>Tabel2425678[[#This Row],[Stand heet water liter einde maand]]-Tabel2425678[[#This Row],[Stand heet water liter vorige maand]]</f>
        <v>306.29999999999973</v>
      </c>
      <c r="AW11" s="20">
        <f>Tabel2425678[[#This Row],[Verbruik heet Water liter deze maand ]]/0.15</f>
        <v>2041.9999999999982</v>
      </c>
      <c r="AX11" s="4">
        <f>Tabel2425678[[#This Row],[Aantal consumpties heet water deze maand]]+Tabel2425678[[#This Row],[Aantal consumpties licht bruisend water deze maand]]+Tabel2425678[[#This Row],[aantal consumpties Bruisend water deze maand]]+Tabel2425678[[#This Row],[Aantal consumpties gekoeld water deze maand]]+Tabel2425678[[#This Row],[Aantal consumpties Kamertemp deze maand]]</f>
        <v>4941.9999999999973</v>
      </c>
      <c r="AY11" s="4">
        <f>Tabel2425678[[#This Row],[Subtotaal waterbar in consumpties]]+Tabel2425678[[#This Row],[Subtotaal koffieautomaten]]</f>
        <v>6067.9999999999973</v>
      </c>
    </row>
    <row r="12" spans="1:51" x14ac:dyDescent="0.25">
      <c r="A12" t="s">
        <v>48</v>
      </c>
      <c r="B12" t="s">
        <v>49</v>
      </c>
      <c r="C12" t="s">
        <v>31</v>
      </c>
      <c r="E12" s="11">
        <v>6199</v>
      </c>
      <c r="F12" s="25">
        <v>5506</v>
      </c>
      <c r="G12" s="12">
        <f>Tabel2425678[[#This Row],[Stand Coffee einde maand]]-Tabel2425678[[#This Row],[Coffee vorige maand]]</f>
        <v>693</v>
      </c>
      <c r="H12" s="11">
        <v>1950</v>
      </c>
      <c r="I12" s="25">
        <v>1748</v>
      </c>
      <c r="J12" s="12">
        <f>Tabel2425678[[#This Row],[Stand Espresso Einde maand]]-Tabel2425678[[#This Row],[Espresso vorige maand]]</f>
        <v>202</v>
      </c>
      <c r="K12" s="11">
        <v>475</v>
      </c>
      <c r="L12" s="25">
        <v>396</v>
      </c>
      <c r="M12">
        <f>Tabel2425678[[#This Row],[Stand Latte Macchiato einde maand]]-Tabel2425678[[#This Row],[Latte Macchiato vorige maand]]</f>
        <v>79</v>
      </c>
      <c r="N12" s="11">
        <v>81</v>
      </c>
      <c r="O12" s="25">
        <v>67</v>
      </c>
      <c r="P12">
        <f>Tabel2425678[[#This Row],[Stand Coffee Latte einde maand]]-Tabel2425678[[#This Row],[Coffee Latte vorige maand]]</f>
        <v>14</v>
      </c>
      <c r="Q12" s="11">
        <v>14407</v>
      </c>
      <c r="R12" s="25">
        <v>12813</v>
      </c>
      <c r="S12">
        <f>Tabel2425678[[#This Row],[Stand Hot Water einde maand]]-Tabel2425678[[#This Row],[Hot Water vorige maand]]</f>
        <v>1594</v>
      </c>
      <c r="T12" s="11">
        <v>2660</v>
      </c>
      <c r="U12" s="25">
        <v>2334</v>
      </c>
      <c r="V12">
        <f>Tabel2425678[[#This Row],[Stand Cappucino einde maand]]-Tabel2425678[[#This Row],[Stand Cappucino vorige maand]]</f>
        <v>326</v>
      </c>
      <c r="W12" s="11">
        <v>897</v>
      </c>
      <c r="X12" s="25">
        <v>808</v>
      </c>
      <c r="Y12">
        <f>Tabel2425678[[#This Row],[Stand Cappucino Plantaardig einde maand]]-Tabel2425678[[#This Row],[Stand Cappucino Plantaardig vorige maand]]</f>
        <v>89</v>
      </c>
      <c r="Z12" s="11">
        <v>222</v>
      </c>
      <c r="AA12" s="25">
        <v>207</v>
      </c>
      <c r="AB12" s="12">
        <f>Tabel2425678[[#This Row],[Stand Latte Macchiato Plantaardig einde maand]]-Tabel2425678[[#This Row],[Stand Latte Macchiato Plantaardig vorige maand]]</f>
        <v>15</v>
      </c>
      <c r="AC12" s="3">
        <f>Tabel2425678[[#This Row],[Verbruik Stand Latte Macchiato Plantaardig deze maand]]+Tabel2425678[[#This Row],[Verbruik  Cappucino Plantaardig deze maand]]+Tabel2425678[[#This Row],[Verbruik Cappucino deze maand]]+Tabel2425678[[#This Row],[Verbruik Hot Water deze maand]]+Tabel2425678[[#This Row],[Verbruik Coffee Latte deze maand]]+Tabel2425678[[#This Row],[Verbruik Latte Macchiato deze maand]]+Tabel2425678[[#This Row],[Verbruik Espresso deze maand]]+Tabel2425678[[#This Row],[Verbruik Coffee deze maand]]</f>
        <v>3012</v>
      </c>
      <c r="AD12" s="26"/>
      <c r="AE12" s="41"/>
      <c r="AF12" s="5"/>
      <c r="AG12" s="7"/>
      <c r="AH12" s="26"/>
      <c r="AI12" s="41"/>
      <c r="AJ12" s="5"/>
      <c r="AK12" s="7"/>
      <c r="AL12" s="26"/>
      <c r="AM12" s="26"/>
      <c r="AN12" s="5"/>
      <c r="AO12" s="5"/>
      <c r="AP12" s="26"/>
      <c r="AQ12" s="26"/>
      <c r="AR12" s="5"/>
      <c r="AS12" s="7"/>
      <c r="AT12" s="26"/>
      <c r="AU12" s="26"/>
      <c r="AV12" s="5"/>
      <c r="AW12" s="21"/>
      <c r="AX12" s="8"/>
      <c r="AY12" s="4">
        <f>Tabel2425678[[#This Row],[Subtotaal waterbar in consumpties]]+Tabel2425678[[#This Row],[Subtotaal koffieautomaten]]</f>
        <v>3012</v>
      </c>
    </row>
    <row r="13" spans="1:51" x14ac:dyDescent="0.25">
      <c r="A13" t="s">
        <v>50</v>
      </c>
      <c r="B13" t="s">
        <v>51</v>
      </c>
      <c r="C13" t="s">
        <v>47</v>
      </c>
      <c r="E13" s="11">
        <v>4792</v>
      </c>
      <c r="F13" s="25">
        <v>4248</v>
      </c>
      <c r="G13" s="12">
        <f>Tabel2425678[[#This Row],[Stand Coffee einde maand]]-Tabel2425678[[#This Row],[Coffee vorige maand]]</f>
        <v>544</v>
      </c>
      <c r="H13" s="11">
        <v>1157</v>
      </c>
      <c r="I13" s="25">
        <v>1058</v>
      </c>
      <c r="J13" s="12">
        <f>Tabel2425678[[#This Row],[Stand Espresso Einde maand]]-Tabel2425678[[#This Row],[Espresso vorige maand]]</f>
        <v>99</v>
      </c>
      <c r="K13" s="11">
        <v>612</v>
      </c>
      <c r="L13" s="25">
        <v>541</v>
      </c>
      <c r="M13">
        <f>Tabel2425678[[#This Row],[Stand Latte Macchiato einde maand]]-Tabel2425678[[#This Row],[Latte Macchiato vorige maand]]</f>
        <v>71</v>
      </c>
      <c r="N13" s="11">
        <v>470</v>
      </c>
      <c r="O13" s="25">
        <v>406</v>
      </c>
      <c r="P13">
        <f>Tabel2425678[[#This Row],[Stand Coffee Latte einde maand]]-Tabel2425678[[#This Row],[Coffee Latte vorige maand]]</f>
        <v>64</v>
      </c>
      <c r="Q13" s="11">
        <v>1</v>
      </c>
      <c r="R13" s="25">
        <v>1</v>
      </c>
      <c r="S13">
        <f>Tabel2425678[[#This Row],[Stand Hot Water einde maand]]-Tabel2425678[[#This Row],[Hot Water vorige maand]]</f>
        <v>0</v>
      </c>
      <c r="T13" s="11">
        <v>2035</v>
      </c>
      <c r="U13" s="25">
        <v>1766</v>
      </c>
      <c r="V13">
        <f>Tabel2425678[[#This Row],[Stand Cappucino einde maand]]-Tabel2425678[[#This Row],[Stand Cappucino vorige maand]]</f>
        <v>269</v>
      </c>
      <c r="W13" s="11">
        <v>762</v>
      </c>
      <c r="X13" s="25">
        <v>714</v>
      </c>
      <c r="Y13">
        <f>Tabel2425678[[#This Row],[Stand Cappucino Plantaardig einde maand]]-Tabel2425678[[#This Row],[Stand Cappucino Plantaardig vorige maand]]</f>
        <v>48</v>
      </c>
      <c r="Z13" s="11">
        <v>161</v>
      </c>
      <c r="AA13" s="25">
        <v>147</v>
      </c>
      <c r="AB13" s="12">
        <f>Tabel2425678[[#This Row],[Stand Latte Macchiato Plantaardig einde maand]]-Tabel2425678[[#This Row],[Stand Latte Macchiato Plantaardig vorige maand]]</f>
        <v>14</v>
      </c>
      <c r="AC13" s="3">
        <f>Tabel2425678[[#This Row],[Verbruik Stand Latte Macchiato Plantaardig deze maand]]+Tabel2425678[[#This Row],[Verbruik  Cappucino Plantaardig deze maand]]+Tabel2425678[[#This Row],[Verbruik Cappucino deze maand]]+Tabel2425678[[#This Row],[Verbruik Hot Water deze maand]]+Tabel2425678[[#This Row],[Verbruik Coffee Latte deze maand]]+Tabel2425678[[#This Row],[Verbruik Latte Macchiato deze maand]]+Tabel2425678[[#This Row],[Verbruik Espresso deze maand]]+Tabel2425678[[#This Row],[Verbruik Coffee deze maand]]</f>
        <v>1109</v>
      </c>
      <c r="AD13" s="11">
        <v>135.6</v>
      </c>
      <c r="AE13" s="40">
        <v>122.8</v>
      </c>
      <c r="AF13">
        <f>Tabel2425678[[#This Row],[Stand Kamertemp liter einde maand]]-Tabel2425678[[#This Row],[Stand Kamertemp liter vorige maand]]</f>
        <v>12.799999999999997</v>
      </c>
      <c r="AG13" s="2">
        <f>Tabel2425678[[#This Row],[Verbruik Kamertemp liter deze maand]]/0.15</f>
        <v>85.333333333333314</v>
      </c>
      <c r="AH13" s="11">
        <v>1208.7</v>
      </c>
      <c r="AI13" s="40">
        <v>998.1</v>
      </c>
      <c r="AJ13">
        <f>Tabel2425678[[#This Row],[Stand Gekoeld liter einde maand]]-Tabel2425678[[#This Row],[Stand Gekoeld liter vorige maand]]</f>
        <v>210.60000000000002</v>
      </c>
      <c r="AK13" s="2">
        <f>Tabel2425678[[#This Row],[Verbruik Gekoeld liter deze maand]]/0.15</f>
        <v>1404.0000000000002</v>
      </c>
      <c r="AL13" s="11">
        <v>1015.9</v>
      </c>
      <c r="AM13" s="25">
        <v>872</v>
      </c>
      <c r="AN13">
        <f>Tabel2425678[[#This Row],[Stand Bruisend liter einde maand]]-Tabel2425678[[#This Row],[Stand Bruisend liter vorige maand]]</f>
        <v>143.89999999999998</v>
      </c>
      <c r="AO13" s="2">
        <f>Tabel2425678[[#This Row],[Verbruik Bruisend liter deze maand]]/0.15</f>
        <v>959.33333333333326</v>
      </c>
      <c r="AP13" s="11">
        <v>761.2</v>
      </c>
      <c r="AQ13" s="25">
        <v>683.4</v>
      </c>
      <c r="AR13">
        <f>Tabel2425678[[#This Row],[Stand licht bruisend liter einde maand]]-Tabel2425678[[#This Row],[Stand licht bruisend liter vorige maand]]</f>
        <v>77.800000000000068</v>
      </c>
      <c r="AS13" s="2">
        <f>Tabel2425678[[#This Row],[Verbruik licht bruisend liter deze maand]]/0.15</f>
        <v>518.6666666666672</v>
      </c>
      <c r="AT13" s="11">
        <v>3160.5</v>
      </c>
      <c r="AU13" s="25">
        <v>2806.1</v>
      </c>
      <c r="AV13">
        <f>Tabel2425678[[#This Row],[Stand heet water liter einde maand]]-Tabel2425678[[#This Row],[Stand heet water liter vorige maand]]</f>
        <v>354.40000000000009</v>
      </c>
      <c r="AW13" s="20">
        <f>Tabel2425678[[#This Row],[Verbruik heet Water liter deze maand ]]/0.15</f>
        <v>2362.6666666666674</v>
      </c>
      <c r="AX13" s="4">
        <f>Tabel2425678[[#This Row],[Aantal consumpties heet water deze maand]]+Tabel2425678[[#This Row],[Aantal consumpties licht bruisend water deze maand]]+Tabel2425678[[#This Row],[aantal consumpties Bruisend water deze maand]]+Tabel2425678[[#This Row],[Aantal consumpties gekoeld water deze maand]]+Tabel2425678[[#This Row],[Aantal consumpties Kamertemp deze maand]]</f>
        <v>5330.0000000000009</v>
      </c>
      <c r="AY13" s="4">
        <f>Tabel2425678[[#This Row],[Subtotaal waterbar in consumpties]]+Tabel2425678[[#This Row],[Subtotaal koffieautomaten]]</f>
        <v>6439.0000000000009</v>
      </c>
    </row>
    <row r="14" spans="1:51" x14ac:dyDescent="0.25">
      <c r="A14" t="s">
        <v>52</v>
      </c>
      <c r="B14" t="s">
        <v>53</v>
      </c>
      <c r="C14" t="s">
        <v>31</v>
      </c>
      <c r="E14" s="11">
        <v>4857</v>
      </c>
      <c r="F14" s="25">
        <v>4276</v>
      </c>
      <c r="G14" s="12">
        <f>Tabel2425678[[#This Row],[Stand Coffee einde maand]]-Tabel2425678[[#This Row],[Coffee vorige maand]]</f>
        <v>581</v>
      </c>
      <c r="H14" s="11">
        <v>1246</v>
      </c>
      <c r="I14" s="25">
        <v>1118</v>
      </c>
      <c r="J14" s="12">
        <f>Tabel2425678[[#This Row],[Stand Espresso Einde maand]]-Tabel2425678[[#This Row],[Espresso vorige maand]]</f>
        <v>128</v>
      </c>
      <c r="K14" s="11">
        <v>259</v>
      </c>
      <c r="L14" s="25">
        <v>203</v>
      </c>
      <c r="M14">
        <f>Tabel2425678[[#This Row],[Stand Latte Macchiato einde maand]]-Tabel2425678[[#This Row],[Latte Macchiato vorige maand]]</f>
        <v>56</v>
      </c>
      <c r="N14" s="11">
        <v>253</v>
      </c>
      <c r="O14" s="25">
        <v>212</v>
      </c>
      <c r="P14">
        <f>Tabel2425678[[#This Row],[Stand Coffee Latte einde maand]]-Tabel2425678[[#This Row],[Coffee Latte vorige maand]]</f>
        <v>41</v>
      </c>
      <c r="Q14" s="11">
        <v>7065</v>
      </c>
      <c r="R14" s="25">
        <v>6287</v>
      </c>
      <c r="S14">
        <f>Tabel2425678[[#This Row],[Stand Hot Water einde maand]]-Tabel2425678[[#This Row],[Hot Water vorige maand]]</f>
        <v>778</v>
      </c>
      <c r="T14" s="11">
        <v>2267</v>
      </c>
      <c r="U14" s="25">
        <v>1995</v>
      </c>
      <c r="V14">
        <f>Tabel2425678[[#This Row],[Stand Cappucino einde maand]]-Tabel2425678[[#This Row],[Stand Cappucino vorige maand]]</f>
        <v>272</v>
      </c>
      <c r="W14" s="11">
        <v>669</v>
      </c>
      <c r="X14" s="25">
        <v>642</v>
      </c>
      <c r="Y14">
        <f>Tabel2425678[[#This Row],[Stand Cappucino Plantaardig einde maand]]-Tabel2425678[[#This Row],[Stand Cappucino Plantaardig vorige maand]]</f>
        <v>27</v>
      </c>
      <c r="Z14" s="11">
        <v>165</v>
      </c>
      <c r="AA14" s="25">
        <v>149</v>
      </c>
      <c r="AB14" s="12">
        <f>Tabel2425678[[#This Row],[Stand Latte Macchiato Plantaardig einde maand]]-Tabel2425678[[#This Row],[Stand Latte Macchiato Plantaardig vorige maand]]</f>
        <v>16</v>
      </c>
      <c r="AC14" s="3">
        <f>Tabel2425678[[#This Row],[Verbruik Stand Latte Macchiato Plantaardig deze maand]]+Tabel2425678[[#This Row],[Verbruik  Cappucino Plantaardig deze maand]]+Tabel2425678[[#This Row],[Verbruik Cappucino deze maand]]+Tabel2425678[[#This Row],[Verbruik Hot Water deze maand]]+Tabel2425678[[#This Row],[Verbruik Coffee Latte deze maand]]+Tabel2425678[[#This Row],[Verbruik Latte Macchiato deze maand]]+Tabel2425678[[#This Row],[Verbruik Espresso deze maand]]+Tabel2425678[[#This Row],[Verbruik Coffee deze maand]]</f>
        <v>1899</v>
      </c>
      <c r="AD14" s="26"/>
      <c r="AE14" s="41"/>
      <c r="AF14" s="5"/>
      <c r="AG14" s="7"/>
      <c r="AH14" s="26"/>
      <c r="AI14" s="41"/>
      <c r="AJ14" s="5"/>
      <c r="AK14" s="7"/>
      <c r="AL14" s="26"/>
      <c r="AM14" s="26"/>
      <c r="AN14" s="5"/>
      <c r="AO14" s="5"/>
      <c r="AP14" s="26"/>
      <c r="AQ14" s="26"/>
      <c r="AR14" s="5"/>
      <c r="AS14" s="7"/>
      <c r="AT14" s="26"/>
      <c r="AU14" s="26"/>
      <c r="AV14" s="5"/>
      <c r="AW14" s="21"/>
      <c r="AX14" s="8"/>
      <c r="AY14" s="4">
        <f>Tabel2425678[[#This Row],[Subtotaal waterbar in consumpties]]+Tabel2425678[[#This Row],[Subtotaal koffieautomaten]]</f>
        <v>1899</v>
      </c>
    </row>
    <row r="15" spans="1:51" x14ac:dyDescent="0.25">
      <c r="A15" t="s">
        <v>54</v>
      </c>
      <c r="B15" t="s">
        <v>55</v>
      </c>
      <c r="C15" t="s">
        <v>36</v>
      </c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11">
        <v>102.5</v>
      </c>
      <c r="AE15" s="40">
        <v>63</v>
      </c>
      <c r="AF15">
        <f>Tabel2425678[[#This Row],[Stand Kamertemp liter einde maand]]-Tabel2425678[[#This Row],[Stand Kamertemp liter vorige maand]]</f>
        <v>39.5</v>
      </c>
      <c r="AG15" s="2">
        <f>Tabel2425678[[#This Row],[Verbruik Kamertemp liter deze maand]]/0.15</f>
        <v>263.33333333333337</v>
      </c>
      <c r="AH15" s="25">
        <v>622.9</v>
      </c>
      <c r="AI15" s="40">
        <v>524.1</v>
      </c>
      <c r="AJ15">
        <f>Tabel2425678[[#This Row],[Stand Gekoeld liter einde maand]]-Tabel2425678[[#This Row],[Stand Gekoeld liter vorige maand]]</f>
        <v>98.799999999999955</v>
      </c>
      <c r="AK15" s="2">
        <f>Tabel2425678[[#This Row],[Verbruik Gekoeld liter deze maand]]/0.15</f>
        <v>658.6666666666664</v>
      </c>
      <c r="AL15" s="26">
        <v>741.1</v>
      </c>
      <c r="AM15" s="25">
        <v>641.4</v>
      </c>
      <c r="AN15">
        <f>Tabel2425678[[#This Row],[Stand Bruisend liter einde maand]]-Tabel2425678[[#This Row],[Stand Bruisend liter vorige maand]]</f>
        <v>99.700000000000045</v>
      </c>
      <c r="AO15" s="2">
        <f>Tabel2425678[[#This Row],[Verbruik Bruisend liter deze maand]]/0.15</f>
        <v>664.66666666666697</v>
      </c>
      <c r="AP15" s="26">
        <v>277.5</v>
      </c>
      <c r="AQ15" s="25">
        <v>210.5</v>
      </c>
      <c r="AR15">
        <f>Tabel2425678[[#This Row],[Stand licht bruisend liter einde maand]]-Tabel2425678[[#This Row],[Stand licht bruisend liter vorige maand]]</f>
        <v>67</v>
      </c>
      <c r="AS15" s="2">
        <f>Tabel2425678[[#This Row],[Verbruik licht bruisend liter deze maand]]/0.15</f>
        <v>446.66666666666669</v>
      </c>
      <c r="AT15" s="26">
        <v>1793.5</v>
      </c>
      <c r="AU15" s="25">
        <v>1641.5</v>
      </c>
      <c r="AV15">
        <f>Tabel2425678[[#This Row],[Stand heet water liter einde maand]]-Tabel2425678[[#This Row],[Stand heet water liter vorige maand]]</f>
        <v>152</v>
      </c>
      <c r="AW15" s="20">
        <f>Tabel2425678[[#This Row],[Verbruik heet Water liter deze maand ]]/0.15</f>
        <v>1013.3333333333334</v>
      </c>
      <c r="AX15" s="4">
        <f>Tabel2425678[[#This Row],[Aantal consumpties heet water deze maand]]+Tabel2425678[[#This Row],[Aantal consumpties licht bruisend water deze maand]]+Tabel2425678[[#This Row],[aantal consumpties Bruisend water deze maand]]+Tabel2425678[[#This Row],[Aantal consumpties gekoeld water deze maand]]+Tabel2425678[[#This Row],[Aantal consumpties Kamertemp deze maand]]</f>
        <v>3046.666666666667</v>
      </c>
      <c r="AY15" s="4">
        <f>Tabel2425678[[#This Row],[Subtotaal waterbar in consumpties]]+Tabel2425678[[#This Row],[Subtotaal koffieautomaten]]</f>
        <v>3046.666666666667</v>
      </c>
    </row>
    <row r="16" spans="1:51" x14ac:dyDescent="0.25">
      <c r="A16" t="s">
        <v>56</v>
      </c>
      <c r="B16" t="s">
        <v>57</v>
      </c>
      <c r="C16" t="s">
        <v>31</v>
      </c>
      <c r="E16" s="11">
        <v>6346</v>
      </c>
      <c r="F16" s="25">
        <v>5665</v>
      </c>
      <c r="G16" s="12">
        <f>Tabel2425678[[#This Row],[Stand Coffee einde maand]]-Tabel2425678[[#This Row],[Coffee vorige maand]]</f>
        <v>681</v>
      </c>
      <c r="H16" s="11">
        <v>1485</v>
      </c>
      <c r="I16" s="25">
        <v>1294</v>
      </c>
      <c r="J16" s="12">
        <f>Tabel2425678[[#This Row],[Stand Espresso Einde maand]]-Tabel2425678[[#This Row],[Espresso vorige maand]]</f>
        <v>191</v>
      </c>
      <c r="K16" s="11">
        <v>206</v>
      </c>
      <c r="L16" s="25">
        <v>176</v>
      </c>
      <c r="M16">
        <f>Tabel2425678[[#This Row],[Stand Latte Macchiato einde maand]]-Tabel2425678[[#This Row],[Latte Macchiato vorige maand]]</f>
        <v>30</v>
      </c>
      <c r="N16" s="11">
        <v>516</v>
      </c>
      <c r="O16" s="25">
        <v>439</v>
      </c>
      <c r="P16">
        <f>Tabel2425678[[#This Row],[Stand Coffee Latte einde maand]]-Tabel2425678[[#This Row],[Coffee Latte vorige maand]]</f>
        <v>77</v>
      </c>
      <c r="Q16" s="11">
        <v>9687</v>
      </c>
      <c r="R16" s="25">
        <v>8439</v>
      </c>
      <c r="S16">
        <f>Tabel2425678[[#This Row],[Stand Hot Water einde maand]]-Tabel2425678[[#This Row],[Hot Water vorige maand]]</f>
        <v>1248</v>
      </c>
      <c r="T16" s="11">
        <v>3399</v>
      </c>
      <c r="U16" s="25">
        <v>2972</v>
      </c>
      <c r="V16">
        <f>Tabel2425678[[#This Row],[Stand Cappucino einde maand]]-Tabel2425678[[#This Row],[Stand Cappucino vorige maand]]</f>
        <v>427</v>
      </c>
      <c r="W16" s="11">
        <v>1099</v>
      </c>
      <c r="X16" s="25">
        <v>986</v>
      </c>
      <c r="Y16">
        <f>Tabel2425678[[#This Row],[Stand Cappucino Plantaardig einde maand]]-Tabel2425678[[#This Row],[Stand Cappucino Plantaardig vorige maand]]</f>
        <v>113</v>
      </c>
      <c r="Z16" s="11">
        <v>256</v>
      </c>
      <c r="AA16" s="25">
        <v>235</v>
      </c>
      <c r="AB16" s="12">
        <f>Tabel2425678[[#This Row],[Stand Latte Macchiato Plantaardig einde maand]]-Tabel2425678[[#This Row],[Stand Latte Macchiato Plantaardig vorige maand]]</f>
        <v>21</v>
      </c>
      <c r="AC16" s="3">
        <f>Tabel2425678[[#This Row],[Verbruik Stand Latte Macchiato Plantaardig deze maand]]+Tabel2425678[[#This Row],[Verbruik  Cappucino Plantaardig deze maand]]+Tabel2425678[[#This Row],[Verbruik Cappucino deze maand]]+Tabel2425678[[#This Row],[Verbruik Hot Water deze maand]]+Tabel2425678[[#This Row],[Verbruik Coffee Latte deze maand]]+Tabel2425678[[#This Row],[Verbruik Latte Macchiato deze maand]]+Tabel2425678[[#This Row],[Verbruik Espresso deze maand]]+Tabel2425678[[#This Row],[Verbruik Coffee deze maand]]</f>
        <v>2788</v>
      </c>
      <c r="AD16" s="26"/>
      <c r="AE16" s="41"/>
      <c r="AF16" s="5"/>
      <c r="AG16" s="7"/>
      <c r="AH16" s="26"/>
      <c r="AI16" s="41"/>
      <c r="AJ16" s="5"/>
      <c r="AK16" s="7"/>
      <c r="AL16" s="26"/>
      <c r="AM16" s="26"/>
      <c r="AN16" s="5"/>
      <c r="AO16" s="5"/>
      <c r="AP16" s="26"/>
      <c r="AQ16" s="26"/>
      <c r="AR16" s="5"/>
      <c r="AS16" s="7"/>
      <c r="AT16" s="26"/>
      <c r="AU16" s="26"/>
      <c r="AV16" s="5"/>
      <c r="AW16" s="21"/>
      <c r="AX16" s="8"/>
      <c r="AY16" s="4">
        <f>Tabel2425678[[#This Row],[Subtotaal waterbar in consumpties]]+Tabel2425678[[#This Row],[Subtotaal koffieautomaten]]</f>
        <v>2788</v>
      </c>
    </row>
    <row r="17" spans="1:51" x14ac:dyDescent="0.25">
      <c r="A17" t="s">
        <v>58</v>
      </c>
      <c r="B17" t="s">
        <v>59</v>
      </c>
      <c r="C17" t="s">
        <v>47</v>
      </c>
      <c r="E17" s="11">
        <v>5239</v>
      </c>
      <c r="F17" s="25">
        <v>4626</v>
      </c>
      <c r="G17" s="12">
        <f>Tabel2425678[[#This Row],[Stand Coffee einde maand]]-Tabel2425678[[#This Row],[Coffee vorige maand]]</f>
        <v>613</v>
      </c>
      <c r="H17" s="11">
        <v>859</v>
      </c>
      <c r="I17" s="25">
        <v>808</v>
      </c>
      <c r="J17" s="12">
        <f>Tabel2425678[[#This Row],[Stand Espresso Einde maand]]-Tabel2425678[[#This Row],[Espresso vorige maand]]</f>
        <v>51</v>
      </c>
      <c r="K17" s="11">
        <v>512</v>
      </c>
      <c r="L17" s="25">
        <v>447</v>
      </c>
      <c r="M17">
        <f>Tabel2425678[[#This Row],[Stand Latte Macchiato einde maand]]-Tabel2425678[[#This Row],[Latte Macchiato vorige maand]]</f>
        <v>65</v>
      </c>
      <c r="N17" s="11">
        <v>147</v>
      </c>
      <c r="O17" s="25">
        <v>139</v>
      </c>
      <c r="P17">
        <f>Tabel2425678[[#This Row],[Stand Coffee Latte einde maand]]-Tabel2425678[[#This Row],[Coffee Latte vorige maand]]</f>
        <v>8</v>
      </c>
      <c r="Q17" s="11">
        <v>1</v>
      </c>
      <c r="R17" s="25">
        <v>1</v>
      </c>
      <c r="S17">
        <f>Tabel2425678[[#This Row],[Stand Hot Water einde maand]]-Tabel2425678[[#This Row],[Hot Water vorige maand]]</f>
        <v>0</v>
      </c>
      <c r="T17" s="11">
        <v>2280</v>
      </c>
      <c r="U17" s="25">
        <v>1991</v>
      </c>
      <c r="V17">
        <f>Tabel2425678[[#This Row],[Stand Cappucino einde maand]]-Tabel2425678[[#This Row],[Stand Cappucino vorige maand]]</f>
        <v>289</v>
      </c>
      <c r="W17" s="11">
        <v>1362</v>
      </c>
      <c r="X17" s="25">
        <v>1231</v>
      </c>
      <c r="Y17">
        <f>Tabel2425678[[#This Row],[Stand Cappucino Plantaardig einde maand]]-Tabel2425678[[#This Row],[Stand Cappucino Plantaardig vorige maand]]</f>
        <v>131</v>
      </c>
      <c r="Z17" s="11">
        <v>171</v>
      </c>
      <c r="AA17" s="25">
        <v>148</v>
      </c>
      <c r="AB17" s="12">
        <f>Tabel2425678[[#This Row],[Stand Latte Macchiato Plantaardig einde maand]]-Tabel2425678[[#This Row],[Stand Latte Macchiato Plantaardig vorige maand]]</f>
        <v>23</v>
      </c>
      <c r="AC17" s="3">
        <f>Tabel2425678[[#This Row],[Verbruik Stand Latte Macchiato Plantaardig deze maand]]+Tabel2425678[[#This Row],[Verbruik  Cappucino Plantaardig deze maand]]+Tabel2425678[[#This Row],[Verbruik Cappucino deze maand]]+Tabel2425678[[#This Row],[Verbruik Hot Water deze maand]]+Tabel2425678[[#This Row],[Verbruik Coffee Latte deze maand]]+Tabel2425678[[#This Row],[Verbruik Latte Macchiato deze maand]]+Tabel2425678[[#This Row],[Verbruik Espresso deze maand]]+Tabel2425678[[#This Row],[Verbruik Coffee deze maand]]</f>
        <v>1180</v>
      </c>
      <c r="AD17" s="11">
        <v>243.3</v>
      </c>
      <c r="AE17" s="40">
        <v>195.4</v>
      </c>
      <c r="AF17">
        <f>Tabel2425678[[#This Row],[Stand Kamertemp liter einde maand]]-Tabel2425678[[#This Row],[Stand Kamertemp liter vorige maand]]</f>
        <v>47.900000000000006</v>
      </c>
      <c r="AG17" s="2">
        <f>Tabel2425678[[#This Row],[Verbruik Kamertemp liter deze maand]]/0.15</f>
        <v>319.33333333333337</v>
      </c>
      <c r="AH17" s="11">
        <v>878.4</v>
      </c>
      <c r="AI17" s="40">
        <v>757.8</v>
      </c>
      <c r="AJ17">
        <f>Tabel2425678[[#This Row],[Stand Gekoeld liter einde maand]]-Tabel2425678[[#This Row],[Stand Gekoeld liter vorige maand]]</f>
        <v>120.60000000000002</v>
      </c>
      <c r="AK17" s="2">
        <f>Tabel2425678[[#This Row],[Verbruik Gekoeld liter deze maand]]/0.15</f>
        <v>804.00000000000023</v>
      </c>
      <c r="AL17" s="11">
        <v>1087</v>
      </c>
      <c r="AM17" s="25">
        <v>904.7</v>
      </c>
      <c r="AN17">
        <f>Tabel2425678[[#This Row],[Stand Bruisend liter einde maand]]-Tabel2425678[[#This Row],[Stand Bruisend liter vorige maand]]</f>
        <v>182.29999999999995</v>
      </c>
      <c r="AO17" s="2">
        <f>Tabel2425678[[#This Row],[Verbruik Bruisend liter deze maand]]/0.15</f>
        <v>1215.333333333333</v>
      </c>
      <c r="AP17" s="11">
        <v>321.60000000000002</v>
      </c>
      <c r="AQ17" s="25">
        <v>267.39999999999998</v>
      </c>
      <c r="AR17">
        <f>Tabel2425678[[#This Row],[Stand licht bruisend liter einde maand]]-Tabel2425678[[#This Row],[Stand licht bruisend liter vorige maand]]</f>
        <v>54.200000000000045</v>
      </c>
      <c r="AS17" s="2">
        <f>Tabel2425678[[#This Row],[Verbruik licht bruisend liter deze maand]]/0.15</f>
        <v>361.33333333333366</v>
      </c>
      <c r="AT17" s="11">
        <v>2443.8000000000002</v>
      </c>
      <c r="AU17" s="25">
        <v>2112.6</v>
      </c>
      <c r="AV17">
        <f>Tabel2425678[[#This Row],[Stand heet water liter einde maand]]-Tabel2425678[[#This Row],[Stand heet water liter vorige maand]]</f>
        <v>331.20000000000027</v>
      </c>
      <c r="AW17" s="20">
        <f>Tabel2425678[[#This Row],[Verbruik heet Water liter deze maand ]]/0.15</f>
        <v>2208.0000000000018</v>
      </c>
      <c r="AX17" s="4">
        <f>Tabel2425678[[#This Row],[Aantal consumpties heet water deze maand]]+Tabel2425678[[#This Row],[Aantal consumpties licht bruisend water deze maand]]+Tabel2425678[[#This Row],[aantal consumpties Bruisend water deze maand]]+Tabel2425678[[#This Row],[Aantal consumpties gekoeld water deze maand]]+Tabel2425678[[#This Row],[Aantal consumpties Kamertemp deze maand]]</f>
        <v>4908.0000000000018</v>
      </c>
      <c r="AY17" s="4">
        <f>Tabel2425678[[#This Row],[Subtotaal waterbar in consumpties]]+Tabel2425678[[#This Row],[Subtotaal koffieautomaten]]</f>
        <v>6088.0000000000018</v>
      </c>
    </row>
    <row r="18" spans="1:51" x14ac:dyDescent="0.25">
      <c r="A18" t="s">
        <v>60</v>
      </c>
      <c r="B18" t="s">
        <v>61</v>
      </c>
      <c r="C18" t="s">
        <v>31</v>
      </c>
      <c r="E18" s="11">
        <v>5423</v>
      </c>
      <c r="F18" s="25">
        <v>4816</v>
      </c>
      <c r="G18" s="12">
        <f>Tabel2425678[[#This Row],[Stand Coffee einde maand]]-Tabel2425678[[#This Row],[Coffee vorige maand]]</f>
        <v>607</v>
      </c>
      <c r="H18" s="11">
        <v>897</v>
      </c>
      <c r="I18" s="25">
        <v>810</v>
      </c>
      <c r="J18" s="12">
        <f>Tabel2425678[[#This Row],[Stand Espresso Einde maand]]-Tabel2425678[[#This Row],[Espresso vorige maand]]</f>
        <v>87</v>
      </c>
      <c r="K18" s="11">
        <v>405</v>
      </c>
      <c r="L18" s="25">
        <v>355</v>
      </c>
      <c r="M18">
        <f>Tabel2425678[[#This Row],[Stand Latte Macchiato einde maand]]-Tabel2425678[[#This Row],[Latte Macchiato vorige maand]]</f>
        <v>50</v>
      </c>
      <c r="N18" s="11">
        <v>125</v>
      </c>
      <c r="O18" s="25">
        <v>118</v>
      </c>
      <c r="P18">
        <f>Tabel2425678[[#This Row],[Stand Coffee Latte einde maand]]-Tabel2425678[[#This Row],[Coffee Latte vorige maand]]</f>
        <v>7</v>
      </c>
      <c r="Q18" s="11">
        <v>9304</v>
      </c>
      <c r="R18" s="25">
        <v>8053</v>
      </c>
      <c r="S18">
        <f>Tabel2425678[[#This Row],[Stand Hot Water einde maand]]-Tabel2425678[[#This Row],[Hot Water vorige maand]]</f>
        <v>1251</v>
      </c>
      <c r="T18" s="11">
        <v>3011</v>
      </c>
      <c r="U18" s="25">
        <v>2671</v>
      </c>
      <c r="V18">
        <f>Tabel2425678[[#This Row],[Stand Cappucino einde maand]]-Tabel2425678[[#This Row],[Stand Cappucino vorige maand]]</f>
        <v>340</v>
      </c>
      <c r="W18" s="11">
        <v>615</v>
      </c>
      <c r="X18" s="25">
        <v>557</v>
      </c>
      <c r="Y18">
        <f>Tabel2425678[[#This Row],[Stand Cappucino Plantaardig einde maand]]-Tabel2425678[[#This Row],[Stand Cappucino Plantaardig vorige maand]]</f>
        <v>58</v>
      </c>
      <c r="Z18" s="11">
        <v>172</v>
      </c>
      <c r="AA18" s="25">
        <v>160</v>
      </c>
      <c r="AB18" s="12">
        <f>Tabel2425678[[#This Row],[Stand Latte Macchiato Plantaardig einde maand]]-Tabel2425678[[#This Row],[Stand Latte Macchiato Plantaardig vorige maand]]</f>
        <v>12</v>
      </c>
      <c r="AC18" s="3">
        <f>Tabel2425678[[#This Row],[Verbruik Stand Latte Macchiato Plantaardig deze maand]]+Tabel2425678[[#This Row],[Verbruik  Cappucino Plantaardig deze maand]]+Tabel2425678[[#This Row],[Verbruik Cappucino deze maand]]+Tabel2425678[[#This Row],[Verbruik Hot Water deze maand]]+Tabel2425678[[#This Row],[Verbruik Coffee Latte deze maand]]+Tabel2425678[[#This Row],[Verbruik Latte Macchiato deze maand]]+Tabel2425678[[#This Row],[Verbruik Espresso deze maand]]+Tabel2425678[[#This Row],[Verbruik Coffee deze maand]]</f>
        <v>2412</v>
      </c>
      <c r="AD18" s="26"/>
      <c r="AE18" s="41"/>
      <c r="AF18" s="5"/>
      <c r="AG18" s="7"/>
      <c r="AH18" s="26"/>
      <c r="AI18" s="41"/>
      <c r="AJ18" s="5"/>
      <c r="AK18" s="7"/>
      <c r="AL18" s="26"/>
      <c r="AM18" s="26"/>
      <c r="AN18" s="5"/>
      <c r="AO18" s="5"/>
      <c r="AP18" s="26"/>
      <c r="AQ18" s="26"/>
      <c r="AR18" s="5"/>
      <c r="AS18" s="7"/>
      <c r="AT18" s="26"/>
      <c r="AU18" s="26"/>
      <c r="AV18" s="5"/>
      <c r="AW18" s="21"/>
      <c r="AX18" s="8"/>
      <c r="AY18" s="4">
        <f>Tabel2425678[[#This Row],[Subtotaal waterbar in consumpties]]+Tabel2425678[[#This Row],[Subtotaal koffieautomaten]]</f>
        <v>2412</v>
      </c>
    </row>
    <row r="19" spans="1:51" x14ac:dyDescent="0.25">
      <c r="A19" t="s">
        <v>62</v>
      </c>
      <c r="B19" t="s">
        <v>63</v>
      </c>
      <c r="C19" t="s">
        <v>36</v>
      </c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11">
        <v>63.8</v>
      </c>
      <c r="AE19" s="40">
        <v>56.4</v>
      </c>
      <c r="AF19">
        <f>Tabel2425678[[#This Row],[Stand Kamertemp liter einde maand]]-Tabel2425678[[#This Row],[Stand Kamertemp liter vorige maand]]</f>
        <v>7.3999999999999986</v>
      </c>
      <c r="AG19" s="2">
        <f>Tabel2425678[[#This Row],[Verbruik Kamertemp liter deze maand]]/0.15</f>
        <v>49.333333333333329</v>
      </c>
      <c r="AH19" s="26">
        <v>493.8</v>
      </c>
      <c r="AI19" s="40">
        <v>404.3</v>
      </c>
      <c r="AJ19">
        <f>Tabel2425678[[#This Row],[Stand Gekoeld liter einde maand]]-Tabel2425678[[#This Row],[Stand Gekoeld liter vorige maand]]</f>
        <v>89.5</v>
      </c>
      <c r="AK19" s="2">
        <f>Tabel2425678[[#This Row],[Verbruik Gekoeld liter deze maand]]/0.15</f>
        <v>596.66666666666674</v>
      </c>
      <c r="AL19" s="26">
        <v>747.2</v>
      </c>
      <c r="AM19" s="25">
        <v>594.5</v>
      </c>
      <c r="AN19">
        <f>Tabel2425678[[#This Row],[Stand Bruisend liter einde maand]]-Tabel2425678[[#This Row],[Stand Bruisend liter vorige maand]]</f>
        <v>152.70000000000005</v>
      </c>
      <c r="AO19" s="2">
        <f>Tabel2425678[[#This Row],[Verbruik Bruisend liter deze maand]]/0.15</f>
        <v>1018.0000000000003</v>
      </c>
      <c r="AP19" s="26">
        <v>161.69999999999999</v>
      </c>
      <c r="AQ19" s="25">
        <v>132.69999999999999</v>
      </c>
      <c r="AR19">
        <f>Tabel2425678[[#This Row],[Stand licht bruisend liter einde maand]]-Tabel2425678[[#This Row],[Stand licht bruisend liter vorige maand]]</f>
        <v>29</v>
      </c>
      <c r="AS19" s="2">
        <f>Tabel2425678[[#This Row],[Verbruik licht bruisend liter deze maand]]/0.15</f>
        <v>193.33333333333334</v>
      </c>
      <c r="AT19" s="26">
        <v>694.3</v>
      </c>
      <c r="AU19" s="25">
        <v>527.6</v>
      </c>
      <c r="AV19">
        <f>Tabel2425678[[#This Row],[Stand heet water liter einde maand]]-Tabel2425678[[#This Row],[Stand heet water liter vorige maand]]</f>
        <v>166.69999999999993</v>
      </c>
      <c r="AW19" s="20">
        <f>Tabel2425678[[#This Row],[Verbruik heet Water liter deze maand ]]/0.15</f>
        <v>1111.333333333333</v>
      </c>
      <c r="AX19" s="4">
        <f>Tabel2425678[[#This Row],[Aantal consumpties heet water deze maand]]+Tabel2425678[[#This Row],[Aantal consumpties licht bruisend water deze maand]]+Tabel2425678[[#This Row],[aantal consumpties Bruisend water deze maand]]+Tabel2425678[[#This Row],[Aantal consumpties gekoeld water deze maand]]+Tabel2425678[[#This Row],[Aantal consumpties Kamertemp deze maand]]</f>
        <v>2968.6666666666665</v>
      </c>
      <c r="AY19" s="4">
        <f>Tabel2425678[[#This Row],[Subtotaal waterbar in consumpties]]+Tabel2425678[[#This Row],[Subtotaal koffieautomaten]]</f>
        <v>2968.6666666666665</v>
      </c>
    </row>
    <row r="20" spans="1:51" x14ac:dyDescent="0.25">
      <c r="A20" t="s">
        <v>64</v>
      </c>
      <c r="B20" t="s">
        <v>65</v>
      </c>
      <c r="C20" t="s">
        <v>31</v>
      </c>
      <c r="E20" s="11">
        <v>4987</v>
      </c>
      <c r="F20" s="25">
        <v>4320</v>
      </c>
      <c r="G20" s="12">
        <f>Tabel2425678[[#This Row],[Stand Coffee einde maand]]-Tabel2425678[[#This Row],[Coffee vorige maand]]</f>
        <v>667</v>
      </c>
      <c r="H20" s="11">
        <v>1487</v>
      </c>
      <c r="I20" s="25">
        <v>1312</v>
      </c>
      <c r="J20" s="12">
        <f>Tabel2425678[[#This Row],[Stand Espresso Einde maand]]-Tabel2425678[[#This Row],[Espresso vorige maand]]</f>
        <v>175</v>
      </c>
      <c r="K20" s="11">
        <v>603</v>
      </c>
      <c r="L20" s="25">
        <v>526</v>
      </c>
      <c r="M20">
        <f>Tabel2425678[[#This Row],[Stand Latte Macchiato einde maand]]-Tabel2425678[[#This Row],[Latte Macchiato vorige maand]]</f>
        <v>77</v>
      </c>
      <c r="N20" s="11">
        <v>272</v>
      </c>
      <c r="O20" s="25">
        <v>237</v>
      </c>
      <c r="P20">
        <f>Tabel2425678[[#This Row],[Stand Coffee Latte einde maand]]-Tabel2425678[[#This Row],[Coffee Latte vorige maand]]</f>
        <v>35</v>
      </c>
      <c r="Q20" s="11">
        <v>9918</v>
      </c>
      <c r="R20" s="25">
        <v>8970</v>
      </c>
      <c r="S20">
        <f>Tabel2425678[[#This Row],[Stand Hot Water einde maand]]-Tabel2425678[[#This Row],[Hot Water vorige maand]]</f>
        <v>948</v>
      </c>
      <c r="T20" s="11">
        <v>3216</v>
      </c>
      <c r="U20" s="25">
        <v>2820</v>
      </c>
      <c r="V20">
        <f>Tabel2425678[[#This Row],[Stand Cappucino einde maand]]-Tabel2425678[[#This Row],[Stand Cappucino vorige maand]]</f>
        <v>396</v>
      </c>
      <c r="W20" s="11">
        <v>706</v>
      </c>
      <c r="X20" s="25">
        <v>634</v>
      </c>
      <c r="Y20">
        <f>Tabel2425678[[#This Row],[Stand Cappucino Plantaardig einde maand]]-Tabel2425678[[#This Row],[Stand Cappucino Plantaardig vorige maand]]</f>
        <v>72</v>
      </c>
      <c r="Z20" s="11">
        <v>142</v>
      </c>
      <c r="AA20" s="25">
        <v>113</v>
      </c>
      <c r="AB20" s="12">
        <f>Tabel2425678[[#This Row],[Stand Latte Macchiato Plantaardig einde maand]]-Tabel2425678[[#This Row],[Stand Latte Macchiato Plantaardig vorige maand]]</f>
        <v>29</v>
      </c>
      <c r="AC20" s="3">
        <f>Tabel2425678[[#This Row],[Verbruik Stand Latte Macchiato Plantaardig deze maand]]+Tabel2425678[[#This Row],[Verbruik  Cappucino Plantaardig deze maand]]+Tabel2425678[[#This Row],[Verbruik Cappucino deze maand]]+Tabel2425678[[#This Row],[Verbruik Hot Water deze maand]]+Tabel2425678[[#This Row],[Verbruik Coffee Latte deze maand]]+Tabel2425678[[#This Row],[Verbruik Latte Macchiato deze maand]]+Tabel2425678[[#This Row],[Verbruik Espresso deze maand]]+Tabel2425678[[#This Row],[Verbruik Coffee deze maand]]</f>
        <v>2399</v>
      </c>
      <c r="AD20" s="26"/>
      <c r="AE20" s="41"/>
      <c r="AF20" s="5"/>
      <c r="AG20" s="7"/>
      <c r="AH20" s="26"/>
      <c r="AI20" s="41"/>
      <c r="AJ20" s="5"/>
      <c r="AK20" s="7"/>
      <c r="AL20" s="26"/>
      <c r="AM20" s="26"/>
      <c r="AN20" s="5"/>
      <c r="AO20" s="5"/>
      <c r="AP20" s="26"/>
      <c r="AQ20" s="26"/>
      <c r="AR20" s="5"/>
      <c r="AS20" s="7"/>
      <c r="AT20" s="26"/>
      <c r="AU20" s="26"/>
      <c r="AV20" s="5"/>
      <c r="AW20" s="21"/>
      <c r="AX20" s="8"/>
      <c r="AY20" s="4">
        <f>Tabel2425678[[#This Row],[Subtotaal waterbar in consumpties]]+Tabel2425678[[#This Row],[Subtotaal koffieautomaten]]</f>
        <v>2399</v>
      </c>
    </row>
    <row r="21" spans="1:51" x14ac:dyDescent="0.25">
      <c r="A21" t="s">
        <v>66</v>
      </c>
      <c r="B21" t="s">
        <v>67</v>
      </c>
      <c r="C21" t="s">
        <v>31</v>
      </c>
      <c r="E21" s="11">
        <v>6663</v>
      </c>
      <c r="F21" s="25">
        <v>5986</v>
      </c>
      <c r="G21" s="12">
        <f>Tabel2425678[[#This Row],[Stand Coffee einde maand]]-Tabel2425678[[#This Row],[Coffee vorige maand]]</f>
        <v>677</v>
      </c>
      <c r="H21" s="11">
        <v>910</v>
      </c>
      <c r="I21" s="25">
        <v>817</v>
      </c>
      <c r="J21" s="12">
        <f>Tabel2425678[[#This Row],[Stand Espresso Einde maand]]-Tabel2425678[[#This Row],[Espresso vorige maand]]</f>
        <v>93</v>
      </c>
      <c r="K21" s="11">
        <v>720</v>
      </c>
      <c r="L21" s="25">
        <v>649</v>
      </c>
      <c r="M21">
        <f>Tabel2425678[[#This Row],[Stand Latte Macchiato einde maand]]-Tabel2425678[[#This Row],[Latte Macchiato vorige maand]]</f>
        <v>71</v>
      </c>
      <c r="N21" s="11">
        <v>281</v>
      </c>
      <c r="O21" s="25">
        <v>228</v>
      </c>
      <c r="P21">
        <f>Tabel2425678[[#This Row],[Stand Coffee Latte einde maand]]-Tabel2425678[[#This Row],[Coffee Latte vorige maand]]</f>
        <v>53</v>
      </c>
      <c r="Q21" s="11">
        <v>10519</v>
      </c>
      <c r="R21" s="25">
        <v>9163</v>
      </c>
      <c r="S21">
        <f>Tabel2425678[[#This Row],[Stand Hot Water einde maand]]-Tabel2425678[[#This Row],[Hot Water vorige maand]]</f>
        <v>1356</v>
      </c>
      <c r="T21" s="11">
        <v>3155</v>
      </c>
      <c r="U21" s="25">
        <v>2732</v>
      </c>
      <c r="V21">
        <f>Tabel2425678[[#This Row],[Stand Cappucino einde maand]]-Tabel2425678[[#This Row],[Stand Cappucino vorige maand]]</f>
        <v>423</v>
      </c>
      <c r="W21" s="11">
        <v>1164</v>
      </c>
      <c r="X21" s="25">
        <v>1054</v>
      </c>
      <c r="Y21">
        <f>Tabel2425678[[#This Row],[Stand Cappucino Plantaardig einde maand]]-Tabel2425678[[#This Row],[Stand Cappucino Plantaardig vorige maand]]</f>
        <v>110</v>
      </c>
      <c r="Z21" s="11">
        <v>362</v>
      </c>
      <c r="AA21" s="25">
        <v>339</v>
      </c>
      <c r="AB21" s="12">
        <f>Tabel2425678[[#This Row],[Stand Latte Macchiato Plantaardig einde maand]]-Tabel2425678[[#This Row],[Stand Latte Macchiato Plantaardig vorige maand]]</f>
        <v>23</v>
      </c>
      <c r="AC21" s="3">
        <f>Tabel2425678[[#This Row],[Verbruik Stand Latte Macchiato Plantaardig deze maand]]+Tabel2425678[[#This Row],[Verbruik  Cappucino Plantaardig deze maand]]+Tabel2425678[[#This Row],[Verbruik Cappucino deze maand]]+Tabel2425678[[#This Row],[Verbruik Hot Water deze maand]]+Tabel2425678[[#This Row],[Verbruik Coffee Latte deze maand]]+Tabel2425678[[#This Row],[Verbruik Latte Macchiato deze maand]]+Tabel2425678[[#This Row],[Verbruik Espresso deze maand]]+Tabel2425678[[#This Row],[Verbruik Coffee deze maand]]</f>
        <v>2806</v>
      </c>
      <c r="AD21" s="26"/>
      <c r="AE21" s="41"/>
      <c r="AF21" s="5"/>
      <c r="AG21" s="7"/>
      <c r="AH21" s="26"/>
      <c r="AI21" s="41"/>
      <c r="AJ21" s="5"/>
      <c r="AK21" s="7"/>
      <c r="AL21" s="26"/>
      <c r="AM21" s="26"/>
      <c r="AN21" s="5"/>
      <c r="AO21" s="5"/>
      <c r="AP21" s="26"/>
      <c r="AQ21" s="26"/>
      <c r="AR21" s="5"/>
      <c r="AS21" s="7"/>
      <c r="AT21" s="26"/>
      <c r="AU21" s="26"/>
      <c r="AV21" s="5"/>
      <c r="AW21" s="21"/>
      <c r="AX21" s="8"/>
      <c r="AY21" s="4">
        <f>Tabel2425678[[#This Row],[Subtotaal waterbar in consumpties]]+Tabel2425678[[#This Row],[Subtotaal koffieautomaten]]</f>
        <v>2806</v>
      </c>
    </row>
    <row r="22" spans="1:51" x14ac:dyDescent="0.25">
      <c r="A22" t="s">
        <v>68</v>
      </c>
      <c r="B22" t="s">
        <v>69</v>
      </c>
      <c r="C22" t="s">
        <v>47</v>
      </c>
      <c r="E22" s="11">
        <v>3219</v>
      </c>
      <c r="F22" s="25">
        <v>2797</v>
      </c>
      <c r="G22" s="12">
        <f>Tabel2425678[[#This Row],[Stand Coffee einde maand]]-Tabel2425678[[#This Row],[Coffee vorige maand]]</f>
        <v>422</v>
      </c>
      <c r="H22" s="11">
        <v>1221</v>
      </c>
      <c r="I22" s="25">
        <v>1035</v>
      </c>
      <c r="J22" s="12">
        <f>Tabel2425678[[#This Row],[Stand Espresso Einde maand]]-Tabel2425678[[#This Row],[Espresso vorige maand]]</f>
        <v>186</v>
      </c>
      <c r="K22" s="11">
        <v>1212</v>
      </c>
      <c r="L22" s="25">
        <v>1067</v>
      </c>
      <c r="M22">
        <f>Tabel2425678[[#This Row],[Stand Latte Macchiato einde maand]]-Tabel2425678[[#This Row],[Latte Macchiato vorige maand]]</f>
        <v>145</v>
      </c>
      <c r="N22" s="11">
        <v>268</v>
      </c>
      <c r="O22" s="25">
        <v>226</v>
      </c>
      <c r="P22">
        <f>Tabel2425678[[#This Row],[Stand Coffee Latte einde maand]]-Tabel2425678[[#This Row],[Coffee Latte vorige maand]]</f>
        <v>42</v>
      </c>
      <c r="Q22" s="11">
        <v>1</v>
      </c>
      <c r="R22" s="25">
        <v>1</v>
      </c>
      <c r="S22">
        <f>Tabel2425678[[#This Row],[Stand Hot Water einde maand]]-Tabel2425678[[#This Row],[Hot Water vorige maand]]</f>
        <v>0</v>
      </c>
      <c r="T22" s="11">
        <v>4119</v>
      </c>
      <c r="U22" s="25">
        <v>3547</v>
      </c>
      <c r="V22">
        <f>Tabel2425678[[#This Row],[Stand Cappucino einde maand]]-Tabel2425678[[#This Row],[Stand Cappucino vorige maand]]</f>
        <v>572</v>
      </c>
      <c r="W22" s="11">
        <v>712</v>
      </c>
      <c r="X22" s="25">
        <v>613</v>
      </c>
      <c r="Y22">
        <f>Tabel2425678[[#This Row],[Stand Cappucino Plantaardig einde maand]]-Tabel2425678[[#This Row],[Stand Cappucino Plantaardig vorige maand]]</f>
        <v>99</v>
      </c>
      <c r="Z22" s="11">
        <v>224</v>
      </c>
      <c r="AA22" s="25">
        <v>207</v>
      </c>
      <c r="AB22" s="12">
        <f>Tabel2425678[[#This Row],[Stand Latte Macchiato Plantaardig einde maand]]-Tabel2425678[[#This Row],[Stand Latte Macchiato Plantaardig vorige maand]]</f>
        <v>17</v>
      </c>
      <c r="AC22" s="3">
        <f>Tabel2425678[[#This Row],[Verbruik Stand Latte Macchiato Plantaardig deze maand]]+Tabel2425678[[#This Row],[Verbruik  Cappucino Plantaardig deze maand]]+Tabel2425678[[#This Row],[Verbruik Cappucino deze maand]]+Tabel2425678[[#This Row],[Verbruik Hot Water deze maand]]+Tabel2425678[[#This Row],[Verbruik Coffee Latte deze maand]]+Tabel2425678[[#This Row],[Verbruik Latte Macchiato deze maand]]+Tabel2425678[[#This Row],[Verbruik Espresso deze maand]]+Tabel2425678[[#This Row],[Verbruik Coffee deze maand]]</f>
        <v>1483</v>
      </c>
      <c r="AD22" s="11">
        <v>104.1</v>
      </c>
      <c r="AE22" s="40">
        <v>93.4</v>
      </c>
      <c r="AF22">
        <f>Tabel2425678[[#This Row],[Stand Kamertemp liter einde maand]]-Tabel2425678[[#This Row],[Stand Kamertemp liter vorige maand]]</f>
        <v>10.699999999999989</v>
      </c>
      <c r="AG22" s="2">
        <f>Tabel2425678[[#This Row],[Verbruik Kamertemp liter deze maand]]/0.15</f>
        <v>71.333333333333258</v>
      </c>
      <c r="AH22" s="11">
        <v>1200.9000000000001</v>
      </c>
      <c r="AI22" s="40">
        <v>1019.4</v>
      </c>
      <c r="AJ22">
        <f>Tabel2425678[[#This Row],[Stand Gekoeld liter einde maand]]-Tabel2425678[[#This Row],[Stand Gekoeld liter vorige maand]]</f>
        <v>181.50000000000011</v>
      </c>
      <c r="AK22" s="2">
        <f>Tabel2425678[[#This Row],[Verbruik Gekoeld liter deze maand]]/0.15</f>
        <v>1210.0000000000009</v>
      </c>
      <c r="AL22" s="11">
        <v>1117</v>
      </c>
      <c r="AM22" s="25">
        <v>960.6</v>
      </c>
      <c r="AN22">
        <f>Tabel2425678[[#This Row],[Stand Bruisend liter einde maand]]-Tabel2425678[[#This Row],[Stand Bruisend liter vorige maand]]</f>
        <v>156.39999999999998</v>
      </c>
      <c r="AO22" s="2">
        <f>Tabel2425678[[#This Row],[Verbruik Bruisend liter deze maand]]/0.15</f>
        <v>1042.6666666666665</v>
      </c>
      <c r="AP22" s="11">
        <v>506.5</v>
      </c>
      <c r="AQ22" s="25">
        <v>450.9</v>
      </c>
      <c r="AR22">
        <f>Tabel2425678[[#This Row],[Stand licht bruisend liter einde maand]]-Tabel2425678[[#This Row],[Stand licht bruisend liter vorige maand]]</f>
        <v>55.600000000000023</v>
      </c>
      <c r="AS22" s="2">
        <f>Tabel2425678[[#This Row],[Verbruik licht bruisend liter deze maand]]/0.15</f>
        <v>370.66666666666686</v>
      </c>
      <c r="AT22" s="11">
        <v>3249.4</v>
      </c>
      <c r="AU22" s="25">
        <v>2857</v>
      </c>
      <c r="AV22">
        <f>Tabel2425678[[#This Row],[Stand heet water liter einde maand]]-Tabel2425678[[#This Row],[Stand heet water liter vorige maand]]</f>
        <v>392.40000000000009</v>
      </c>
      <c r="AW22" s="20">
        <f>Tabel2425678[[#This Row],[Verbruik heet Water liter deze maand ]]/0.15</f>
        <v>2616.0000000000009</v>
      </c>
      <c r="AX22" s="4">
        <f>Tabel2425678[[#This Row],[Aantal consumpties heet water deze maand]]+Tabel2425678[[#This Row],[Aantal consumpties licht bruisend water deze maand]]+Tabel2425678[[#This Row],[aantal consumpties Bruisend water deze maand]]+Tabel2425678[[#This Row],[Aantal consumpties gekoeld water deze maand]]+Tabel2425678[[#This Row],[Aantal consumpties Kamertemp deze maand]]</f>
        <v>5310.6666666666688</v>
      </c>
      <c r="AY22" s="4">
        <f>Tabel2425678[[#This Row],[Subtotaal waterbar in consumpties]]+Tabel2425678[[#This Row],[Subtotaal koffieautomaten]]</f>
        <v>6793.6666666666688</v>
      </c>
    </row>
    <row r="23" spans="1:51" x14ac:dyDescent="0.25">
      <c r="A23" t="s">
        <v>70</v>
      </c>
      <c r="B23" t="s">
        <v>71</v>
      </c>
      <c r="C23" t="s">
        <v>31</v>
      </c>
      <c r="E23" s="11">
        <v>4449</v>
      </c>
      <c r="F23" s="25">
        <v>4059</v>
      </c>
      <c r="G23" s="12">
        <f>Tabel2425678[[#This Row],[Stand Coffee einde maand]]-Tabel2425678[[#This Row],[Coffee vorige maand]]</f>
        <v>390</v>
      </c>
      <c r="H23" s="11">
        <v>523</v>
      </c>
      <c r="I23" s="25">
        <v>487</v>
      </c>
      <c r="J23" s="12">
        <f>Tabel2425678[[#This Row],[Stand Espresso Einde maand]]-Tabel2425678[[#This Row],[Espresso vorige maand]]</f>
        <v>36</v>
      </c>
      <c r="K23" s="11">
        <v>364</v>
      </c>
      <c r="L23" s="25">
        <v>339</v>
      </c>
      <c r="M23">
        <f>Tabel2425678[[#This Row],[Stand Latte Macchiato einde maand]]-Tabel2425678[[#This Row],[Latte Macchiato vorige maand]]</f>
        <v>25</v>
      </c>
      <c r="N23" s="11">
        <v>393</v>
      </c>
      <c r="O23" s="25">
        <v>342</v>
      </c>
      <c r="P23">
        <f>Tabel2425678[[#This Row],[Stand Coffee Latte einde maand]]-Tabel2425678[[#This Row],[Coffee Latte vorige maand]]</f>
        <v>51</v>
      </c>
      <c r="Q23" s="11">
        <v>7819</v>
      </c>
      <c r="R23" s="25">
        <v>7042</v>
      </c>
      <c r="S23">
        <f>Tabel2425678[[#This Row],[Stand Hot Water einde maand]]-Tabel2425678[[#This Row],[Hot Water vorige maand]]</f>
        <v>777</v>
      </c>
      <c r="T23" s="11">
        <v>1789</v>
      </c>
      <c r="U23" s="25">
        <v>1668</v>
      </c>
      <c r="V23">
        <f>Tabel2425678[[#This Row],[Stand Cappucino einde maand]]-Tabel2425678[[#This Row],[Stand Cappucino vorige maand]]</f>
        <v>121</v>
      </c>
      <c r="W23" s="11">
        <v>514</v>
      </c>
      <c r="X23" s="25">
        <v>465</v>
      </c>
      <c r="Y23">
        <f>Tabel2425678[[#This Row],[Stand Cappucino Plantaardig einde maand]]-Tabel2425678[[#This Row],[Stand Cappucino Plantaardig vorige maand]]</f>
        <v>49</v>
      </c>
      <c r="Z23" s="11">
        <v>490</v>
      </c>
      <c r="AA23" s="25">
        <v>426</v>
      </c>
      <c r="AB23" s="12">
        <f>Tabel2425678[[#This Row],[Stand Latte Macchiato Plantaardig einde maand]]-Tabel2425678[[#This Row],[Stand Latte Macchiato Plantaardig vorige maand]]</f>
        <v>64</v>
      </c>
      <c r="AC23" s="3">
        <f>Tabel2425678[[#This Row],[Verbruik Stand Latte Macchiato Plantaardig deze maand]]+Tabel2425678[[#This Row],[Verbruik  Cappucino Plantaardig deze maand]]+Tabel2425678[[#This Row],[Verbruik Cappucino deze maand]]+Tabel2425678[[#This Row],[Verbruik Hot Water deze maand]]+Tabel2425678[[#This Row],[Verbruik Coffee Latte deze maand]]+Tabel2425678[[#This Row],[Verbruik Latte Macchiato deze maand]]+Tabel2425678[[#This Row],[Verbruik Espresso deze maand]]+Tabel2425678[[#This Row],[Verbruik Coffee deze maand]]</f>
        <v>1513</v>
      </c>
      <c r="AD23" s="26"/>
      <c r="AE23" s="41"/>
      <c r="AF23" s="5"/>
      <c r="AG23" s="7"/>
      <c r="AH23" s="26"/>
      <c r="AI23" s="41"/>
      <c r="AJ23" s="5"/>
      <c r="AK23" s="7"/>
      <c r="AL23" s="26"/>
      <c r="AM23" s="26"/>
      <c r="AN23" s="5"/>
      <c r="AO23" s="5"/>
      <c r="AP23" s="26"/>
      <c r="AQ23" s="26"/>
      <c r="AR23" s="5"/>
      <c r="AS23" s="7"/>
      <c r="AT23" s="26"/>
      <c r="AU23" s="26"/>
      <c r="AV23" s="5"/>
      <c r="AW23" s="21"/>
      <c r="AX23" s="8"/>
      <c r="AY23" s="4">
        <f>Tabel2425678[[#This Row],[Subtotaal waterbar in consumpties]]+Tabel2425678[[#This Row],[Subtotaal koffieautomaten]]</f>
        <v>1513</v>
      </c>
    </row>
    <row r="24" spans="1:51" x14ac:dyDescent="0.25">
      <c r="A24" t="s">
        <v>72</v>
      </c>
      <c r="B24" t="s">
        <v>73</v>
      </c>
      <c r="C24" t="s">
        <v>47</v>
      </c>
      <c r="E24" s="11">
        <v>3553</v>
      </c>
      <c r="F24" s="25">
        <v>3145</v>
      </c>
      <c r="G24" s="12">
        <f>Tabel2425678[[#This Row],[Stand Coffee einde maand]]-Tabel2425678[[#This Row],[Coffee vorige maand]]</f>
        <v>408</v>
      </c>
      <c r="H24" s="11">
        <v>1156</v>
      </c>
      <c r="I24" s="25">
        <v>1014</v>
      </c>
      <c r="J24" s="12">
        <f>Tabel2425678[[#This Row],[Stand Espresso Einde maand]]-Tabel2425678[[#This Row],[Espresso vorige maand]]</f>
        <v>142</v>
      </c>
      <c r="K24" s="11">
        <v>566</v>
      </c>
      <c r="L24" s="25">
        <v>523</v>
      </c>
      <c r="M24">
        <f>Tabel2425678[[#This Row],[Stand Latte Macchiato einde maand]]-Tabel2425678[[#This Row],[Latte Macchiato vorige maand]]</f>
        <v>43</v>
      </c>
      <c r="N24" s="11">
        <v>257</v>
      </c>
      <c r="O24" s="25">
        <v>218</v>
      </c>
      <c r="P24">
        <f>Tabel2425678[[#This Row],[Stand Coffee Latte einde maand]]-Tabel2425678[[#This Row],[Coffee Latte vorige maand]]</f>
        <v>39</v>
      </c>
      <c r="Q24" s="11">
        <v>1</v>
      </c>
      <c r="R24" s="25">
        <v>1</v>
      </c>
      <c r="S24">
        <f>Tabel2425678[[#This Row],[Stand Hot Water einde maand]]-Tabel2425678[[#This Row],[Hot Water vorige maand]]</f>
        <v>0</v>
      </c>
      <c r="T24" s="11">
        <v>2620</v>
      </c>
      <c r="U24" s="25">
        <v>2301</v>
      </c>
      <c r="V24">
        <f>Tabel2425678[[#This Row],[Stand Cappucino einde maand]]-Tabel2425678[[#This Row],[Stand Cappucino vorige maand]]</f>
        <v>319</v>
      </c>
      <c r="W24" s="11">
        <v>494</v>
      </c>
      <c r="X24" s="25">
        <v>444</v>
      </c>
      <c r="Y24">
        <f>Tabel2425678[[#This Row],[Stand Cappucino Plantaardig einde maand]]-Tabel2425678[[#This Row],[Stand Cappucino Plantaardig vorige maand]]</f>
        <v>50</v>
      </c>
      <c r="Z24" s="11">
        <v>141</v>
      </c>
      <c r="AA24" s="25">
        <v>121</v>
      </c>
      <c r="AB24" s="12">
        <f>Tabel2425678[[#This Row],[Stand Latte Macchiato Plantaardig einde maand]]-Tabel2425678[[#This Row],[Stand Latte Macchiato Plantaardig vorige maand]]</f>
        <v>20</v>
      </c>
      <c r="AC24" s="3">
        <f>Tabel2425678[[#This Row],[Verbruik Stand Latte Macchiato Plantaardig deze maand]]+Tabel2425678[[#This Row],[Verbruik  Cappucino Plantaardig deze maand]]+Tabel2425678[[#This Row],[Verbruik Cappucino deze maand]]+Tabel2425678[[#This Row],[Verbruik Hot Water deze maand]]+Tabel2425678[[#This Row],[Verbruik Coffee Latte deze maand]]+Tabel2425678[[#This Row],[Verbruik Latte Macchiato deze maand]]+Tabel2425678[[#This Row],[Verbruik Espresso deze maand]]+Tabel2425678[[#This Row],[Verbruik Coffee deze maand]]</f>
        <v>1021</v>
      </c>
      <c r="AD24" s="11">
        <v>101.9</v>
      </c>
      <c r="AE24" s="40">
        <v>87.3</v>
      </c>
      <c r="AF24">
        <f>Tabel2425678[[#This Row],[Stand Kamertemp liter einde maand]]-Tabel2425678[[#This Row],[Stand Kamertemp liter vorige maand]]</f>
        <v>14.600000000000009</v>
      </c>
      <c r="AG24" s="2">
        <f>Tabel2425678[[#This Row],[Verbruik Kamertemp liter deze maand]]/0.15</f>
        <v>97.3333333333334</v>
      </c>
      <c r="AH24" s="11">
        <v>697.1</v>
      </c>
      <c r="AI24" s="40">
        <v>566.4</v>
      </c>
      <c r="AJ24">
        <f>Tabel2425678[[#This Row],[Stand Gekoeld liter einde maand]]-Tabel2425678[[#This Row],[Stand Gekoeld liter vorige maand]]</f>
        <v>130.70000000000005</v>
      </c>
      <c r="AK24" s="2">
        <f>Tabel2425678[[#This Row],[Verbruik Gekoeld liter deze maand]]/0.15</f>
        <v>871.33333333333371</v>
      </c>
      <c r="AL24" s="11">
        <v>626.6</v>
      </c>
      <c r="AM24" s="25">
        <v>532.6</v>
      </c>
      <c r="AN24">
        <f>Tabel2425678[[#This Row],[Stand Bruisend liter einde maand]]-Tabel2425678[[#This Row],[Stand Bruisend liter vorige maand]]</f>
        <v>94</v>
      </c>
      <c r="AO24" s="2">
        <f>Tabel2425678[[#This Row],[Verbruik Bruisend liter deze maand]]/0.15</f>
        <v>626.66666666666674</v>
      </c>
      <c r="AP24" s="11">
        <v>229.5</v>
      </c>
      <c r="AQ24" s="25">
        <v>208.4</v>
      </c>
      <c r="AR24">
        <f>Tabel2425678[[#This Row],[Stand licht bruisend liter einde maand]]-Tabel2425678[[#This Row],[Stand licht bruisend liter vorige maand]]</f>
        <v>21.099999999999994</v>
      </c>
      <c r="AS24" s="2">
        <f>Tabel2425678[[#This Row],[Verbruik licht bruisend liter deze maand]]/0.15</f>
        <v>140.66666666666663</v>
      </c>
      <c r="AT24" s="11">
        <v>865.5</v>
      </c>
      <c r="AU24" s="25">
        <v>770.8</v>
      </c>
      <c r="AV24">
        <f>Tabel2425678[[#This Row],[Stand heet water liter einde maand]]-Tabel2425678[[#This Row],[Stand heet water liter vorige maand]]</f>
        <v>94.700000000000045</v>
      </c>
      <c r="AW24" s="20">
        <f>Tabel2425678[[#This Row],[Verbruik heet Water liter deze maand ]]/0.15</f>
        <v>631.33333333333371</v>
      </c>
      <c r="AX24" s="4">
        <f>Tabel2425678[[#This Row],[Aantal consumpties heet water deze maand]]+Tabel2425678[[#This Row],[Aantal consumpties licht bruisend water deze maand]]+Tabel2425678[[#This Row],[aantal consumpties Bruisend water deze maand]]+Tabel2425678[[#This Row],[Aantal consumpties gekoeld water deze maand]]+Tabel2425678[[#This Row],[Aantal consumpties Kamertemp deze maand]]</f>
        <v>2367.3333333333344</v>
      </c>
      <c r="AY24" s="4">
        <f>Tabel2425678[[#This Row],[Subtotaal waterbar in consumpties]]+Tabel2425678[[#This Row],[Subtotaal koffieautomaten]]</f>
        <v>3388.3333333333344</v>
      </c>
    </row>
    <row r="25" spans="1:51" x14ac:dyDescent="0.25">
      <c r="A25" s="3" t="s">
        <v>74</v>
      </c>
      <c r="F25" s="25"/>
      <c r="H25" s="11"/>
      <c r="I25" s="25"/>
      <c r="J25" s="12"/>
      <c r="K25" s="11"/>
      <c r="L25" s="25"/>
      <c r="O25" s="25"/>
      <c r="R25" s="25"/>
      <c r="U25" s="25"/>
      <c r="X25" s="25"/>
      <c r="AA25" s="25"/>
      <c r="AC25" s="3">
        <f>Tabel2425678[[#This Row],[Verbruik Stand Latte Macchiato Plantaardig deze maand]]+Tabel2425678[[#This Row],[Verbruik  Cappucino Plantaardig deze maand]]+Tabel2425678[[#This Row],[Verbruik Cappucino deze maand]]+Tabel2425678[[#This Row],[Verbruik Hot Water deze maand]]+Tabel2425678[[#This Row],[Verbruik Coffee Latte deze maand]]+Tabel2425678[[#This Row],[Verbruik Latte Macchiato deze maand]]+Tabel2425678[[#This Row],[Verbruik Espresso deze maand]]+Tabel2425678[[#This Row],[Verbruik Coffee deze maand]]</f>
        <v>0</v>
      </c>
      <c r="AE25" s="40"/>
      <c r="AG25" s="2"/>
      <c r="AI25" s="40"/>
      <c r="AK25" s="2"/>
      <c r="AM25" s="25"/>
      <c r="AO25" s="2"/>
      <c r="AQ25" s="25"/>
      <c r="AS25" s="2"/>
      <c r="AU25" s="25"/>
      <c r="AW25" s="20"/>
      <c r="AX25" s="3"/>
      <c r="AY25" s="4">
        <f>Tabel2425678[[#This Row],[Subtotaal waterbar in consumpties]]+Tabel2425678[[#This Row],[Subtotaal koffieautomaten]]</f>
        <v>0</v>
      </c>
    </row>
    <row r="26" spans="1:51" x14ac:dyDescent="0.25">
      <c r="A26" t="s">
        <v>32</v>
      </c>
      <c r="B26" t="s">
        <v>75</v>
      </c>
      <c r="C26" t="s">
        <v>47</v>
      </c>
      <c r="E26" s="11">
        <v>2137</v>
      </c>
      <c r="F26" s="25">
        <v>1840</v>
      </c>
      <c r="G26" s="12">
        <f>Tabel2425678[[#This Row],[Stand Coffee einde maand]]-Tabel2425678[[#This Row],[Coffee vorige maand]]</f>
        <v>297</v>
      </c>
      <c r="H26" s="11">
        <v>338</v>
      </c>
      <c r="I26" s="25">
        <v>283</v>
      </c>
      <c r="J26" s="12">
        <f>Tabel2425678[[#This Row],[Stand Espresso Einde maand]]-Tabel2425678[[#This Row],[Espresso vorige maand]]</f>
        <v>55</v>
      </c>
      <c r="K26" s="11">
        <v>689</v>
      </c>
      <c r="L26" s="25">
        <v>648</v>
      </c>
      <c r="M26">
        <f>Tabel2425678[[#This Row],[Stand Latte Macchiato einde maand]]-Tabel2425678[[#This Row],[Latte Macchiato vorige maand]]</f>
        <v>41</v>
      </c>
      <c r="N26" s="11">
        <v>233</v>
      </c>
      <c r="O26" s="25">
        <v>221</v>
      </c>
      <c r="P26">
        <f>Tabel2425678[[#This Row],[Stand Coffee Latte einde maand]]-Tabel2425678[[#This Row],[Coffee Latte vorige maand]]</f>
        <v>12</v>
      </c>
      <c r="Q26" s="11">
        <v>1</v>
      </c>
      <c r="R26" s="25">
        <v>1</v>
      </c>
      <c r="S26">
        <f>Tabel2425678[[#This Row],[Stand Hot Water einde maand]]-Tabel2425678[[#This Row],[Hot Water vorige maand]]</f>
        <v>0</v>
      </c>
      <c r="T26" s="11">
        <v>1437</v>
      </c>
      <c r="U26" s="25">
        <v>1263</v>
      </c>
      <c r="V26">
        <f>Tabel2425678[[#This Row],[Stand Cappucino einde maand]]-Tabel2425678[[#This Row],[Stand Cappucino vorige maand]]</f>
        <v>174</v>
      </c>
      <c r="W26" s="11">
        <v>191</v>
      </c>
      <c r="X26" s="25">
        <v>164</v>
      </c>
      <c r="Y26">
        <f>Tabel2425678[[#This Row],[Stand Cappucino Plantaardig einde maand]]-Tabel2425678[[#This Row],[Stand Cappucino Plantaardig vorige maand]]</f>
        <v>27</v>
      </c>
      <c r="Z26" s="11">
        <v>196</v>
      </c>
      <c r="AA26" s="25">
        <v>176</v>
      </c>
      <c r="AB26" s="12">
        <f>Tabel2425678[[#This Row],[Stand Latte Macchiato Plantaardig einde maand]]-Tabel2425678[[#This Row],[Stand Latte Macchiato Plantaardig vorige maand]]</f>
        <v>20</v>
      </c>
      <c r="AC26" s="3">
        <f>Tabel2425678[[#This Row],[Verbruik Stand Latte Macchiato Plantaardig deze maand]]+Tabel2425678[[#This Row],[Verbruik  Cappucino Plantaardig deze maand]]+Tabel2425678[[#This Row],[Verbruik Cappucino deze maand]]+Tabel2425678[[#This Row],[Verbruik Hot Water deze maand]]+Tabel2425678[[#This Row],[Verbruik Coffee Latte deze maand]]+Tabel2425678[[#This Row],[Verbruik Latte Macchiato deze maand]]+Tabel2425678[[#This Row],[Verbruik Espresso deze maand]]+Tabel2425678[[#This Row],[Verbruik Coffee deze maand]]</f>
        <v>626</v>
      </c>
      <c r="AD26" s="11">
        <v>74</v>
      </c>
      <c r="AE26" s="40">
        <v>66.400000000000006</v>
      </c>
      <c r="AF26">
        <f>Tabel2425678[[#This Row],[Stand Kamertemp liter einde maand]]-Tabel2425678[[#This Row],[Stand Kamertemp liter vorige maand]]</f>
        <v>7.5999999999999943</v>
      </c>
      <c r="AG26" s="2">
        <f>Tabel2425678[[#This Row],[Verbruik Kamertemp liter deze maand]]/0.15</f>
        <v>50.666666666666629</v>
      </c>
      <c r="AH26" s="11">
        <v>378</v>
      </c>
      <c r="AI26" s="40">
        <v>306.10000000000002</v>
      </c>
      <c r="AJ26">
        <f>Tabel2425678[[#This Row],[Stand Gekoeld liter einde maand]]-Tabel2425678[[#This Row],[Stand Gekoeld liter vorige maand]]</f>
        <v>71.899999999999977</v>
      </c>
      <c r="AK26" s="2">
        <f>Tabel2425678[[#This Row],[Verbruik Gekoeld liter deze maand]]/0.15</f>
        <v>479.3333333333332</v>
      </c>
      <c r="AL26" s="11">
        <v>300.8</v>
      </c>
      <c r="AM26" s="25">
        <v>248.8</v>
      </c>
      <c r="AN26">
        <f>Tabel2425678[[#This Row],[Stand Bruisend liter einde maand]]-Tabel2425678[[#This Row],[Stand Bruisend liter vorige maand]]</f>
        <v>52</v>
      </c>
      <c r="AO26" s="2">
        <f>Tabel2425678[[#This Row],[Verbruik Bruisend liter deze maand]]/0.15</f>
        <v>346.66666666666669</v>
      </c>
      <c r="AP26" s="11">
        <v>166.5</v>
      </c>
      <c r="AQ26" s="25">
        <v>145.19999999999999</v>
      </c>
      <c r="AR26">
        <f>Tabel2425678[[#This Row],[Stand licht bruisend liter einde maand]]-Tabel2425678[[#This Row],[Stand licht bruisend liter vorige maand]]</f>
        <v>21.300000000000011</v>
      </c>
      <c r="AS26" s="2">
        <f>Tabel2425678[[#This Row],[Verbruik licht bruisend liter deze maand]]/0.15</f>
        <v>142.00000000000009</v>
      </c>
      <c r="AT26" s="11">
        <v>1287.0999999999999</v>
      </c>
      <c r="AU26" s="25">
        <v>1130.5999999999999</v>
      </c>
      <c r="AV26">
        <f>Tabel2425678[[#This Row],[Stand heet water liter einde maand]]-Tabel2425678[[#This Row],[Stand heet water liter vorige maand]]</f>
        <v>156.5</v>
      </c>
      <c r="AW26" s="20">
        <f>Tabel2425678[[#This Row],[Verbruik heet Water liter deze maand ]]/0.15</f>
        <v>1043.3333333333335</v>
      </c>
      <c r="AX26" s="4">
        <f>Tabel2425678[[#This Row],[Aantal consumpties heet water deze maand]]+Tabel2425678[[#This Row],[Aantal consumpties licht bruisend water deze maand]]+Tabel2425678[[#This Row],[aantal consumpties Bruisend water deze maand]]+Tabel2425678[[#This Row],[Aantal consumpties gekoeld water deze maand]]+Tabel2425678[[#This Row],[Aantal consumpties Kamertemp deze maand]]</f>
        <v>2062</v>
      </c>
      <c r="AY26" s="4">
        <f>Tabel2425678[[#This Row],[Subtotaal waterbar in consumpties]]+Tabel2425678[[#This Row],[Subtotaal koffieautomaten]]</f>
        <v>2688</v>
      </c>
    </row>
    <row r="27" spans="1:51" x14ac:dyDescent="0.25">
      <c r="A27" t="s">
        <v>39</v>
      </c>
      <c r="B27" t="s">
        <v>76</v>
      </c>
      <c r="C27" t="s">
        <v>31</v>
      </c>
      <c r="E27" s="11">
        <v>9242</v>
      </c>
      <c r="F27" s="25">
        <v>8549</v>
      </c>
      <c r="G27" s="12">
        <f>Tabel2425678[[#This Row],[Stand Coffee einde maand]]-Tabel2425678[[#This Row],[Coffee vorige maand]]</f>
        <v>693</v>
      </c>
      <c r="H27" s="11">
        <v>2018</v>
      </c>
      <c r="I27" s="25">
        <v>1898</v>
      </c>
      <c r="J27" s="12">
        <f>Tabel2425678[[#This Row],[Stand Espresso Einde maand]]-Tabel2425678[[#This Row],[Espresso vorige maand]]</f>
        <v>120</v>
      </c>
      <c r="K27" s="11">
        <v>1054</v>
      </c>
      <c r="L27" s="25">
        <v>978</v>
      </c>
      <c r="M27">
        <f>Tabel2425678[[#This Row],[Stand Latte Macchiato einde maand]]-Tabel2425678[[#This Row],[Latte Macchiato vorige maand]]</f>
        <v>76</v>
      </c>
      <c r="N27" s="11">
        <v>463</v>
      </c>
      <c r="O27" s="25">
        <v>447</v>
      </c>
      <c r="P27">
        <f>Tabel2425678[[#This Row],[Stand Coffee Latte einde maand]]-Tabel2425678[[#This Row],[Coffee Latte vorige maand]]</f>
        <v>16</v>
      </c>
      <c r="Q27" s="11">
        <v>6822</v>
      </c>
      <c r="R27" s="25">
        <v>6433</v>
      </c>
      <c r="S27">
        <f>Tabel2425678[[#This Row],[Stand Hot Water einde maand]]-Tabel2425678[[#This Row],[Hot Water vorige maand]]</f>
        <v>389</v>
      </c>
      <c r="T27" s="11">
        <v>6355</v>
      </c>
      <c r="U27" s="25">
        <v>5930</v>
      </c>
      <c r="V27">
        <f>Tabel2425678[[#This Row],[Stand Cappucino einde maand]]-Tabel2425678[[#This Row],[Stand Cappucino vorige maand]]</f>
        <v>425</v>
      </c>
      <c r="W27" s="11">
        <v>945</v>
      </c>
      <c r="X27" s="25">
        <v>888</v>
      </c>
      <c r="Y27">
        <f>Tabel2425678[[#This Row],[Stand Cappucino Plantaardig einde maand]]-Tabel2425678[[#This Row],[Stand Cappucino Plantaardig vorige maand]]</f>
        <v>57</v>
      </c>
      <c r="Z27" s="11">
        <v>272</v>
      </c>
      <c r="AA27" s="25">
        <v>264</v>
      </c>
      <c r="AB27" s="12">
        <f>Tabel2425678[[#This Row],[Stand Latte Macchiato Plantaardig einde maand]]-Tabel2425678[[#This Row],[Stand Latte Macchiato Plantaardig vorige maand]]</f>
        <v>8</v>
      </c>
      <c r="AC27" s="3">
        <f>Tabel2425678[[#This Row],[Verbruik Stand Latte Macchiato Plantaardig deze maand]]+Tabel2425678[[#This Row],[Verbruik  Cappucino Plantaardig deze maand]]+Tabel2425678[[#This Row],[Verbruik Cappucino deze maand]]+Tabel2425678[[#This Row],[Verbruik Hot Water deze maand]]+Tabel2425678[[#This Row],[Verbruik Coffee Latte deze maand]]+Tabel2425678[[#This Row],[Verbruik Latte Macchiato deze maand]]+Tabel2425678[[#This Row],[Verbruik Espresso deze maand]]+Tabel2425678[[#This Row],[Verbruik Coffee deze maand]]</f>
        <v>1784</v>
      </c>
      <c r="AD27" s="26"/>
      <c r="AE27" s="41"/>
      <c r="AF27" s="5"/>
      <c r="AG27" s="7"/>
      <c r="AH27" s="26"/>
      <c r="AI27" s="41"/>
      <c r="AJ27" s="5"/>
      <c r="AK27" s="7"/>
      <c r="AL27" s="26"/>
      <c r="AM27" s="26"/>
      <c r="AN27" s="5"/>
      <c r="AO27" s="7"/>
      <c r="AP27" s="26"/>
      <c r="AQ27" s="26"/>
      <c r="AR27" s="5"/>
      <c r="AS27" s="7"/>
      <c r="AT27" s="26"/>
      <c r="AU27" s="26"/>
      <c r="AV27" s="5"/>
      <c r="AW27" s="21"/>
      <c r="AX27" s="8"/>
      <c r="AY27" s="4">
        <f>Tabel2425678[[#This Row],[Subtotaal waterbar in consumpties]]+Tabel2425678[[#This Row],[Subtotaal koffieautomaten]]</f>
        <v>1784</v>
      </c>
    </row>
    <row r="28" spans="1:51" x14ac:dyDescent="0.25">
      <c r="A28" t="s">
        <v>39</v>
      </c>
      <c r="B28" t="s">
        <v>77</v>
      </c>
      <c r="C28" t="s">
        <v>36</v>
      </c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11">
        <v>61.1</v>
      </c>
      <c r="AE28" s="40">
        <v>50.9</v>
      </c>
      <c r="AF28">
        <f>Tabel2425678[[#This Row],[Stand Kamertemp liter einde maand]]-Tabel2425678[[#This Row],[Stand Kamertemp liter vorige maand]]</f>
        <v>10.200000000000003</v>
      </c>
      <c r="AG28" s="2">
        <f>Tabel2425678[[#This Row],[Verbruik Kamertemp liter deze maand]]/0.15</f>
        <v>68.000000000000028</v>
      </c>
      <c r="AH28" s="11">
        <v>543.5</v>
      </c>
      <c r="AI28" s="40">
        <v>433.5</v>
      </c>
      <c r="AJ28">
        <f>Tabel2425678[[#This Row],[Stand Gekoeld liter einde maand]]-Tabel2425678[[#This Row],[Stand Gekoeld liter vorige maand]]</f>
        <v>110</v>
      </c>
      <c r="AK28" s="2">
        <f>Tabel2425678[[#This Row],[Verbruik Gekoeld liter deze maand]]/0.15</f>
        <v>733.33333333333337</v>
      </c>
      <c r="AL28" s="11">
        <v>390.9</v>
      </c>
      <c r="AM28" s="25">
        <v>163.9</v>
      </c>
      <c r="AN28">
        <f>Tabel2425678[[#This Row],[Stand Bruisend liter einde maand]]-Tabel2425678[[#This Row],[Stand Bruisend liter vorige maand]]</f>
        <v>226.99999999999997</v>
      </c>
      <c r="AO28" s="2">
        <f>Tabel2425678[[#This Row],[Verbruik Bruisend liter deze maand]]/0.15</f>
        <v>1513.3333333333333</v>
      </c>
      <c r="AP28" s="11">
        <v>163.9</v>
      </c>
      <c r="AQ28" s="25">
        <v>134.1</v>
      </c>
      <c r="AR28">
        <f>Tabel2425678[[#This Row],[Stand licht bruisend liter einde maand]]-Tabel2425678[[#This Row],[Stand licht bruisend liter vorige maand]]</f>
        <v>29.800000000000011</v>
      </c>
      <c r="AS28" s="2">
        <f>Tabel2425678[[#This Row],[Verbruik licht bruisend liter deze maand]]/0.15</f>
        <v>198.66666666666674</v>
      </c>
      <c r="AT28" s="11">
        <v>383.1</v>
      </c>
      <c r="AU28" s="25">
        <v>318.5</v>
      </c>
      <c r="AV28">
        <f>Tabel2425678[[#This Row],[Stand heet water liter einde maand]]-Tabel2425678[[#This Row],[Stand heet water liter vorige maand]]</f>
        <v>64.600000000000023</v>
      </c>
      <c r="AW28" s="20">
        <f>Tabel2425678[[#This Row],[Verbruik heet Water liter deze maand ]]/0.15</f>
        <v>430.66666666666686</v>
      </c>
      <c r="AX28" s="4">
        <f>Tabel2425678[[#This Row],[Aantal consumpties heet water deze maand]]+Tabel2425678[[#This Row],[Aantal consumpties licht bruisend water deze maand]]+Tabel2425678[[#This Row],[aantal consumpties Bruisend water deze maand]]+Tabel2425678[[#This Row],[Aantal consumpties gekoeld water deze maand]]+Tabel2425678[[#This Row],[Aantal consumpties Kamertemp deze maand]]</f>
        <v>2944.0000000000005</v>
      </c>
      <c r="AY28" s="4">
        <f>Tabel2425678[[#This Row],[Subtotaal waterbar in consumpties]]+Tabel2425678[[#This Row],[Subtotaal koffieautomaten]]</f>
        <v>2944.0000000000005</v>
      </c>
    </row>
    <row r="29" spans="1:51" x14ac:dyDescent="0.25">
      <c r="A29" t="s">
        <v>41</v>
      </c>
      <c r="B29" t="s">
        <v>78</v>
      </c>
      <c r="C29" t="s">
        <v>47</v>
      </c>
      <c r="E29" s="11">
        <v>1568</v>
      </c>
      <c r="F29" s="25">
        <v>1495</v>
      </c>
      <c r="G29" s="12">
        <f>Tabel2425678[[#This Row],[Stand Coffee einde maand]]-Tabel2425678[[#This Row],[Coffee vorige maand]]</f>
        <v>73</v>
      </c>
      <c r="H29" s="11">
        <v>831</v>
      </c>
      <c r="I29" s="25">
        <v>801</v>
      </c>
      <c r="J29" s="12">
        <f>Tabel2425678[[#This Row],[Stand Espresso Einde maand]]-Tabel2425678[[#This Row],[Espresso vorige maand]]</f>
        <v>30</v>
      </c>
      <c r="K29" s="11">
        <v>110</v>
      </c>
      <c r="L29" s="25">
        <v>97</v>
      </c>
      <c r="M29">
        <f>Tabel2425678[[#This Row],[Stand Latte Macchiato einde maand]]-Tabel2425678[[#This Row],[Latte Macchiato vorige maand]]</f>
        <v>13</v>
      </c>
      <c r="N29" s="11">
        <v>106</v>
      </c>
      <c r="O29" s="25">
        <v>102</v>
      </c>
      <c r="P29">
        <f>Tabel2425678[[#This Row],[Stand Coffee Latte einde maand]]-Tabel2425678[[#This Row],[Coffee Latte vorige maand]]</f>
        <v>4</v>
      </c>
      <c r="Q29" s="11">
        <v>1</v>
      </c>
      <c r="R29" s="25">
        <v>1</v>
      </c>
      <c r="S29">
        <f>Tabel2425678[[#This Row],[Stand Hot Water einde maand]]-Tabel2425678[[#This Row],[Hot Water vorige maand]]</f>
        <v>0</v>
      </c>
      <c r="T29" s="11">
        <v>938</v>
      </c>
      <c r="U29" s="25">
        <v>896</v>
      </c>
      <c r="V29">
        <f>Tabel2425678[[#This Row],[Stand Cappucino einde maand]]-Tabel2425678[[#This Row],[Stand Cappucino vorige maand]]</f>
        <v>42</v>
      </c>
      <c r="W29" s="11">
        <v>586</v>
      </c>
      <c r="X29" s="25">
        <v>567</v>
      </c>
      <c r="Y29">
        <f>Tabel2425678[[#This Row],[Stand Cappucino Plantaardig einde maand]]-Tabel2425678[[#This Row],[Stand Cappucino Plantaardig vorige maand]]</f>
        <v>19</v>
      </c>
      <c r="Z29" s="11">
        <v>231</v>
      </c>
      <c r="AA29" s="25">
        <v>221</v>
      </c>
      <c r="AB29" s="12">
        <f>Tabel2425678[[#This Row],[Stand Latte Macchiato Plantaardig einde maand]]-Tabel2425678[[#This Row],[Stand Latte Macchiato Plantaardig vorige maand]]</f>
        <v>10</v>
      </c>
      <c r="AC29" s="3">
        <f>Tabel2425678[[#This Row],[Verbruik Stand Latte Macchiato Plantaardig deze maand]]+Tabel2425678[[#This Row],[Verbruik  Cappucino Plantaardig deze maand]]+Tabel2425678[[#This Row],[Verbruik Cappucino deze maand]]+Tabel2425678[[#This Row],[Verbruik Hot Water deze maand]]+Tabel2425678[[#This Row],[Verbruik Coffee Latte deze maand]]+Tabel2425678[[#This Row],[Verbruik Latte Macchiato deze maand]]+Tabel2425678[[#This Row],[Verbruik Espresso deze maand]]+Tabel2425678[[#This Row],[Verbruik Coffee deze maand]]</f>
        <v>191</v>
      </c>
      <c r="AD29" s="11">
        <v>52.5</v>
      </c>
      <c r="AE29">
        <v>45.8</v>
      </c>
      <c r="AF29">
        <f>Tabel2425678[[#This Row],[Stand Kamertemp liter einde maand]]-Tabel2425678[[#This Row],[Stand Kamertemp liter vorige maand]]</f>
        <v>6.7000000000000028</v>
      </c>
      <c r="AG29" s="2">
        <f>Tabel2425678[[#This Row],[Verbruik Kamertemp liter deze maand]]/0.15</f>
        <v>44.666666666666686</v>
      </c>
      <c r="AH29" s="11">
        <v>469.8</v>
      </c>
      <c r="AI29">
        <v>385.1</v>
      </c>
      <c r="AJ29">
        <f>Tabel2425678[[#This Row],[Stand Gekoeld liter einde maand]]-Tabel2425678[[#This Row],[Stand Gekoeld liter vorige maand]]</f>
        <v>84.699999999999989</v>
      </c>
      <c r="AK29" s="2">
        <f>Tabel2425678[[#This Row],[Verbruik Gekoeld liter deze maand]]/0.15</f>
        <v>564.66666666666663</v>
      </c>
      <c r="AL29" s="11">
        <v>617.6</v>
      </c>
      <c r="AM29" s="11">
        <v>560.4</v>
      </c>
      <c r="AN29">
        <f>Tabel2425678[[#This Row],[Stand Bruisend liter einde maand]]-Tabel2425678[[#This Row],[Stand Bruisend liter vorige maand]]</f>
        <v>57.200000000000045</v>
      </c>
      <c r="AO29" s="2">
        <f>Tabel2425678[[#This Row],[Verbruik Bruisend liter deze maand]]/0.15</f>
        <v>381.33333333333366</v>
      </c>
      <c r="AP29" s="11">
        <v>507</v>
      </c>
      <c r="AQ29" s="11">
        <v>436</v>
      </c>
      <c r="AR29">
        <f>Tabel2425678[[#This Row],[Stand licht bruisend liter einde maand]]-Tabel2425678[[#This Row],[Stand licht bruisend liter vorige maand]]</f>
        <v>71</v>
      </c>
      <c r="AS29" s="2">
        <f>Tabel2425678[[#This Row],[Verbruik licht bruisend liter deze maand]]/0.15</f>
        <v>473.33333333333337</v>
      </c>
      <c r="AT29" s="11">
        <v>1825.5</v>
      </c>
      <c r="AU29" s="11">
        <v>1689.8</v>
      </c>
      <c r="AV29">
        <f>Tabel2425678[[#This Row],[Stand heet water liter einde maand]]-Tabel2425678[[#This Row],[Stand heet water liter vorige maand]]</f>
        <v>135.70000000000005</v>
      </c>
      <c r="AW29" s="20">
        <f>Tabel2425678[[#This Row],[Verbruik heet Water liter deze maand ]]/0.15</f>
        <v>904.66666666666697</v>
      </c>
      <c r="AX29" s="4">
        <f>Tabel2425678[[#This Row],[Aantal consumpties heet water deze maand]]+Tabel2425678[[#This Row],[Aantal consumpties licht bruisend water deze maand]]+Tabel2425678[[#This Row],[aantal consumpties Bruisend water deze maand]]+Tabel2425678[[#This Row],[Aantal consumpties gekoeld water deze maand]]+Tabel2425678[[#This Row],[Aantal consumpties Kamertemp deze maand]]</f>
        <v>2368.6666666666674</v>
      </c>
      <c r="AY29" s="4">
        <f>Tabel2425678[[#This Row],[Subtotaal waterbar in consumpties]]+Tabel2425678[[#This Row],[Subtotaal koffieautomaten]]</f>
        <v>2559.6666666666674</v>
      </c>
    </row>
    <row r="30" spans="1:51" x14ac:dyDescent="0.25">
      <c r="A30" t="s">
        <v>43</v>
      </c>
      <c r="B30" t="s">
        <v>79</v>
      </c>
      <c r="C30" t="s">
        <v>31</v>
      </c>
      <c r="E30" s="11">
        <v>2981</v>
      </c>
      <c r="F30" s="25">
        <v>2578</v>
      </c>
      <c r="G30" s="12">
        <f>Tabel2425678[[#This Row],[Stand Coffee einde maand]]-Tabel2425678[[#This Row],[Coffee vorige maand]]</f>
        <v>403</v>
      </c>
      <c r="H30" s="11">
        <v>1035</v>
      </c>
      <c r="I30" s="25">
        <v>876</v>
      </c>
      <c r="J30" s="12">
        <f>Tabel2425678[[#This Row],[Stand Espresso Einde maand]]-Tabel2425678[[#This Row],[Espresso vorige maand]]</f>
        <v>159</v>
      </c>
      <c r="K30" s="11">
        <v>79</v>
      </c>
      <c r="L30" s="25">
        <v>69</v>
      </c>
      <c r="M30">
        <f>Tabel2425678[[#This Row],[Stand Latte Macchiato einde maand]]-Tabel2425678[[#This Row],[Latte Macchiato vorige maand]]</f>
        <v>10</v>
      </c>
      <c r="N30" s="11">
        <v>28</v>
      </c>
      <c r="O30" s="25">
        <v>27</v>
      </c>
      <c r="P30">
        <f>Tabel2425678[[#This Row],[Stand Coffee Latte einde maand]]-Tabel2425678[[#This Row],[Coffee Latte vorige maand]]</f>
        <v>1</v>
      </c>
      <c r="Q30" s="11">
        <v>2300</v>
      </c>
      <c r="R30" s="25">
        <v>2037</v>
      </c>
      <c r="S30">
        <f>Tabel2425678[[#This Row],[Stand Hot Water einde maand]]-Tabel2425678[[#This Row],[Hot Water vorige maand]]</f>
        <v>263</v>
      </c>
      <c r="T30" s="11">
        <v>1371</v>
      </c>
      <c r="U30" s="25">
        <v>1220</v>
      </c>
      <c r="V30">
        <f>Tabel2425678[[#This Row],[Stand Cappucino einde maand]]-Tabel2425678[[#This Row],[Stand Cappucino vorige maand]]</f>
        <v>151</v>
      </c>
      <c r="W30" s="11">
        <v>96</v>
      </c>
      <c r="X30" s="25">
        <v>84</v>
      </c>
      <c r="Y30">
        <f>Tabel2425678[[#This Row],[Stand Cappucino Plantaardig einde maand]]-Tabel2425678[[#This Row],[Stand Cappucino Plantaardig vorige maand]]</f>
        <v>12</v>
      </c>
      <c r="Z30" s="11">
        <v>14</v>
      </c>
      <c r="AA30" s="25">
        <v>14</v>
      </c>
      <c r="AB30" s="12">
        <f>Tabel2425678[[#This Row],[Stand Latte Macchiato Plantaardig einde maand]]-Tabel2425678[[#This Row],[Stand Latte Macchiato Plantaardig vorige maand]]</f>
        <v>0</v>
      </c>
      <c r="AC30" s="3">
        <f>Tabel2425678[[#This Row],[Verbruik Stand Latte Macchiato Plantaardig deze maand]]+Tabel2425678[[#This Row],[Verbruik  Cappucino Plantaardig deze maand]]+Tabel2425678[[#This Row],[Verbruik Cappucino deze maand]]+Tabel2425678[[#This Row],[Verbruik Hot Water deze maand]]+Tabel2425678[[#This Row],[Verbruik Coffee Latte deze maand]]+Tabel2425678[[#This Row],[Verbruik Latte Macchiato deze maand]]+Tabel2425678[[#This Row],[Verbruik Espresso deze maand]]+Tabel2425678[[#This Row],[Verbruik Coffee deze maand]]</f>
        <v>999</v>
      </c>
      <c r="AD30" s="26"/>
      <c r="AE30" s="41"/>
      <c r="AF30" s="5"/>
      <c r="AG30" s="5"/>
      <c r="AH30" s="26"/>
      <c r="AI30" s="41"/>
      <c r="AJ30" s="5"/>
      <c r="AK30" s="7"/>
      <c r="AL30" s="26"/>
      <c r="AM30" s="26"/>
      <c r="AN30" s="5"/>
      <c r="AO30" s="7"/>
      <c r="AP30" s="26"/>
      <c r="AQ30" s="26"/>
      <c r="AR30" s="5"/>
      <c r="AS30" s="7"/>
      <c r="AT30" s="26"/>
      <c r="AU30" s="26"/>
      <c r="AV30" s="5"/>
      <c r="AW30" s="21"/>
      <c r="AX30" s="8"/>
      <c r="AY30" s="4">
        <f>Tabel2425678[[#This Row],[Subtotaal waterbar in consumpties]]+Tabel2425678[[#This Row],[Subtotaal koffieautomaten]]</f>
        <v>999</v>
      </c>
    </row>
    <row r="31" spans="1:51" x14ac:dyDescent="0.25">
      <c r="A31" t="s">
        <v>45</v>
      </c>
      <c r="B31" t="s">
        <v>80</v>
      </c>
      <c r="C31" t="s">
        <v>36</v>
      </c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11">
        <v>40.9</v>
      </c>
      <c r="AE31" s="40">
        <v>32.5</v>
      </c>
      <c r="AF31">
        <f>Tabel2425678[[#This Row],[Stand Kamertemp liter einde maand]]-Tabel2425678[[#This Row],[Stand Kamertemp liter vorige maand]]</f>
        <v>8.3999999999999986</v>
      </c>
      <c r="AG31" s="2">
        <f>Tabel2425678[[#This Row],[Verbruik Kamertemp liter deze maand]]/0.15</f>
        <v>55.999999999999993</v>
      </c>
      <c r="AH31" s="26">
        <v>245.1</v>
      </c>
      <c r="AI31" s="40">
        <v>152.19999999999999</v>
      </c>
      <c r="AJ31">
        <f>Tabel2425678[[#This Row],[Stand Gekoeld liter einde maand]]-Tabel2425678[[#This Row],[Stand Gekoeld liter vorige maand]]</f>
        <v>92.9</v>
      </c>
      <c r="AK31" s="2">
        <f>Tabel2425678[[#This Row],[Verbruik Gekoeld liter deze maand]]/0.15</f>
        <v>619.33333333333337</v>
      </c>
      <c r="AL31" s="26">
        <v>269.2</v>
      </c>
      <c r="AM31" s="25">
        <v>222.1</v>
      </c>
      <c r="AN31">
        <f>Tabel2425678[[#This Row],[Stand Bruisend liter einde maand]]-Tabel2425678[[#This Row],[Stand Bruisend liter vorige maand]]</f>
        <v>47.099999999999994</v>
      </c>
      <c r="AO31" s="2">
        <f>Tabel2425678[[#This Row],[Verbruik Bruisend liter deze maand]]/0.15</f>
        <v>314</v>
      </c>
      <c r="AP31" s="26">
        <v>193.4</v>
      </c>
      <c r="AQ31" s="25">
        <v>154.19999999999999</v>
      </c>
      <c r="AR31">
        <f>Tabel2425678[[#This Row],[Stand licht bruisend liter einde maand]]-Tabel2425678[[#This Row],[Stand licht bruisend liter vorige maand]]</f>
        <v>39.200000000000017</v>
      </c>
      <c r="AS31" s="2">
        <f>Tabel2425678[[#This Row],[Verbruik licht bruisend liter deze maand]]/0.15</f>
        <v>261.33333333333348</v>
      </c>
      <c r="AT31" s="26">
        <v>970.7</v>
      </c>
      <c r="AU31" s="25">
        <v>860.9</v>
      </c>
      <c r="AV31">
        <f>Tabel2425678[[#This Row],[Stand heet water liter einde maand]]-Tabel2425678[[#This Row],[Stand heet water liter vorige maand]]</f>
        <v>109.80000000000007</v>
      </c>
      <c r="AW31" s="20">
        <f>Tabel2425678[[#This Row],[Verbruik heet Water liter deze maand ]]/0.15</f>
        <v>732.00000000000045</v>
      </c>
      <c r="AX31" s="4">
        <f>Tabel2425678[[#This Row],[Aantal consumpties heet water deze maand]]+Tabel2425678[[#This Row],[Aantal consumpties licht bruisend water deze maand]]+Tabel2425678[[#This Row],[aantal consumpties Bruisend water deze maand]]+Tabel2425678[[#This Row],[Aantal consumpties gekoeld water deze maand]]+Tabel2425678[[#This Row],[Aantal consumpties Kamertemp deze maand]]</f>
        <v>1982.6666666666674</v>
      </c>
      <c r="AY31" s="4">
        <f>Tabel2425678[[#This Row],[Subtotaal waterbar in consumpties]]+Tabel2425678[[#This Row],[Subtotaal koffieautomaten]]</f>
        <v>1982.6666666666674</v>
      </c>
    </row>
    <row r="32" spans="1:51" x14ac:dyDescent="0.25">
      <c r="A32" t="s">
        <v>48</v>
      </c>
      <c r="B32" t="s">
        <v>81</v>
      </c>
      <c r="C32" t="s">
        <v>31</v>
      </c>
      <c r="E32" s="11">
        <v>2529</v>
      </c>
      <c r="F32" s="25">
        <v>2234</v>
      </c>
      <c r="G32" s="12">
        <f>Tabel2425678[[#This Row],[Stand Coffee einde maand]]-Tabel2425678[[#This Row],[Coffee vorige maand]]</f>
        <v>295</v>
      </c>
      <c r="H32" s="11">
        <v>186</v>
      </c>
      <c r="I32" s="25">
        <v>179</v>
      </c>
      <c r="J32" s="12">
        <f>Tabel2425678[[#This Row],[Stand Espresso Einde maand]]-Tabel2425678[[#This Row],[Espresso vorige maand]]</f>
        <v>7</v>
      </c>
      <c r="K32" s="11">
        <v>150</v>
      </c>
      <c r="L32" s="25">
        <v>137</v>
      </c>
      <c r="M32">
        <f>Tabel2425678[[#This Row],[Stand Latte Macchiato einde maand]]-Tabel2425678[[#This Row],[Latte Macchiato vorige maand]]</f>
        <v>13</v>
      </c>
      <c r="N32" s="11">
        <v>59</v>
      </c>
      <c r="O32" s="25">
        <v>57</v>
      </c>
      <c r="P32">
        <f>Tabel2425678[[#This Row],[Stand Coffee Latte einde maand]]-Tabel2425678[[#This Row],[Coffee Latte vorige maand]]</f>
        <v>2</v>
      </c>
      <c r="Q32" s="11">
        <v>5114</v>
      </c>
      <c r="R32" s="25">
        <v>4385</v>
      </c>
      <c r="S32">
        <f>Tabel2425678[[#This Row],[Stand Hot Water einde maand]]-Tabel2425678[[#This Row],[Hot Water vorige maand]]</f>
        <v>729</v>
      </c>
      <c r="T32" s="11">
        <v>989</v>
      </c>
      <c r="U32" s="25">
        <v>901</v>
      </c>
      <c r="V32">
        <f>Tabel2425678[[#This Row],[Stand Cappucino einde maand]]-Tabel2425678[[#This Row],[Stand Cappucino vorige maand]]</f>
        <v>88</v>
      </c>
      <c r="W32" s="11">
        <v>71</v>
      </c>
      <c r="X32" s="25">
        <v>69</v>
      </c>
      <c r="Y32">
        <f>Tabel2425678[[#This Row],[Stand Cappucino Plantaardig einde maand]]-Tabel2425678[[#This Row],[Stand Cappucino Plantaardig vorige maand]]</f>
        <v>2</v>
      </c>
      <c r="Z32" s="11">
        <v>10</v>
      </c>
      <c r="AA32" s="25">
        <v>9</v>
      </c>
      <c r="AB32" s="12">
        <f>Tabel2425678[[#This Row],[Stand Latte Macchiato Plantaardig einde maand]]-Tabel2425678[[#This Row],[Stand Latte Macchiato Plantaardig vorige maand]]</f>
        <v>1</v>
      </c>
      <c r="AC32" s="3">
        <f>Tabel2425678[[#This Row],[Verbruik Stand Latte Macchiato Plantaardig deze maand]]+Tabel2425678[[#This Row],[Verbruik  Cappucino Plantaardig deze maand]]+Tabel2425678[[#This Row],[Verbruik Cappucino deze maand]]+Tabel2425678[[#This Row],[Verbruik Hot Water deze maand]]+Tabel2425678[[#This Row],[Verbruik Coffee Latte deze maand]]+Tabel2425678[[#This Row],[Verbruik Latte Macchiato deze maand]]+Tabel2425678[[#This Row],[Verbruik Espresso deze maand]]+Tabel2425678[[#This Row],[Verbruik Coffee deze maand]]</f>
        <v>1137</v>
      </c>
      <c r="AD32" s="26"/>
      <c r="AE32" s="41"/>
      <c r="AF32" s="5"/>
      <c r="AG32" s="5"/>
      <c r="AH32" s="26"/>
      <c r="AI32" s="41"/>
      <c r="AJ32" s="5"/>
      <c r="AK32" s="7"/>
      <c r="AL32" s="26"/>
      <c r="AM32" s="26"/>
      <c r="AN32" s="5"/>
      <c r="AO32" s="7"/>
      <c r="AP32" s="26"/>
      <c r="AQ32" s="26"/>
      <c r="AR32" s="5"/>
      <c r="AS32" s="7"/>
      <c r="AT32" s="26"/>
      <c r="AU32" s="26"/>
      <c r="AV32" s="5"/>
      <c r="AW32" s="21"/>
      <c r="AX32" s="8"/>
      <c r="AY32" s="4">
        <f>Tabel2425678[[#This Row],[Subtotaal waterbar in consumpties]]+Tabel2425678[[#This Row],[Subtotaal koffieautomaten]]</f>
        <v>1137</v>
      </c>
    </row>
    <row r="33" spans="1:51" x14ac:dyDescent="0.25">
      <c r="A33" t="s">
        <v>50</v>
      </c>
      <c r="B33" t="s">
        <v>82</v>
      </c>
      <c r="C33" t="s">
        <v>47</v>
      </c>
      <c r="E33" s="11">
        <v>1752</v>
      </c>
      <c r="F33" s="11">
        <v>1479</v>
      </c>
      <c r="G33" s="12">
        <f>Tabel2425678[[#This Row],[Stand Coffee einde maand]]-Tabel2425678[[#This Row],[Coffee vorige maand]]</f>
        <v>273</v>
      </c>
      <c r="H33" s="11">
        <v>171</v>
      </c>
      <c r="I33" s="11">
        <v>147</v>
      </c>
      <c r="J33" s="12">
        <f>Tabel2425678[[#This Row],[Stand Espresso Einde maand]]-Tabel2425678[[#This Row],[Espresso vorige maand]]</f>
        <v>24</v>
      </c>
      <c r="K33" s="11">
        <v>396</v>
      </c>
      <c r="L33" s="11">
        <v>359</v>
      </c>
      <c r="M33">
        <f>Tabel2425678[[#This Row],[Stand Latte Macchiato einde maand]]-Tabel2425678[[#This Row],[Latte Macchiato vorige maand]]</f>
        <v>37</v>
      </c>
      <c r="N33" s="11">
        <v>225</v>
      </c>
      <c r="O33" s="11">
        <v>193</v>
      </c>
      <c r="P33">
        <f>Tabel2425678[[#This Row],[Stand Coffee Latte einde maand]]-Tabel2425678[[#This Row],[Coffee Latte vorige maand]]</f>
        <v>32</v>
      </c>
      <c r="Q33" s="11">
        <v>1</v>
      </c>
      <c r="R33" s="11">
        <v>1</v>
      </c>
      <c r="S33">
        <f>Tabel2425678[[#This Row],[Stand Hot Water einde maand]]-Tabel2425678[[#This Row],[Hot Water vorige maand]]</f>
        <v>0</v>
      </c>
      <c r="T33" s="11">
        <v>992</v>
      </c>
      <c r="U33" s="11">
        <v>888</v>
      </c>
      <c r="V33">
        <f>Tabel2425678[[#This Row],[Stand Cappucino einde maand]]-Tabel2425678[[#This Row],[Stand Cappucino vorige maand]]</f>
        <v>104</v>
      </c>
      <c r="W33" s="11">
        <v>139</v>
      </c>
      <c r="X33" s="11">
        <v>122</v>
      </c>
      <c r="Y33">
        <f>Tabel2425678[[#This Row],[Stand Cappucino Plantaardig einde maand]]-Tabel2425678[[#This Row],[Stand Cappucino Plantaardig vorige maand]]</f>
        <v>17</v>
      </c>
      <c r="Z33" s="11">
        <v>24</v>
      </c>
      <c r="AA33" s="11">
        <v>22</v>
      </c>
      <c r="AB33" s="12">
        <f>Tabel2425678[[#This Row],[Stand Latte Macchiato Plantaardig einde maand]]-Tabel2425678[[#This Row],[Stand Latte Macchiato Plantaardig vorige maand]]</f>
        <v>2</v>
      </c>
      <c r="AC33" s="3">
        <f>Tabel2425678[[#This Row],[Verbruik Stand Latte Macchiato Plantaardig deze maand]]+Tabel2425678[[#This Row],[Verbruik  Cappucino Plantaardig deze maand]]+Tabel2425678[[#This Row],[Verbruik Cappucino deze maand]]+Tabel2425678[[#This Row],[Verbruik Hot Water deze maand]]+Tabel2425678[[#This Row],[Verbruik Coffee Latte deze maand]]+Tabel2425678[[#This Row],[Verbruik Latte Macchiato deze maand]]+Tabel2425678[[#This Row],[Verbruik Espresso deze maand]]+Tabel2425678[[#This Row],[Verbruik Coffee deze maand]]</f>
        <v>489</v>
      </c>
      <c r="AD33" s="11">
        <v>49.1</v>
      </c>
      <c r="AE33" s="40">
        <v>39.4</v>
      </c>
      <c r="AF33">
        <f>Tabel2425678[[#This Row],[Stand Kamertemp liter einde maand]]-Tabel2425678[[#This Row],[Stand Kamertemp liter vorige maand]]</f>
        <v>9.7000000000000028</v>
      </c>
      <c r="AG33" s="2">
        <f>Tabel2425678[[#This Row],[Verbruik Kamertemp liter deze maand]]/0.15</f>
        <v>64.666666666666686</v>
      </c>
      <c r="AH33" s="11">
        <v>208.8</v>
      </c>
      <c r="AI33" s="40">
        <v>173.6</v>
      </c>
      <c r="AJ33">
        <f>Tabel2425678[[#This Row],[Stand Gekoeld liter einde maand]]-Tabel2425678[[#This Row],[Stand Gekoeld liter vorige maand]]</f>
        <v>35.200000000000017</v>
      </c>
      <c r="AK33" s="2">
        <f>Tabel2425678[[#This Row],[Verbruik Gekoeld liter deze maand]]/0.15</f>
        <v>234.6666666666668</v>
      </c>
      <c r="AL33" s="11">
        <v>315.10000000000002</v>
      </c>
      <c r="AM33" s="25">
        <v>268</v>
      </c>
      <c r="AN33">
        <f>Tabel2425678[[#This Row],[Stand Bruisend liter einde maand]]-Tabel2425678[[#This Row],[Stand Bruisend liter vorige maand]]</f>
        <v>47.100000000000023</v>
      </c>
      <c r="AO33" s="2">
        <f>Tabel2425678[[#This Row],[Verbruik Bruisend liter deze maand]]/0.15</f>
        <v>314.00000000000017</v>
      </c>
      <c r="AP33" s="11">
        <v>71.900000000000006</v>
      </c>
      <c r="AQ33" s="25">
        <v>51.5</v>
      </c>
      <c r="AR33">
        <f>Tabel2425678[[#This Row],[Stand licht bruisend liter einde maand]]-Tabel2425678[[#This Row],[Stand licht bruisend liter vorige maand]]</f>
        <v>20.400000000000006</v>
      </c>
      <c r="AS33" s="2">
        <f>Tabel2425678[[#This Row],[Verbruik licht bruisend liter deze maand]]/0.15</f>
        <v>136.00000000000006</v>
      </c>
      <c r="AT33" s="11">
        <v>834.8</v>
      </c>
      <c r="AU33" s="25">
        <v>729.1</v>
      </c>
      <c r="AV33">
        <f>Tabel2425678[[#This Row],[Stand heet water liter einde maand]]-Tabel2425678[[#This Row],[Stand heet water liter vorige maand]]</f>
        <v>105.69999999999993</v>
      </c>
      <c r="AW33" s="20">
        <f>Tabel2425678[[#This Row],[Verbruik heet Water liter deze maand ]]/0.15</f>
        <v>704.66666666666629</v>
      </c>
      <c r="AX33" s="4">
        <f>Tabel2425678[[#This Row],[Aantal consumpties heet water deze maand]]+Tabel2425678[[#This Row],[Aantal consumpties licht bruisend water deze maand]]+Tabel2425678[[#This Row],[aantal consumpties Bruisend water deze maand]]+Tabel2425678[[#This Row],[Aantal consumpties gekoeld water deze maand]]+Tabel2425678[[#This Row],[Aantal consumpties Kamertemp deze maand]]</f>
        <v>1454</v>
      </c>
      <c r="AY33" s="4">
        <f>Tabel2425678[[#This Row],[Subtotaal waterbar in consumpties]]+Tabel2425678[[#This Row],[Subtotaal koffieautomaten]]</f>
        <v>1943</v>
      </c>
    </row>
    <row r="34" spans="1:51" x14ac:dyDescent="0.25">
      <c r="A34" t="s">
        <v>52</v>
      </c>
      <c r="B34" t="s">
        <v>83</v>
      </c>
      <c r="C34" t="s">
        <v>47</v>
      </c>
      <c r="E34" s="11">
        <v>1993</v>
      </c>
      <c r="F34" s="25">
        <v>1758</v>
      </c>
      <c r="G34" s="12">
        <f>Tabel2425678[[#This Row],[Stand Coffee einde maand]]-Tabel2425678[[#This Row],[Coffee vorige maand]]</f>
        <v>235</v>
      </c>
      <c r="H34" s="11">
        <v>713</v>
      </c>
      <c r="I34" s="25">
        <v>573</v>
      </c>
      <c r="J34" s="12">
        <f>Tabel2425678[[#This Row],[Stand Espresso Einde maand]]-Tabel2425678[[#This Row],[Espresso vorige maand]]</f>
        <v>140</v>
      </c>
      <c r="K34" s="11">
        <v>339</v>
      </c>
      <c r="L34" s="25">
        <v>293</v>
      </c>
      <c r="M34">
        <f>Tabel2425678[[#This Row],[Stand Latte Macchiato einde maand]]-Tabel2425678[[#This Row],[Latte Macchiato vorige maand]]</f>
        <v>46</v>
      </c>
      <c r="N34" s="11">
        <v>126</v>
      </c>
      <c r="O34" s="25">
        <v>113</v>
      </c>
      <c r="P34">
        <f>Tabel2425678[[#This Row],[Stand Coffee Latte einde maand]]-Tabel2425678[[#This Row],[Coffee Latte vorige maand]]</f>
        <v>13</v>
      </c>
      <c r="Q34" s="11">
        <v>1</v>
      </c>
      <c r="R34" s="25">
        <v>1</v>
      </c>
      <c r="S34">
        <f>Tabel2425678[[#This Row],[Stand Hot Water einde maand]]-Tabel2425678[[#This Row],[Hot Water vorige maand]]</f>
        <v>0</v>
      </c>
      <c r="T34" s="11">
        <v>690</v>
      </c>
      <c r="U34" s="25">
        <v>630</v>
      </c>
      <c r="V34">
        <f>Tabel2425678[[#This Row],[Stand Cappucino einde maand]]-Tabel2425678[[#This Row],[Stand Cappucino vorige maand]]</f>
        <v>60</v>
      </c>
      <c r="W34" s="11">
        <v>268</v>
      </c>
      <c r="X34" s="25">
        <v>236</v>
      </c>
      <c r="Y34">
        <f>Tabel2425678[[#This Row],[Stand Cappucino Plantaardig einde maand]]-Tabel2425678[[#This Row],[Stand Cappucino Plantaardig vorige maand]]</f>
        <v>32</v>
      </c>
      <c r="Z34" s="11">
        <v>335</v>
      </c>
      <c r="AA34" s="25">
        <v>289</v>
      </c>
      <c r="AB34" s="12">
        <f>Tabel2425678[[#This Row],[Stand Latte Macchiato Plantaardig einde maand]]-Tabel2425678[[#This Row],[Stand Latte Macchiato Plantaardig vorige maand]]</f>
        <v>46</v>
      </c>
      <c r="AC34" s="3">
        <f>Tabel2425678[[#This Row],[Verbruik Stand Latte Macchiato Plantaardig deze maand]]+Tabel2425678[[#This Row],[Verbruik  Cappucino Plantaardig deze maand]]+Tabel2425678[[#This Row],[Verbruik Cappucino deze maand]]+Tabel2425678[[#This Row],[Verbruik Hot Water deze maand]]+Tabel2425678[[#This Row],[Verbruik Coffee Latte deze maand]]+Tabel2425678[[#This Row],[Verbruik Latte Macchiato deze maand]]+Tabel2425678[[#This Row],[Verbruik Espresso deze maand]]+Tabel2425678[[#This Row],[Verbruik Coffee deze maand]]</f>
        <v>572</v>
      </c>
      <c r="AD34" s="11">
        <v>58.5</v>
      </c>
      <c r="AE34" s="40">
        <v>40.799999999999997</v>
      </c>
      <c r="AF34">
        <f>Tabel2425678[[#This Row],[Stand Kamertemp liter einde maand]]-Tabel2425678[[#This Row],[Stand Kamertemp liter vorige maand]]</f>
        <v>17.700000000000003</v>
      </c>
      <c r="AG34" s="2">
        <f>Tabel2425678[[#This Row],[Verbruik Kamertemp liter deze maand]]/0.15</f>
        <v>118.00000000000003</v>
      </c>
      <c r="AH34" s="11">
        <v>287.10000000000002</v>
      </c>
      <c r="AI34" s="40">
        <v>233.8</v>
      </c>
      <c r="AJ34">
        <f>Tabel2425678[[#This Row],[Stand Gekoeld liter einde maand]]-Tabel2425678[[#This Row],[Stand Gekoeld liter vorige maand]]</f>
        <v>53.300000000000011</v>
      </c>
      <c r="AK34" s="2">
        <f>Tabel2425678[[#This Row],[Verbruik Gekoeld liter deze maand]]/0.15</f>
        <v>355.33333333333343</v>
      </c>
      <c r="AL34" s="11">
        <v>202.3</v>
      </c>
      <c r="AM34" s="25">
        <v>175.7</v>
      </c>
      <c r="AN34">
        <f>Tabel2425678[[#This Row],[Stand Bruisend liter einde maand]]-Tabel2425678[[#This Row],[Stand Bruisend liter vorige maand]]</f>
        <v>26.600000000000023</v>
      </c>
      <c r="AO34" s="2">
        <f>Tabel2425678[[#This Row],[Verbruik Bruisend liter deze maand]]/0.15</f>
        <v>177.33333333333348</v>
      </c>
      <c r="AP34" s="11">
        <v>92.4</v>
      </c>
      <c r="AQ34" s="25">
        <v>82</v>
      </c>
      <c r="AR34">
        <f>Tabel2425678[[#This Row],[Stand licht bruisend liter einde maand]]-Tabel2425678[[#This Row],[Stand licht bruisend liter vorige maand]]</f>
        <v>10.400000000000006</v>
      </c>
      <c r="AS34" s="2">
        <f>Tabel2425678[[#This Row],[Verbruik licht bruisend liter deze maand]]/0.15</f>
        <v>69.333333333333371</v>
      </c>
      <c r="AT34" s="11">
        <v>1566.6</v>
      </c>
      <c r="AU34" s="25">
        <v>1332.8</v>
      </c>
      <c r="AV34">
        <f>Tabel2425678[[#This Row],[Stand heet water liter einde maand]]-Tabel2425678[[#This Row],[Stand heet water liter vorige maand]]</f>
        <v>233.79999999999995</v>
      </c>
      <c r="AW34" s="20">
        <f>Tabel2425678[[#This Row],[Verbruik heet Water liter deze maand ]]/0.15</f>
        <v>1558.6666666666665</v>
      </c>
      <c r="AX34" s="4">
        <f>Tabel2425678[[#This Row],[Aantal consumpties heet water deze maand]]+Tabel2425678[[#This Row],[Aantal consumpties licht bruisend water deze maand]]+Tabel2425678[[#This Row],[aantal consumpties Bruisend water deze maand]]+Tabel2425678[[#This Row],[Aantal consumpties gekoeld water deze maand]]+Tabel2425678[[#This Row],[Aantal consumpties Kamertemp deze maand]]</f>
        <v>2278.666666666667</v>
      </c>
      <c r="AY34" s="4">
        <f>Tabel2425678[[#This Row],[Subtotaal waterbar in consumpties]]+Tabel2425678[[#This Row],[Subtotaal koffieautomaten]]</f>
        <v>2850.666666666667</v>
      </c>
    </row>
    <row r="35" spans="1:51" x14ac:dyDescent="0.25">
      <c r="A35" t="s">
        <v>54</v>
      </c>
      <c r="B35" t="s">
        <v>84</v>
      </c>
      <c r="C35" t="s">
        <v>31</v>
      </c>
      <c r="E35" s="11">
        <v>2286</v>
      </c>
      <c r="F35" s="25">
        <v>2107</v>
      </c>
      <c r="G35" s="12">
        <f>Tabel2425678[[#This Row],[Stand Coffee einde maand]]-Tabel2425678[[#This Row],[Coffee vorige maand]]</f>
        <v>179</v>
      </c>
      <c r="H35" s="11">
        <v>416</v>
      </c>
      <c r="I35" s="25">
        <v>394</v>
      </c>
      <c r="J35" s="12">
        <f>Tabel2425678[[#This Row],[Stand Espresso Einde maand]]-Tabel2425678[[#This Row],[Espresso vorige maand]]</f>
        <v>22</v>
      </c>
      <c r="K35" s="11">
        <v>258</v>
      </c>
      <c r="L35" s="25">
        <v>244</v>
      </c>
      <c r="M35">
        <f>Tabel2425678[[#This Row],[Stand Latte Macchiato einde maand]]-Tabel2425678[[#This Row],[Latte Macchiato vorige maand]]</f>
        <v>14</v>
      </c>
      <c r="N35" s="11">
        <v>83</v>
      </c>
      <c r="O35" s="25">
        <v>76</v>
      </c>
      <c r="P35">
        <f>Tabel2425678[[#This Row],[Stand Coffee Latte einde maand]]-Tabel2425678[[#This Row],[Coffee Latte vorige maand]]</f>
        <v>7</v>
      </c>
      <c r="Q35" s="11">
        <v>3514</v>
      </c>
      <c r="R35" s="25">
        <v>3141</v>
      </c>
      <c r="S35">
        <f>Tabel2425678[[#This Row],[Stand Hot Water einde maand]]-Tabel2425678[[#This Row],[Hot Water vorige maand]]</f>
        <v>373</v>
      </c>
      <c r="T35" s="11">
        <v>833</v>
      </c>
      <c r="U35" s="25">
        <v>758</v>
      </c>
      <c r="V35">
        <f>Tabel2425678[[#This Row],[Stand Cappucino einde maand]]-Tabel2425678[[#This Row],[Stand Cappucino vorige maand]]</f>
        <v>75</v>
      </c>
      <c r="W35" s="11">
        <v>113</v>
      </c>
      <c r="X35" s="25">
        <v>106</v>
      </c>
      <c r="Y35">
        <f>Tabel2425678[[#This Row],[Stand Cappucino Plantaardig einde maand]]-Tabel2425678[[#This Row],[Stand Cappucino Plantaardig vorige maand]]</f>
        <v>7</v>
      </c>
      <c r="Z35" s="11">
        <v>193</v>
      </c>
      <c r="AA35" s="25">
        <v>182</v>
      </c>
      <c r="AB35" s="12">
        <f>Tabel2425678[[#This Row],[Stand Latte Macchiato Plantaardig einde maand]]-Tabel2425678[[#This Row],[Stand Latte Macchiato Plantaardig vorige maand]]</f>
        <v>11</v>
      </c>
      <c r="AC35" s="3">
        <f>Tabel2425678[[#This Row],[Verbruik Stand Latte Macchiato Plantaardig deze maand]]+Tabel2425678[[#This Row],[Verbruik  Cappucino Plantaardig deze maand]]+Tabel2425678[[#This Row],[Verbruik Cappucino deze maand]]+Tabel2425678[[#This Row],[Verbruik Hot Water deze maand]]+Tabel2425678[[#This Row],[Verbruik Coffee Latte deze maand]]+Tabel2425678[[#This Row],[Verbruik Latte Macchiato deze maand]]+Tabel2425678[[#This Row],[Verbruik Espresso deze maand]]+Tabel2425678[[#This Row],[Verbruik Coffee deze maand]]</f>
        <v>688</v>
      </c>
      <c r="AD35" s="26"/>
      <c r="AE35" s="41"/>
      <c r="AF35" s="5"/>
      <c r="AG35" s="5"/>
      <c r="AH35" s="26"/>
      <c r="AI35" s="41"/>
      <c r="AJ35" s="5"/>
      <c r="AK35" s="5"/>
      <c r="AL35" s="26"/>
      <c r="AM35" s="26"/>
      <c r="AN35" s="5"/>
      <c r="AO35" s="7"/>
      <c r="AP35" s="26"/>
      <c r="AQ35" s="26"/>
      <c r="AR35" s="5"/>
      <c r="AS35" s="7"/>
      <c r="AT35" s="26"/>
      <c r="AU35" s="26"/>
      <c r="AV35" s="5"/>
      <c r="AW35" s="21"/>
      <c r="AX35" s="8"/>
      <c r="AY35" s="4">
        <f>Tabel2425678[[#This Row],[Subtotaal waterbar in consumpties]]+Tabel2425678[[#This Row],[Subtotaal koffieautomaten]]</f>
        <v>688</v>
      </c>
    </row>
    <row r="36" spans="1:51" x14ac:dyDescent="0.25">
      <c r="A36" t="s">
        <v>56</v>
      </c>
      <c r="B36" t="s">
        <v>85</v>
      </c>
      <c r="C36" t="s">
        <v>36</v>
      </c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11">
        <v>32.200000000000003</v>
      </c>
      <c r="AE36" s="40">
        <v>26.3</v>
      </c>
      <c r="AF36">
        <f>Tabel2425678[[#This Row],[Stand Kamertemp liter einde maand]]-Tabel2425678[[#This Row],[Stand Kamertemp liter vorige maand]]</f>
        <v>5.9000000000000021</v>
      </c>
      <c r="AG36" s="2">
        <f>Tabel2425678[[#This Row],[Verbruik Kamertemp liter deze maand]]/0.15</f>
        <v>39.33333333333335</v>
      </c>
      <c r="AH36" s="11">
        <v>378.6</v>
      </c>
      <c r="AI36" s="40">
        <v>324.39999999999998</v>
      </c>
      <c r="AJ36">
        <f>Tabel2425678[[#This Row],[Stand Gekoeld liter einde maand]]-Tabel2425678[[#This Row],[Stand Gekoeld liter vorige maand]]</f>
        <v>54.200000000000045</v>
      </c>
      <c r="AK36" s="2">
        <f>Tabel2425678[[#This Row],[Verbruik Gekoeld liter deze maand]]/0.15</f>
        <v>361.33333333333366</v>
      </c>
      <c r="AL36" s="11">
        <v>161.4</v>
      </c>
      <c r="AM36" s="25">
        <v>124.5</v>
      </c>
      <c r="AN36">
        <f>Tabel2425678[[#This Row],[Stand Bruisend liter einde maand]]-Tabel2425678[[#This Row],[Stand Bruisend liter vorige maand]]</f>
        <v>36.900000000000006</v>
      </c>
      <c r="AO36" s="2">
        <f>Tabel2425678[[#This Row],[Verbruik Bruisend liter deze maand]]/0.15</f>
        <v>246.00000000000006</v>
      </c>
      <c r="AP36" s="11">
        <v>150.69999999999999</v>
      </c>
      <c r="AQ36" s="25">
        <v>136.4</v>
      </c>
      <c r="AR36">
        <f>Tabel2425678[[#This Row],[Stand licht bruisend liter einde maand]]-Tabel2425678[[#This Row],[Stand licht bruisend liter vorige maand]]</f>
        <v>14.299999999999983</v>
      </c>
      <c r="AS36" s="2">
        <f>Tabel2425678[[#This Row],[Verbruik licht bruisend liter deze maand]]/0.15</f>
        <v>95.333333333333229</v>
      </c>
      <c r="AT36" s="11">
        <v>1199.9000000000001</v>
      </c>
      <c r="AU36" s="25">
        <v>1056.2</v>
      </c>
      <c r="AV36">
        <f>Tabel2425678[[#This Row],[Stand heet water liter einde maand]]-Tabel2425678[[#This Row],[Stand heet water liter vorige maand]]</f>
        <v>143.70000000000005</v>
      </c>
      <c r="AW36" s="20">
        <f>Tabel2425678[[#This Row],[Verbruik heet Water liter deze maand ]]/0.15</f>
        <v>958.00000000000034</v>
      </c>
      <c r="AX36" s="4">
        <f>Tabel2425678[[#This Row],[Aantal consumpties heet water deze maand]]+Tabel2425678[[#This Row],[Aantal consumpties licht bruisend water deze maand]]+Tabel2425678[[#This Row],[aantal consumpties Bruisend water deze maand]]+Tabel2425678[[#This Row],[Aantal consumpties gekoeld water deze maand]]+Tabel2425678[[#This Row],[Aantal consumpties Kamertemp deze maand]]</f>
        <v>1700.0000000000005</v>
      </c>
      <c r="AY36" s="4">
        <f>Tabel2425678[[#This Row],[Subtotaal waterbar in consumpties]]+Tabel2425678[[#This Row],[Subtotaal koffieautomaten]]</f>
        <v>1700.0000000000005</v>
      </c>
    </row>
    <row r="37" spans="1:51" x14ac:dyDescent="0.25">
      <c r="A37" t="s">
        <v>58</v>
      </c>
      <c r="B37" t="s">
        <v>86</v>
      </c>
      <c r="C37" t="s">
        <v>47</v>
      </c>
      <c r="E37" s="11">
        <v>3162</v>
      </c>
      <c r="F37" s="25">
        <v>2770</v>
      </c>
      <c r="G37" s="12">
        <f>Tabel2425678[[#This Row],[Stand Coffee einde maand]]-Tabel2425678[[#This Row],[Coffee vorige maand]]</f>
        <v>392</v>
      </c>
      <c r="H37" s="11">
        <v>834</v>
      </c>
      <c r="I37" s="25">
        <v>672</v>
      </c>
      <c r="J37" s="12">
        <f>Tabel2425678[[#This Row],[Stand Espresso Einde maand]]-Tabel2425678[[#This Row],[Espresso vorige maand]]</f>
        <v>162</v>
      </c>
      <c r="K37" s="11">
        <v>326</v>
      </c>
      <c r="L37" s="25">
        <v>300</v>
      </c>
      <c r="M37">
        <f>Tabel2425678[[#This Row],[Stand Latte Macchiato einde maand]]-Tabel2425678[[#This Row],[Latte Macchiato vorige maand]]</f>
        <v>26</v>
      </c>
      <c r="N37" s="11">
        <v>194</v>
      </c>
      <c r="O37" s="25">
        <v>155</v>
      </c>
      <c r="P37">
        <f>Tabel2425678[[#This Row],[Stand Coffee Latte einde maand]]-Tabel2425678[[#This Row],[Coffee Latte vorige maand]]</f>
        <v>39</v>
      </c>
      <c r="Q37" s="11">
        <v>1</v>
      </c>
      <c r="R37" s="25">
        <v>1</v>
      </c>
      <c r="S37">
        <f>Tabel2425678[[#This Row],[Stand Hot Water einde maand]]-Tabel2425678[[#This Row],[Hot Water vorige maand]]</f>
        <v>0</v>
      </c>
      <c r="T37" s="11">
        <v>1628</v>
      </c>
      <c r="U37" s="25">
        <v>1363</v>
      </c>
      <c r="V37">
        <f>Tabel2425678[[#This Row],[Stand Cappucino einde maand]]-Tabel2425678[[#This Row],[Stand Cappucino vorige maand]]</f>
        <v>265</v>
      </c>
      <c r="W37" s="11">
        <v>194</v>
      </c>
      <c r="X37" s="25">
        <v>228</v>
      </c>
      <c r="Y37">
        <f>Tabel2425678[[#This Row],[Stand Cappucino Plantaardig einde maand]]-Tabel2425678[[#This Row],[Stand Cappucino Plantaardig vorige maand]]</f>
        <v>-34</v>
      </c>
      <c r="Z37" s="11">
        <v>199</v>
      </c>
      <c r="AA37" s="25">
        <v>171</v>
      </c>
      <c r="AB37" s="12">
        <f>Tabel2425678[[#This Row],[Stand Latte Macchiato Plantaardig einde maand]]-Tabel2425678[[#This Row],[Stand Latte Macchiato Plantaardig vorige maand]]</f>
        <v>28</v>
      </c>
      <c r="AC37" s="3">
        <f>Tabel2425678[[#This Row],[Verbruik Stand Latte Macchiato Plantaardig deze maand]]+Tabel2425678[[#This Row],[Verbruik  Cappucino Plantaardig deze maand]]+Tabel2425678[[#This Row],[Verbruik Cappucino deze maand]]+Tabel2425678[[#This Row],[Verbruik Hot Water deze maand]]+Tabel2425678[[#This Row],[Verbruik Coffee Latte deze maand]]+Tabel2425678[[#This Row],[Verbruik Latte Macchiato deze maand]]+Tabel2425678[[#This Row],[Verbruik Espresso deze maand]]+Tabel2425678[[#This Row],[Verbruik Coffee deze maand]]</f>
        <v>878</v>
      </c>
      <c r="AD37" s="11">
        <v>78.099999999999994</v>
      </c>
      <c r="AE37" s="40">
        <v>64.8</v>
      </c>
      <c r="AF37">
        <f>Tabel2425678[[#This Row],[Stand Kamertemp liter einde maand]]-Tabel2425678[[#This Row],[Stand Kamertemp liter vorige maand]]</f>
        <v>13.299999999999997</v>
      </c>
      <c r="AG37" s="2">
        <f>Tabel2425678[[#This Row],[Verbruik Kamertemp liter deze maand]]/0.15</f>
        <v>88.666666666666657</v>
      </c>
      <c r="AH37" s="11">
        <v>462.3</v>
      </c>
      <c r="AI37" s="40">
        <v>364.8</v>
      </c>
      <c r="AJ37">
        <f>Tabel2425678[[#This Row],[Stand Gekoeld liter einde maand]]-Tabel2425678[[#This Row],[Stand Gekoeld liter vorige maand]]</f>
        <v>97.5</v>
      </c>
      <c r="AK37" s="2">
        <f>Tabel2425678[[#This Row],[Verbruik Gekoeld liter deze maand]]/0.15</f>
        <v>650</v>
      </c>
      <c r="AL37" s="11">
        <v>216.5</v>
      </c>
      <c r="AM37" s="25">
        <v>173.8</v>
      </c>
      <c r="AN37">
        <f>Tabel2425678[[#This Row],[Stand Bruisend liter einde maand]]-Tabel2425678[[#This Row],[Stand Bruisend liter vorige maand]]</f>
        <v>42.699999999999989</v>
      </c>
      <c r="AO37" s="2">
        <f>Tabel2425678[[#This Row],[Verbruik Bruisend liter deze maand]]/0.15</f>
        <v>284.66666666666663</v>
      </c>
      <c r="AP37" s="11">
        <v>81.7</v>
      </c>
      <c r="AQ37" s="25">
        <v>66.900000000000006</v>
      </c>
      <c r="AR37">
        <f>Tabel2425678[[#This Row],[Stand licht bruisend liter einde maand]]-Tabel2425678[[#This Row],[Stand licht bruisend liter vorige maand]]</f>
        <v>14.799999999999997</v>
      </c>
      <c r="AS37" s="2">
        <f>Tabel2425678[[#This Row],[Verbruik licht bruisend liter deze maand]]/0.15</f>
        <v>98.666666666666657</v>
      </c>
      <c r="AT37" s="11">
        <v>1256.7</v>
      </c>
      <c r="AU37" s="25">
        <v>1111.7</v>
      </c>
      <c r="AV37">
        <f>Tabel2425678[[#This Row],[Stand heet water liter einde maand]]-Tabel2425678[[#This Row],[Stand heet water liter vorige maand]]</f>
        <v>145</v>
      </c>
      <c r="AW37" s="20">
        <f>Tabel2425678[[#This Row],[Verbruik heet Water liter deze maand ]]/0.15</f>
        <v>966.66666666666674</v>
      </c>
      <c r="AX37" s="4">
        <f>Tabel2425678[[#This Row],[Aantal consumpties heet water deze maand]]+Tabel2425678[[#This Row],[Aantal consumpties licht bruisend water deze maand]]+Tabel2425678[[#This Row],[aantal consumpties Bruisend water deze maand]]+Tabel2425678[[#This Row],[Aantal consumpties gekoeld water deze maand]]+Tabel2425678[[#This Row],[Aantal consumpties Kamertemp deze maand]]</f>
        <v>2088.6666666666665</v>
      </c>
      <c r="AY37" s="4">
        <f>Tabel2425678[[#This Row],[Subtotaal waterbar in consumpties]]+Tabel2425678[[#This Row],[Subtotaal koffieautomaten]]</f>
        <v>2966.6666666666665</v>
      </c>
    </row>
    <row r="38" spans="1:51" x14ac:dyDescent="0.25">
      <c r="A38" t="s">
        <v>60</v>
      </c>
      <c r="B38" t="s">
        <v>87</v>
      </c>
      <c r="C38" t="s">
        <v>31</v>
      </c>
      <c r="E38" s="11">
        <v>1401</v>
      </c>
      <c r="F38" s="25">
        <v>1217</v>
      </c>
      <c r="G38" s="12">
        <f>Tabel2425678[[#This Row],[Stand Coffee einde maand]]-Tabel2425678[[#This Row],[Coffee vorige maand]]</f>
        <v>184</v>
      </c>
      <c r="H38" s="11">
        <v>306</v>
      </c>
      <c r="I38" s="25">
        <v>274</v>
      </c>
      <c r="J38" s="12">
        <f>Tabel2425678[[#This Row],[Stand Espresso Einde maand]]-Tabel2425678[[#This Row],[Espresso vorige maand]]</f>
        <v>32</v>
      </c>
      <c r="K38" s="11">
        <v>306</v>
      </c>
      <c r="L38" s="25">
        <v>283</v>
      </c>
      <c r="M38">
        <f>Tabel2425678[[#This Row],[Stand Latte Macchiato einde maand]]-Tabel2425678[[#This Row],[Latte Macchiato vorige maand]]</f>
        <v>23</v>
      </c>
      <c r="N38" s="11">
        <v>232</v>
      </c>
      <c r="O38" s="25">
        <v>213</v>
      </c>
      <c r="P38">
        <f>Tabel2425678[[#This Row],[Stand Coffee Latte einde maand]]-Tabel2425678[[#This Row],[Coffee Latte vorige maand]]</f>
        <v>19</v>
      </c>
      <c r="Q38" s="11">
        <v>5308</v>
      </c>
      <c r="R38" s="25">
        <v>4594</v>
      </c>
      <c r="S38">
        <f>Tabel2425678[[#This Row],[Stand Hot Water einde maand]]-Tabel2425678[[#This Row],[Hot Water vorige maand]]</f>
        <v>714</v>
      </c>
      <c r="T38" s="11">
        <v>1101</v>
      </c>
      <c r="U38" s="25">
        <v>962</v>
      </c>
      <c r="V38">
        <f>Tabel2425678[[#This Row],[Stand Cappucino einde maand]]-Tabel2425678[[#This Row],[Stand Cappucino vorige maand]]</f>
        <v>139</v>
      </c>
      <c r="W38" s="11">
        <v>183</v>
      </c>
      <c r="X38" s="25">
        <v>172</v>
      </c>
      <c r="Y38">
        <f>Tabel2425678[[#This Row],[Stand Cappucino Plantaardig einde maand]]-Tabel2425678[[#This Row],[Stand Cappucino Plantaardig vorige maand]]</f>
        <v>11</v>
      </c>
      <c r="Z38" s="11">
        <v>118</v>
      </c>
      <c r="AA38" s="25">
        <v>116</v>
      </c>
      <c r="AB38" s="12">
        <f>Tabel2425678[[#This Row],[Stand Latte Macchiato Plantaardig einde maand]]-Tabel2425678[[#This Row],[Stand Latte Macchiato Plantaardig vorige maand]]</f>
        <v>2</v>
      </c>
      <c r="AC38" s="3">
        <f>Tabel2425678[[#This Row],[Verbruik Stand Latte Macchiato Plantaardig deze maand]]+Tabel2425678[[#This Row],[Verbruik  Cappucino Plantaardig deze maand]]+Tabel2425678[[#This Row],[Verbruik Cappucino deze maand]]+Tabel2425678[[#This Row],[Verbruik Hot Water deze maand]]+Tabel2425678[[#This Row],[Verbruik Coffee Latte deze maand]]+Tabel2425678[[#This Row],[Verbruik Latte Macchiato deze maand]]+Tabel2425678[[#This Row],[Verbruik Espresso deze maand]]+Tabel2425678[[#This Row],[Verbruik Coffee deze maand]]</f>
        <v>1124</v>
      </c>
      <c r="AD38" s="26"/>
      <c r="AE38" s="41"/>
      <c r="AF38" s="5"/>
      <c r="AG38" s="5"/>
      <c r="AH38" s="26"/>
      <c r="AI38" s="41"/>
      <c r="AJ38" s="5"/>
      <c r="AK38" s="5"/>
      <c r="AL38" s="26"/>
      <c r="AM38" s="26"/>
      <c r="AN38" s="5"/>
      <c r="AO38" s="5"/>
      <c r="AP38" s="26"/>
      <c r="AQ38" s="26"/>
      <c r="AR38" s="5"/>
      <c r="AS38" s="5"/>
      <c r="AT38" s="26"/>
      <c r="AU38" s="26"/>
      <c r="AV38" s="5"/>
      <c r="AW38" s="16"/>
      <c r="AX38" s="6"/>
      <c r="AY38" s="4">
        <f>Tabel2425678[[#This Row],[Subtotaal waterbar in consumpties]]+Tabel2425678[[#This Row],[Subtotaal koffieautomaten]]</f>
        <v>1124</v>
      </c>
    </row>
    <row r="39" spans="1:51" x14ac:dyDescent="0.25">
      <c r="A39" s="3" t="s">
        <v>88</v>
      </c>
      <c r="F39" s="25"/>
      <c r="H39" s="11"/>
      <c r="I39" s="25"/>
      <c r="J39" s="12"/>
      <c r="K39" s="11"/>
      <c r="L39" s="25"/>
      <c r="O39" s="25"/>
      <c r="R39" s="25"/>
      <c r="U39" s="25"/>
      <c r="X39" s="25"/>
      <c r="AA39" s="25"/>
      <c r="AC39" s="3">
        <f>Tabel2425678[[#This Row],[Verbruik Stand Latte Macchiato Plantaardig deze maand]]+Tabel2425678[[#This Row],[Verbruik  Cappucino Plantaardig deze maand]]+Tabel2425678[[#This Row],[Verbruik Cappucino deze maand]]+Tabel2425678[[#This Row],[Verbruik Hot Water deze maand]]+Tabel2425678[[#This Row],[Verbruik Coffee Latte deze maand]]+Tabel2425678[[#This Row],[Verbruik Latte Macchiato deze maand]]+Tabel2425678[[#This Row],[Verbruik Espresso deze maand]]+Tabel2425678[[#This Row],[Verbruik Coffee deze maand]]</f>
        <v>0</v>
      </c>
      <c r="AE39" s="40"/>
      <c r="AG39" s="2"/>
      <c r="AI39" s="40"/>
      <c r="AK39" s="2"/>
      <c r="AM39" s="25"/>
      <c r="AO39" s="2"/>
      <c r="AQ39" s="25"/>
      <c r="AS39" s="2"/>
      <c r="AU39" s="25"/>
      <c r="AW39" s="20"/>
      <c r="AX39" s="4"/>
      <c r="AY39" s="4">
        <f>Tabel2425678[[#This Row],[Subtotaal waterbar in consumpties]]+Tabel2425678[[#This Row],[Subtotaal koffieautomaten]]</f>
        <v>0</v>
      </c>
    </row>
    <row r="40" spans="1:51" x14ac:dyDescent="0.25">
      <c r="A40" t="s">
        <v>39</v>
      </c>
      <c r="B40" t="s">
        <v>89</v>
      </c>
      <c r="C40" t="s">
        <v>36</v>
      </c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11">
        <v>103.1</v>
      </c>
      <c r="AE40" s="40">
        <v>92.1</v>
      </c>
      <c r="AF40">
        <f>Tabel2425678[[#This Row],[Stand Kamertemp liter einde maand]]-Tabel2425678[[#This Row],[Stand Kamertemp liter vorige maand]]</f>
        <v>11</v>
      </c>
      <c r="AG40" s="2">
        <f>Tabel2425678[[#This Row],[Verbruik Kamertemp liter deze maand]]/0.15</f>
        <v>73.333333333333343</v>
      </c>
      <c r="AH40" s="11">
        <v>1063.7</v>
      </c>
      <c r="AI40" s="40">
        <v>904.4</v>
      </c>
      <c r="AJ40">
        <f>Tabel2425678[[#This Row],[Stand Gekoeld liter einde maand]]-Tabel2425678[[#This Row],[Stand Gekoeld liter vorige maand]]</f>
        <v>159.30000000000007</v>
      </c>
      <c r="AK40" s="2">
        <f>Tabel2425678[[#This Row],[Verbruik Gekoeld liter deze maand]]/0.15</f>
        <v>1062.0000000000005</v>
      </c>
      <c r="AL40" s="11">
        <v>502.1</v>
      </c>
      <c r="AM40" s="25">
        <v>432</v>
      </c>
      <c r="AN40">
        <f>Tabel2425678[[#This Row],[Stand Bruisend liter einde maand]]-Tabel2425678[[#This Row],[Stand Bruisend liter vorige maand]]</f>
        <v>70.100000000000023</v>
      </c>
      <c r="AO40" s="2">
        <f>Tabel2425678[[#This Row],[Verbruik Bruisend liter deze maand]]/0.15</f>
        <v>467.33333333333348</v>
      </c>
      <c r="AP40" s="11">
        <v>167.6</v>
      </c>
      <c r="AQ40" s="25">
        <v>150.4</v>
      </c>
      <c r="AR40">
        <f>Tabel2425678[[#This Row],[Stand licht bruisend liter einde maand]]-Tabel2425678[[#This Row],[Stand licht bruisend liter vorige maand]]</f>
        <v>17.199999999999989</v>
      </c>
      <c r="AS40" s="2">
        <f>Tabel2425678[[#This Row],[Verbruik licht bruisend liter deze maand]]/0.15</f>
        <v>114.6666666666666</v>
      </c>
      <c r="AT40" s="11">
        <v>814.5</v>
      </c>
      <c r="AU40" s="25">
        <v>713.9</v>
      </c>
      <c r="AV40">
        <f>Tabel2425678[[#This Row],[Stand heet water liter einde maand]]-Tabel2425678[[#This Row],[Stand heet water liter vorige maand]]</f>
        <v>100.60000000000002</v>
      </c>
      <c r="AW40" s="20">
        <f>Tabel2425678[[#This Row],[Verbruik heet Water liter deze maand ]]/0.15</f>
        <v>670.66666666666686</v>
      </c>
      <c r="AX40" s="4">
        <f>Tabel2425678[[#This Row],[Aantal consumpties heet water deze maand]]+Tabel2425678[[#This Row],[Aantal consumpties licht bruisend water deze maand]]+Tabel2425678[[#This Row],[aantal consumpties Bruisend water deze maand]]+Tabel2425678[[#This Row],[Aantal consumpties gekoeld water deze maand]]+Tabel2425678[[#This Row],[Aantal consumpties Kamertemp deze maand]]</f>
        <v>2388.0000000000009</v>
      </c>
      <c r="AY40" s="4">
        <f>Tabel2425678[[#This Row],[Subtotaal waterbar in consumpties]]+Tabel2425678[[#This Row],[Subtotaal koffieautomaten]]</f>
        <v>2388.0000000000009</v>
      </c>
    </row>
    <row r="41" spans="1:51" x14ac:dyDescent="0.25">
      <c r="A41" t="s">
        <v>41</v>
      </c>
      <c r="B41" t="s">
        <v>90</v>
      </c>
      <c r="C41" t="s">
        <v>31</v>
      </c>
      <c r="E41" s="11">
        <v>2844</v>
      </c>
      <c r="F41" s="25">
        <v>2652</v>
      </c>
      <c r="G41" s="12">
        <f>Tabel2425678[[#This Row],[Stand Coffee einde maand]]-Tabel2425678[[#This Row],[Coffee vorige maand]]</f>
        <v>192</v>
      </c>
      <c r="H41" s="11">
        <v>1025</v>
      </c>
      <c r="I41" s="25">
        <v>964</v>
      </c>
      <c r="J41" s="12">
        <f>Tabel2425678[[#This Row],[Stand Espresso Einde maand]]-Tabel2425678[[#This Row],[Espresso vorige maand]]</f>
        <v>61</v>
      </c>
      <c r="K41" s="11">
        <v>389</v>
      </c>
      <c r="L41" s="25">
        <v>353</v>
      </c>
      <c r="M41">
        <f>Tabel2425678[[#This Row],[Stand Latte Macchiato einde maand]]-Tabel2425678[[#This Row],[Latte Macchiato vorige maand]]</f>
        <v>36</v>
      </c>
      <c r="N41" s="11">
        <v>409</v>
      </c>
      <c r="O41" s="25">
        <v>395</v>
      </c>
      <c r="P41">
        <f>Tabel2425678[[#This Row],[Stand Coffee Latte einde maand]]-Tabel2425678[[#This Row],[Coffee Latte vorige maand]]</f>
        <v>14</v>
      </c>
      <c r="Q41" s="11">
        <v>8142</v>
      </c>
      <c r="R41" s="25">
        <v>7723</v>
      </c>
      <c r="S41">
        <f>Tabel2425678[[#This Row],[Stand Hot Water einde maand]]-Tabel2425678[[#This Row],[Hot Water vorige maand]]</f>
        <v>419</v>
      </c>
      <c r="T41" s="11">
        <v>1232</v>
      </c>
      <c r="U41" s="25">
        <v>1135</v>
      </c>
      <c r="V41">
        <f>Tabel2425678[[#This Row],[Stand Cappucino einde maand]]-Tabel2425678[[#This Row],[Stand Cappucino vorige maand]]</f>
        <v>97</v>
      </c>
      <c r="W41" s="11">
        <v>159</v>
      </c>
      <c r="X41" s="25">
        <v>153</v>
      </c>
      <c r="Y41">
        <f>Tabel2425678[[#This Row],[Stand Cappucino Plantaardig einde maand]]-Tabel2425678[[#This Row],[Stand Cappucino Plantaardig vorige maand]]</f>
        <v>6</v>
      </c>
      <c r="Z41" s="11">
        <v>55</v>
      </c>
      <c r="AA41" s="25">
        <v>55</v>
      </c>
      <c r="AB41" s="12">
        <f>Tabel2425678[[#This Row],[Stand Latte Macchiato Plantaardig einde maand]]-Tabel2425678[[#This Row],[Stand Latte Macchiato Plantaardig vorige maand]]</f>
        <v>0</v>
      </c>
      <c r="AC41" s="3">
        <f>Tabel2425678[[#This Row],[Verbruik Stand Latte Macchiato Plantaardig deze maand]]+Tabel2425678[[#This Row],[Verbruik  Cappucino Plantaardig deze maand]]+Tabel2425678[[#This Row],[Verbruik Cappucino deze maand]]+Tabel2425678[[#This Row],[Verbruik Hot Water deze maand]]+Tabel2425678[[#This Row],[Verbruik Coffee Latte deze maand]]+Tabel2425678[[#This Row],[Verbruik Latte Macchiato deze maand]]+Tabel2425678[[#This Row],[Verbruik Espresso deze maand]]+Tabel2425678[[#This Row],[Verbruik Coffee deze maand]]</f>
        <v>825</v>
      </c>
      <c r="AD41" s="26"/>
      <c r="AE41" s="41"/>
      <c r="AF41" s="5"/>
      <c r="AG41" s="5"/>
      <c r="AH41" s="26"/>
      <c r="AI41" s="41"/>
      <c r="AJ41" s="5"/>
      <c r="AK41" s="5"/>
      <c r="AL41" s="26"/>
      <c r="AM41" s="26"/>
      <c r="AN41" s="5"/>
      <c r="AO41" s="5"/>
      <c r="AP41" s="26"/>
      <c r="AQ41" s="26"/>
      <c r="AR41" s="5"/>
      <c r="AS41" s="5"/>
      <c r="AT41" s="26"/>
      <c r="AU41" s="26"/>
      <c r="AV41" s="5"/>
      <c r="AW41" s="16"/>
      <c r="AX41" s="6"/>
      <c r="AY41" s="4">
        <f>Tabel2425678[[#This Row],[Subtotaal waterbar in consumpties]]+Tabel2425678[[#This Row],[Subtotaal koffieautomaten]]</f>
        <v>825</v>
      </c>
    </row>
    <row r="42" spans="1:51" x14ac:dyDescent="0.25">
      <c r="A42" t="s">
        <v>43</v>
      </c>
      <c r="B42" t="s">
        <v>91</v>
      </c>
      <c r="C42" t="s">
        <v>47</v>
      </c>
      <c r="E42" s="11">
        <v>3505</v>
      </c>
      <c r="F42" s="25">
        <v>3073</v>
      </c>
      <c r="G42" s="12">
        <f>Tabel2425678[[#This Row],[Stand Coffee einde maand]]-Tabel2425678[[#This Row],[Coffee vorige maand]]</f>
        <v>432</v>
      </c>
      <c r="H42" s="11">
        <v>1006</v>
      </c>
      <c r="I42" s="25">
        <v>929</v>
      </c>
      <c r="J42" s="12">
        <f>Tabel2425678[[#This Row],[Stand Espresso Einde maand]]-Tabel2425678[[#This Row],[Espresso vorige maand]]</f>
        <v>77</v>
      </c>
      <c r="K42" s="11">
        <v>216</v>
      </c>
      <c r="L42" s="25">
        <v>211</v>
      </c>
      <c r="M42">
        <f>Tabel2425678[[#This Row],[Stand Latte Macchiato einde maand]]-Tabel2425678[[#This Row],[Latte Macchiato vorige maand]]</f>
        <v>5</v>
      </c>
      <c r="N42" s="11">
        <v>187</v>
      </c>
      <c r="O42" s="25">
        <v>173</v>
      </c>
      <c r="P42">
        <f>Tabel2425678[[#This Row],[Stand Coffee Latte einde maand]]-Tabel2425678[[#This Row],[Coffee Latte vorige maand]]</f>
        <v>14</v>
      </c>
      <c r="Q42" s="11">
        <v>262</v>
      </c>
      <c r="R42" s="25">
        <v>237</v>
      </c>
      <c r="S42">
        <f>Tabel2425678[[#This Row],[Stand Hot Water einde maand]]-Tabel2425678[[#This Row],[Hot Water vorige maand]]</f>
        <v>25</v>
      </c>
      <c r="T42" s="11">
        <v>1294</v>
      </c>
      <c r="U42" s="25">
        <v>1117</v>
      </c>
      <c r="V42">
        <f>Tabel2425678[[#This Row],[Stand Cappucino einde maand]]-Tabel2425678[[#This Row],[Stand Cappucino vorige maand]]</f>
        <v>177</v>
      </c>
      <c r="W42" s="11">
        <v>1261</v>
      </c>
      <c r="X42" s="25">
        <v>1129</v>
      </c>
      <c r="Y42">
        <f>Tabel2425678[[#This Row],[Stand Cappucino Plantaardig einde maand]]-Tabel2425678[[#This Row],[Stand Cappucino Plantaardig vorige maand]]</f>
        <v>132</v>
      </c>
      <c r="Z42" s="11">
        <v>114</v>
      </c>
      <c r="AA42" s="25">
        <v>106</v>
      </c>
      <c r="AB42" s="12">
        <f>Tabel2425678[[#This Row],[Stand Latte Macchiato Plantaardig einde maand]]-Tabel2425678[[#This Row],[Stand Latte Macchiato Plantaardig vorige maand]]</f>
        <v>8</v>
      </c>
      <c r="AC42" s="3">
        <f>Tabel2425678[[#This Row],[Verbruik Stand Latte Macchiato Plantaardig deze maand]]+Tabel2425678[[#This Row],[Verbruik  Cappucino Plantaardig deze maand]]+Tabel2425678[[#This Row],[Verbruik Cappucino deze maand]]+Tabel2425678[[#This Row],[Verbruik Hot Water deze maand]]+Tabel2425678[[#This Row],[Verbruik Coffee Latte deze maand]]+Tabel2425678[[#This Row],[Verbruik Latte Macchiato deze maand]]+Tabel2425678[[#This Row],[Verbruik Espresso deze maand]]+Tabel2425678[[#This Row],[Verbruik Coffee deze maand]]</f>
        <v>870</v>
      </c>
      <c r="AD42" s="11">
        <v>48.4</v>
      </c>
      <c r="AE42" s="40">
        <v>43</v>
      </c>
      <c r="AF42">
        <f>Tabel2425678[[#This Row],[Stand Kamertemp liter einde maand]]-Tabel2425678[[#This Row],[Stand Kamertemp liter vorige maand]]</f>
        <v>5.3999999999999986</v>
      </c>
      <c r="AG42" s="2">
        <f>Tabel2425678[[#This Row],[Verbruik Kamertemp liter deze maand]]/0.15</f>
        <v>35.999999999999993</v>
      </c>
      <c r="AH42" s="11">
        <v>715.2</v>
      </c>
      <c r="AI42" s="40">
        <v>593.1</v>
      </c>
      <c r="AJ42">
        <f>Tabel2425678[[#This Row],[Stand Gekoeld liter einde maand]]-Tabel2425678[[#This Row],[Stand Gekoeld liter vorige maand]]</f>
        <v>122.10000000000002</v>
      </c>
      <c r="AK42" s="2">
        <f>Tabel2425678[[#This Row],[Verbruik Gekoeld liter deze maand]]/0.15</f>
        <v>814.00000000000023</v>
      </c>
      <c r="AL42" s="11">
        <v>984.8</v>
      </c>
      <c r="AM42" s="25">
        <v>809.8</v>
      </c>
      <c r="AN42">
        <f>Tabel2425678[[#This Row],[Stand Bruisend liter einde maand]]-Tabel2425678[[#This Row],[Stand Bruisend liter vorige maand]]</f>
        <v>175</v>
      </c>
      <c r="AO42" s="2">
        <f>Tabel2425678[[#This Row],[Verbruik Bruisend liter deze maand]]/0.15</f>
        <v>1166.6666666666667</v>
      </c>
      <c r="AP42" s="11">
        <v>590.1</v>
      </c>
      <c r="AQ42" s="25">
        <v>528.29999999999995</v>
      </c>
      <c r="AR42">
        <f>Tabel2425678[[#This Row],[Stand licht bruisend liter einde maand]]-Tabel2425678[[#This Row],[Stand licht bruisend liter vorige maand]]</f>
        <v>61.800000000000068</v>
      </c>
      <c r="AS42" s="2">
        <f>Tabel2425678[[#This Row],[Verbruik licht bruisend liter deze maand]]/0.15</f>
        <v>412.00000000000045</v>
      </c>
      <c r="AT42" s="11">
        <v>3031.4</v>
      </c>
      <c r="AU42" s="25">
        <v>2672.2</v>
      </c>
      <c r="AV42">
        <f>Tabel2425678[[#This Row],[Stand heet water liter einde maand]]-Tabel2425678[[#This Row],[Stand heet water liter vorige maand]]</f>
        <v>359.20000000000027</v>
      </c>
      <c r="AW42" s="20">
        <f>Tabel2425678[[#This Row],[Verbruik heet Water liter deze maand ]]/0.15</f>
        <v>2394.6666666666688</v>
      </c>
      <c r="AX42" s="4">
        <f>Tabel2425678[[#This Row],[Aantal consumpties heet water deze maand]]+Tabel2425678[[#This Row],[Aantal consumpties licht bruisend water deze maand]]+Tabel2425678[[#This Row],[aantal consumpties Bruisend water deze maand]]+Tabel2425678[[#This Row],[Aantal consumpties gekoeld water deze maand]]+Tabel2425678[[#This Row],[Aantal consumpties Kamertemp deze maand]]</f>
        <v>4823.3333333333358</v>
      </c>
      <c r="AY42" s="4">
        <f>Tabel2425678[[#This Row],[Subtotaal waterbar in consumpties]]+Tabel2425678[[#This Row],[Subtotaal koffieautomaten]]</f>
        <v>5693.3333333333358</v>
      </c>
    </row>
    <row r="43" spans="1:51" x14ac:dyDescent="0.25">
      <c r="A43" t="s">
        <v>45</v>
      </c>
      <c r="B43" t="s">
        <v>92</v>
      </c>
      <c r="C43" t="s">
        <v>36</v>
      </c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11">
        <v>46.7</v>
      </c>
      <c r="AE43" s="40">
        <v>42.5</v>
      </c>
      <c r="AF43">
        <f>Tabel2425678[[#This Row],[Stand Kamertemp liter einde maand]]-Tabel2425678[[#This Row],[Stand Kamertemp liter vorige maand]]</f>
        <v>4.2000000000000028</v>
      </c>
      <c r="AG43" s="2">
        <f>Tabel2425678[[#This Row],[Verbruik Kamertemp liter deze maand]]/0.15</f>
        <v>28.000000000000021</v>
      </c>
      <c r="AH43" s="11">
        <v>371.3</v>
      </c>
      <c r="AI43" s="40">
        <v>325.10000000000002</v>
      </c>
      <c r="AJ43">
        <f>Tabel2425678[[#This Row],[Stand Gekoeld liter einde maand]]-Tabel2425678[[#This Row],[Stand Gekoeld liter vorige maand]]</f>
        <v>46.199999999999989</v>
      </c>
      <c r="AK43" s="2">
        <f>Tabel2425678[[#This Row],[Verbruik Gekoeld liter deze maand]]/0.15</f>
        <v>307.99999999999994</v>
      </c>
      <c r="AL43" s="11">
        <v>316.60000000000002</v>
      </c>
      <c r="AM43" s="25">
        <v>271.10000000000002</v>
      </c>
      <c r="AN43">
        <f>Tabel2425678[[#This Row],[Stand Bruisend liter einde maand]]-Tabel2425678[[#This Row],[Stand Bruisend liter vorige maand]]</f>
        <v>45.5</v>
      </c>
      <c r="AO43" s="2">
        <f>Tabel2425678[[#This Row],[Verbruik Bruisend liter deze maand]]/0.15</f>
        <v>303.33333333333337</v>
      </c>
      <c r="AP43" s="11">
        <v>81.900000000000006</v>
      </c>
      <c r="AQ43" s="25">
        <v>77.900000000000006</v>
      </c>
      <c r="AR43">
        <f>Tabel2425678[[#This Row],[Stand licht bruisend liter einde maand]]-Tabel2425678[[#This Row],[Stand licht bruisend liter vorige maand]]</f>
        <v>4</v>
      </c>
      <c r="AS43" s="2">
        <f>Tabel2425678[[#This Row],[Verbruik licht bruisend liter deze maand]]/0.15</f>
        <v>26.666666666666668</v>
      </c>
      <c r="AT43" s="11">
        <v>1131.5999999999999</v>
      </c>
      <c r="AU43" s="25">
        <v>1028.4000000000001</v>
      </c>
      <c r="AV43">
        <f>Tabel2425678[[#This Row],[Stand heet water liter einde maand]]-Tabel2425678[[#This Row],[Stand heet water liter vorige maand]]</f>
        <v>103.19999999999982</v>
      </c>
      <c r="AW43" s="20">
        <f>Tabel2425678[[#This Row],[Verbruik heet Water liter deze maand ]]/0.15</f>
        <v>687.99999999999886</v>
      </c>
      <c r="AX43" s="4">
        <f>Tabel2425678[[#This Row],[Aantal consumpties heet water deze maand]]+Tabel2425678[[#This Row],[Aantal consumpties licht bruisend water deze maand]]+Tabel2425678[[#This Row],[aantal consumpties Bruisend water deze maand]]+Tabel2425678[[#This Row],[Aantal consumpties gekoeld water deze maand]]+Tabel2425678[[#This Row],[Aantal consumpties Kamertemp deze maand]]</f>
        <v>1353.9999999999989</v>
      </c>
      <c r="AY43" s="4">
        <f>Tabel2425678[[#This Row],[Subtotaal waterbar in consumpties]]+Tabel2425678[[#This Row],[Subtotaal koffieautomaten]]</f>
        <v>1353.9999999999989</v>
      </c>
    </row>
    <row r="44" spans="1:51" x14ac:dyDescent="0.25">
      <c r="A44" t="s">
        <v>48</v>
      </c>
      <c r="B44" t="s">
        <v>158</v>
      </c>
      <c r="C44" t="s">
        <v>31</v>
      </c>
      <c r="E44" s="11">
        <v>4631</v>
      </c>
      <c r="F44" s="25">
        <v>3991</v>
      </c>
      <c r="G44" s="12">
        <f>Tabel2425678[[#This Row],[Stand Coffee einde maand]]-Tabel2425678[[#This Row],[Coffee vorige maand]]</f>
        <v>640</v>
      </c>
      <c r="H44" s="11">
        <v>1194</v>
      </c>
      <c r="I44" s="25">
        <v>1018</v>
      </c>
      <c r="J44" s="12">
        <f>Tabel2425678[[#This Row],[Stand Espresso Einde maand]]-Tabel2425678[[#This Row],[Espresso vorige maand]]</f>
        <v>176</v>
      </c>
      <c r="K44" s="11">
        <v>594</v>
      </c>
      <c r="L44" s="25">
        <v>516</v>
      </c>
      <c r="M44">
        <f>Tabel2425678[[#This Row],[Stand Latte Macchiato einde maand]]-Tabel2425678[[#This Row],[Latte Macchiato vorige maand]]</f>
        <v>78</v>
      </c>
      <c r="N44" s="11">
        <v>157</v>
      </c>
      <c r="O44" s="25">
        <v>137</v>
      </c>
      <c r="P44">
        <f>Tabel2425678[[#This Row],[Stand Coffee Latte einde maand]]-Tabel2425678[[#This Row],[Coffee Latte vorige maand]]</f>
        <v>20</v>
      </c>
      <c r="Q44" s="11">
        <v>4751</v>
      </c>
      <c r="R44" s="25">
        <v>4401</v>
      </c>
      <c r="S44">
        <f>Tabel2425678[[#This Row],[Stand Hot Water einde maand]]-Tabel2425678[[#This Row],[Hot Water vorige maand]]</f>
        <v>350</v>
      </c>
      <c r="T44" s="11">
        <v>1898</v>
      </c>
      <c r="U44" s="25">
        <v>1637</v>
      </c>
      <c r="V44">
        <f>Tabel2425678[[#This Row],[Stand Cappucino einde maand]]-Tabel2425678[[#This Row],[Stand Cappucino vorige maand]]</f>
        <v>261</v>
      </c>
      <c r="W44" s="11">
        <v>349</v>
      </c>
      <c r="X44" s="25">
        <v>311</v>
      </c>
      <c r="Y44">
        <f>Tabel2425678[[#This Row],[Stand Cappucino Plantaardig einde maand]]-Tabel2425678[[#This Row],[Stand Cappucino Plantaardig vorige maand]]</f>
        <v>38</v>
      </c>
      <c r="Z44" s="11">
        <v>284</v>
      </c>
      <c r="AA44" s="25">
        <v>252</v>
      </c>
      <c r="AB44" s="12">
        <f>Tabel2425678[[#This Row],[Stand Latte Macchiato Plantaardig einde maand]]-Tabel2425678[[#This Row],[Stand Latte Macchiato Plantaardig vorige maand]]</f>
        <v>32</v>
      </c>
      <c r="AC44" s="3">
        <f>Tabel2425678[[#This Row],[Verbruik Stand Latte Macchiato Plantaardig deze maand]]+Tabel2425678[[#This Row],[Verbruik  Cappucino Plantaardig deze maand]]+Tabel2425678[[#This Row],[Verbruik Cappucino deze maand]]+Tabel2425678[[#This Row],[Verbruik Hot Water deze maand]]+Tabel2425678[[#This Row],[Verbruik Coffee Latte deze maand]]+Tabel2425678[[#This Row],[Verbruik Latte Macchiato deze maand]]+Tabel2425678[[#This Row],[Verbruik Espresso deze maand]]+Tabel2425678[[#This Row],[Verbruik Coffee deze maand]]</f>
        <v>1595</v>
      </c>
      <c r="AD44" s="26"/>
      <c r="AE44" s="41"/>
      <c r="AF44" s="5"/>
      <c r="AG44" s="7"/>
      <c r="AH44" s="26"/>
      <c r="AI44" s="41"/>
      <c r="AJ44" s="5"/>
      <c r="AK44" s="7"/>
      <c r="AL44" s="26"/>
      <c r="AM44" s="26"/>
      <c r="AN44" s="5"/>
      <c r="AO44" s="7"/>
      <c r="AP44" s="26"/>
      <c r="AQ44" s="26"/>
      <c r="AR44" s="5"/>
      <c r="AS44" s="7"/>
      <c r="AT44" s="26"/>
      <c r="AU44" s="26"/>
      <c r="AV44" s="5"/>
      <c r="AW44" s="21"/>
      <c r="AX44" s="4">
        <f>Tabel2425678[[#This Row],[Aantal consumpties heet water deze maand]]+Tabel2425678[[#This Row],[Aantal consumpties licht bruisend water deze maand]]+Tabel2425678[[#This Row],[aantal consumpties Bruisend water deze maand]]+Tabel2425678[[#This Row],[Aantal consumpties gekoeld water deze maand]]+Tabel2425678[[#This Row],[Aantal consumpties Kamertemp deze maand]]</f>
        <v>0</v>
      </c>
      <c r="AY44" s="4">
        <f>Tabel2425678[[#This Row],[Subtotaal waterbar in consumpties]]+Tabel2425678[[#This Row],[Subtotaal koffieautomaten]]</f>
        <v>1595</v>
      </c>
    </row>
    <row r="45" spans="1:51" x14ac:dyDescent="0.25">
      <c r="A45" t="s">
        <v>50</v>
      </c>
      <c r="B45" t="s">
        <v>93</v>
      </c>
      <c r="C45" t="s">
        <v>36</v>
      </c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11">
        <v>51.1</v>
      </c>
      <c r="AE45" s="40">
        <v>47.1</v>
      </c>
      <c r="AF45">
        <f>Tabel2425678[[#This Row],[Stand Kamertemp liter einde maand]]-Tabel2425678[[#This Row],[Stand Kamertemp liter vorige maand]]</f>
        <v>4</v>
      </c>
      <c r="AG45" s="2">
        <f>Tabel2425678[[#This Row],[Verbruik Kamertemp liter deze maand]]/0.15</f>
        <v>26.666666666666668</v>
      </c>
      <c r="AH45" s="25">
        <v>432.2</v>
      </c>
      <c r="AI45" s="40">
        <v>359.8</v>
      </c>
      <c r="AJ45">
        <f>Tabel2425678[[#This Row],[Stand Gekoeld liter einde maand]]-Tabel2425678[[#This Row],[Stand Gekoeld liter vorige maand]]</f>
        <v>72.399999999999977</v>
      </c>
      <c r="AK45" s="2">
        <f>Tabel2425678[[#This Row],[Verbruik Gekoeld liter deze maand]]/0.15</f>
        <v>482.66666666666652</v>
      </c>
      <c r="AL45" s="25">
        <v>375.1</v>
      </c>
      <c r="AM45" s="25">
        <v>310.7</v>
      </c>
      <c r="AN45">
        <f>Tabel2425678[[#This Row],[Stand Bruisend liter einde maand]]-Tabel2425678[[#This Row],[Stand Bruisend liter vorige maand]]</f>
        <v>64.400000000000034</v>
      </c>
      <c r="AO45" s="2">
        <f>Tabel2425678[[#This Row],[Verbruik Bruisend liter deze maand]]/0.15</f>
        <v>429.3333333333336</v>
      </c>
      <c r="AP45" s="25">
        <v>187.5</v>
      </c>
      <c r="AQ45" s="25">
        <v>150.1</v>
      </c>
      <c r="AR45">
        <f>Tabel2425678[[#This Row],[Stand licht bruisend liter einde maand]]-Tabel2425678[[#This Row],[Stand licht bruisend liter vorige maand]]</f>
        <v>37.400000000000006</v>
      </c>
      <c r="AS45" s="2">
        <f>Tabel2425678[[#This Row],[Verbruik licht bruisend liter deze maand]]/0.15</f>
        <v>249.33333333333337</v>
      </c>
      <c r="AT45" s="25">
        <v>1323.6</v>
      </c>
      <c r="AU45" s="25">
        <v>1171</v>
      </c>
      <c r="AV45">
        <f>Tabel2425678[[#This Row],[Stand heet water liter einde maand]]-Tabel2425678[[#This Row],[Stand heet water liter vorige maand]]</f>
        <v>152.59999999999991</v>
      </c>
      <c r="AW45" s="20">
        <f>Tabel2425678[[#This Row],[Verbruik heet Water liter deze maand ]]/0.15</f>
        <v>1017.3333333333328</v>
      </c>
      <c r="AX45" s="4">
        <f>Tabel2425678[[#This Row],[Aantal consumpties heet water deze maand]]+Tabel2425678[[#This Row],[Aantal consumpties licht bruisend water deze maand]]+Tabel2425678[[#This Row],[aantal consumpties Bruisend water deze maand]]+Tabel2425678[[#This Row],[Aantal consumpties gekoeld water deze maand]]+Tabel2425678[[#This Row],[Aantal consumpties Kamertemp deze maand]]</f>
        <v>2205.3333333333326</v>
      </c>
      <c r="AY45" s="4">
        <f>Tabel2425678[[#This Row],[Subtotaal waterbar in consumpties]]+Tabel2425678[[#This Row],[Subtotaal koffieautomaten]]</f>
        <v>2205.3333333333326</v>
      </c>
    </row>
    <row r="46" spans="1:51" x14ac:dyDescent="0.25">
      <c r="A46" t="s">
        <v>52</v>
      </c>
      <c r="B46" t="s">
        <v>94</v>
      </c>
      <c r="C46" t="s">
        <v>31</v>
      </c>
      <c r="E46" s="11">
        <v>2222</v>
      </c>
      <c r="F46" s="25">
        <v>1947</v>
      </c>
      <c r="G46" s="12">
        <f>Tabel2425678[[#This Row],[Stand Coffee einde maand]]-Tabel2425678[[#This Row],[Coffee vorige maand]]</f>
        <v>275</v>
      </c>
      <c r="H46" s="11">
        <v>1343</v>
      </c>
      <c r="I46" s="25">
        <v>1137</v>
      </c>
      <c r="J46" s="12">
        <f>Tabel2425678[[#This Row],[Stand Espresso Einde maand]]-Tabel2425678[[#This Row],[Espresso vorige maand]]</f>
        <v>206</v>
      </c>
      <c r="K46" s="11">
        <v>327</v>
      </c>
      <c r="L46" s="25">
        <v>288</v>
      </c>
      <c r="M46">
        <f>Tabel2425678[[#This Row],[Stand Latte Macchiato einde maand]]-Tabel2425678[[#This Row],[Latte Macchiato vorige maand]]</f>
        <v>39</v>
      </c>
      <c r="N46" s="11">
        <v>202</v>
      </c>
      <c r="O46" s="25">
        <v>190</v>
      </c>
      <c r="P46">
        <f>Tabel2425678[[#This Row],[Stand Coffee Latte einde maand]]-Tabel2425678[[#This Row],[Coffee Latte vorige maand]]</f>
        <v>12</v>
      </c>
      <c r="Q46" s="11">
        <v>4272</v>
      </c>
      <c r="R46" s="25">
        <v>3841</v>
      </c>
      <c r="S46">
        <f>Tabel2425678[[#This Row],[Stand Hot Water einde maand]]-Tabel2425678[[#This Row],[Hot Water vorige maand]]</f>
        <v>431</v>
      </c>
      <c r="T46" s="11">
        <v>2044</v>
      </c>
      <c r="U46" s="25">
        <v>1810</v>
      </c>
      <c r="V46">
        <f>Tabel2425678[[#This Row],[Stand Cappucino einde maand]]-Tabel2425678[[#This Row],[Stand Cappucino vorige maand]]</f>
        <v>234</v>
      </c>
      <c r="W46" s="11">
        <v>244</v>
      </c>
      <c r="X46" s="25">
        <v>221</v>
      </c>
      <c r="Y46">
        <f>Tabel2425678[[#This Row],[Stand Cappucino Plantaardig einde maand]]-Tabel2425678[[#This Row],[Stand Cappucino Plantaardig vorige maand]]</f>
        <v>23</v>
      </c>
      <c r="Z46" s="11">
        <v>54</v>
      </c>
      <c r="AA46" s="25">
        <v>44</v>
      </c>
      <c r="AB46" s="12">
        <f>Tabel2425678[[#This Row],[Stand Latte Macchiato Plantaardig einde maand]]-Tabel2425678[[#This Row],[Stand Latte Macchiato Plantaardig vorige maand]]</f>
        <v>10</v>
      </c>
      <c r="AC46" s="3">
        <f>Tabel2425678[[#This Row],[Verbruik Stand Latte Macchiato Plantaardig deze maand]]+Tabel2425678[[#This Row],[Verbruik  Cappucino Plantaardig deze maand]]+Tabel2425678[[#This Row],[Verbruik Cappucino deze maand]]+Tabel2425678[[#This Row],[Verbruik Hot Water deze maand]]+Tabel2425678[[#This Row],[Verbruik Coffee Latte deze maand]]+Tabel2425678[[#This Row],[Verbruik Latte Macchiato deze maand]]+Tabel2425678[[#This Row],[Verbruik Espresso deze maand]]+Tabel2425678[[#This Row],[Verbruik Coffee deze maand]]</f>
        <v>1230</v>
      </c>
      <c r="AD46" s="26"/>
      <c r="AE46" s="41"/>
      <c r="AF46" s="5"/>
      <c r="AG46" s="7"/>
      <c r="AH46" s="26"/>
      <c r="AI46" s="41"/>
      <c r="AJ46" s="5"/>
      <c r="AK46" s="7"/>
      <c r="AL46" s="26"/>
      <c r="AM46" s="26"/>
      <c r="AN46" s="5"/>
      <c r="AO46" s="7"/>
      <c r="AP46" s="26"/>
      <c r="AQ46" s="26"/>
      <c r="AR46" s="5"/>
      <c r="AS46" s="7"/>
      <c r="AT46" s="26"/>
      <c r="AU46" s="26"/>
      <c r="AV46" s="5"/>
      <c r="AW46" s="21"/>
      <c r="AX46" s="8">
        <f>Tabel2425678[[#This Row],[Aantal consumpties heet water deze maand]]+Tabel2425678[[#This Row],[Aantal consumpties licht bruisend water deze maand]]+Tabel2425678[[#This Row],[aantal consumpties Bruisend water deze maand]]+Tabel2425678[[#This Row],[Aantal consumpties gekoeld water deze maand]]+Tabel2425678[[#This Row],[Aantal consumpties Kamertemp deze maand]]</f>
        <v>0</v>
      </c>
      <c r="AY46" s="4">
        <f>Tabel2425678[[#This Row],[Subtotaal waterbar in consumpties]]+Tabel2425678[[#This Row],[Subtotaal koffieautomaten]]</f>
        <v>1230</v>
      </c>
    </row>
    <row r="47" spans="1:51" x14ac:dyDescent="0.25">
      <c r="A47" t="s">
        <v>54</v>
      </c>
      <c r="B47" t="s">
        <v>95</v>
      </c>
      <c r="C47" t="s">
        <v>47</v>
      </c>
      <c r="E47" s="11">
        <v>3160</v>
      </c>
      <c r="F47" s="25">
        <v>2813</v>
      </c>
      <c r="G47" s="12">
        <f>Tabel2425678[[#This Row],[Stand Coffee einde maand]]-Tabel2425678[[#This Row],[Coffee vorige maand]]</f>
        <v>347</v>
      </c>
      <c r="H47" s="11">
        <v>884</v>
      </c>
      <c r="I47" s="25">
        <v>798</v>
      </c>
      <c r="J47" s="12">
        <f>Tabel2425678[[#This Row],[Stand Espresso Einde maand]]-Tabel2425678[[#This Row],[Espresso vorige maand]]</f>
        <v>86</v>
      </c>
      <c r="K47" s="11">
        <v>305</v>
      </c>
      <c r="L47" s="25">
        <v>288</v>
      </c>
      <c r="M47">
        <f>Tabel2425678[[#This Row],[Stand Latte Macchiato einde maand]]-Tabel2425678[[#This Row],[Latte Macchiato vorige maand]]</f>
        <v>17</v>
      </c>
      <c r="N47" s="11">
        <v>192</v>
      </c>
      <c r="O47" s="25">
        <v>177</v>
      </c>
      <c r="P47">
        <f>Tabel2425678[[#This Row],[Stand Coffee Latte einde maand]]-Tabel2425678[[#This Row],[Coffee Latte vorige maand]]</f>
        <v>15</v>
      </c>
      <c r="Q47" s="11">
        <v>0</v>
      </c>
      <c r="R47" s="25">
        <v>0</v>
      </c>
      <c r="S47">
        <f>Tabel2425678[[#This Row],[Stand Hot Water einde maand]]-Tabel2425678[[#This Row],[Hot Water vorige maand]]</f>
        <v>0</v>
      </c>
      <c r="T47" s="11">
        <v>1422</v>
      </c>
      <c r="U47" s="25">
        <v>1281</v>
      </c>
      <c r="V47">
        <f>Tabel2425678[[#This Row],[Stand Cappucino einde maand]]-Tabel2425678[[#This Row],[Stand Cappucino vorige maand]]</f>
        <v>141</v>
      </c>
      <c r="W47" s="11">
        <v>495</v>
      </c>
      <c r="X47" s="25">
        <v>454</v>
      </c>
      <c r="Y47">
        <f>Tabel2425678[[#This Row],[Stand Cappucino Plantaardig einde maand]]-Tabel2425678[[#This Row],[Stand Cappucino Plantaardig vorige maand]]</f>
        <v>41</v>
      </c>
      <c r="Z47" s="11">
        <v>287</v>
      </c>
      <c r="AA47" s="25">
        <v>268</v>
      </c>
      <c r="AB47" s="12">
        <f>Tabel2425678[[#This Row],[Stand Latte Macchiato Plantaardig einde maand]]-Tabel2425678[[#This Row],[Stand Latte Macchiato Plantaardig vorige maand]]</f>
        <v>19</v>
      </c>
      <c r="AC47" s="3">
        <f>Tabel2425678[[#This Row],[Verbruik Stand Latte Macchiato Plantaardig deze maand]]+Tabel2425678[[#This Row],[Verbruik  Cappucino Plantaardig deze maand]]+Tabel2425678[[#This Row],[Verbruik Cappucino deze maand]]+Tabel2425678[[#This Row],[Verbruik Hot Water deze maand]]+Tabel2425678[[#This Row],[Verbruik Coffee Latte deze maand]]+Tabel2425678[[#This Row],[Verbruik Latte Macchiato deze maand]]+Tabel2425678[[#This Row],[Verbruik Espresso deze maand]]+Tabel2425678[[#This Row],[Verbruik Coffee deze maand]]</f>
        <v>666</v>
      </c>
      <c r="AD47" s="11">
        <v>126.9</v>
      </c>
      <c r="AE47" s="40">
        <v>104.4</v>
      </c>
      <c r="AF47">
        <f>Tabel2425678[[#This Row],[Stand Kamertemp liter einde maand]]-Tabel2425678[[#This Row],[Stand Kamertemp liter vorige maand]]</f>
        <v>22.5</v>
      </c>
      <c r="AG47" s="2">
        <f>Tabel2425678[[#This Row],[Verbruik Kamertemp liter deze maand]]/0.15</f>
        <v>150</v>
      </c>
      <c r="AH47" s="11">
        <v>528.70000000000005</v>
      </c>
      <c r="AI47" s="40">
        <v>449.5</v>
      </c>
      <c r="AJ47">
        <f>Tabel2425678[[#This Row],[Stand Gekoeld liter einde maand]]-Tabel2425678[[#This Row],[Stand Gekoeld liter vorige maand]]</f>
        <v>79.200000000000045</v>
      </c>
      <c r="AK47" s="2">
        <f>Tabel2425678[[#This Row],[Verbruik Gekoeld liter deze maand]]/0.15</f>
        <v>528.00000000000034</v>
      </c>
      <c r="AL47" s="11">
        <v>435.2</v>
      </c>
      <c r="AM47" s="25">
        <v>373</v>
      </c>
      <c r="AN47">
        <f>Tabel2425678[[#This Row],[Stand Bruisend liter einde maand]]-Tabel2425678[[#This Row],[Stand Bruisend liter vorige maand]]</f>
        <v>62.199999999999989</v>
      </c>
      <c r="AO47" s="2">
        <f>Tabel2425678[[#This Row],[Verbruik Bruisend liter deze maand]]/0.15</f>
        <v>414.66666666666663</v>
      </c>
      <c r="AP47" s="11">
        <v>191.2</v>
      </c>
      <c r="AQ47" s="25">
        <v>159.1</v>
      </c>
      <c r="AR47">
        <f>Tabel2425678[[#This Row],[Stand licht bruisend liter einde maand]]-Tabel2425678[[#This Row],[Stand licht bruisend liter vorige maand]]</f>
        <v>32.099999999999994</v>
      </c>
      <c r="AS47" s="2">
        <f>Tabel2425678[[#This Row],[Verbruik licht bruisend liter deze maand]]/0.15</f>
        <v>213.99999999999997</v>
      </c>
      <c r="AT47" s="11">
        <v>1582.7</v>
      </c>
      <c r="AU47" s="25">
        <v>1363.4</v>
      </c>
      <c r="AV47">
        <f>Tabel2425678[[#This Row],[Stand heet water liter einde maand]]-Tabel2425678[[#This Row],[Stand heet water liter vorige maand]]</f>
        <v>219.29999999999995</v>
      </c>
      <c r="AW47" s="20">
        <f>Tabel2425678[[#This Row],[Verbruik heet Water liter deze maand ]]/0.15</f>
        <v>1461.9999999999998</v>
      </c>
      <c r="AX47" s="4">
        <f>Tabel2425678[[#This Row],[Aantal consumpties heet water deze maand]]+Tabel2425678[[#This Row],[Aantal consumpties licht bruisend water deze maand]]+Tabel2425678[[#This Row],[aantal consumpties Bruisend water deze maand]]+Tabel2425678[[#This Row],[Aantal consumpties gekoeld water deze maand]]+Tabel2425678[[#This Row],[Aantal consumpties Kamertemp deze maand]]</f>
        <v>2768.666666666667</v>
      </c>
      <c r="AY47" s="4">
        <f>Tabel2425678[[#This Row],[Subtotaal waterbar in consumpties]]+Tabel2425678[[#This Row],[Subtotaal koffieautomaten]]</f>
        <v>3434.666666666667</v>
      </c>
    </row>
    <row r="48" spans="1:51" x14ac:dyDescent="0.25">
      <c r="A48" t="s">
        <v>56</v>
      </c>
      <c r="B48" t="s">
        <v>96</v>
      </c>
      <c r="C48" t="s">
        <v>36</v>
      </c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11">
        <v>126.5</v>
      </c>
      <c r="AE48" s="40">
        <v>103.2</v>
      </c>
      <c r="AF48">
        <f>Tabel2425678[[#This Row],[Stand Kamertemp liter einde maand]]-Tabel2425678[[#This Row],[Stand Kamertemp liter vorige maand]]</f>
        <v>23.299999999999997</v>
      </c>
      <c r="AG48" s="2">
        <f>Tabel2425678[[#This Row],[Verbruik Kamertemp liter deze maand]]/0.15</f>
        <v>155.33333333333331</v>
      </c>
      <c r="AH48" s="11">
        <v>786.7</v>
      </c>
      <c r="AI48" s="40">
        <v>621.9</v>
      </c>
      <c r="AJ48">
        <f>Tabel2425678[[#This Row],[Stand Gekoeld liter einde maand]]-Tabel2425678[[#This Row],[Stand Gekoeld liter vorige maand]]</f>
        <v>164.80000000000007</v>
      </c>
      <c r="AK48" s="2">
        <f>Tabel2425678[[#This Row],[Verbruik Gekoeld liter deze maand]]/0.15</f>
        <v>1098.6666666666672</v>
      </c>
      <c r="AL48" s="11">
        <v>346.5</v>
      </c>
      <c r="AM48" s="25">
        <v>294.5</v>
      </c>
      <c r="AN48">
        <f>Tabel2425678[[#This Row],[Stand Bruisend liter einde maand]]-Tabel2425678[[#This Row],[Stand Bruisend liter vorige maand]]</f>
        <v>52</v>
      </c>
      <c r="AO48" s="2">
        <f>Tabel2425678[[#This Row],[Verbruik Bruisend liter deze maand]]/0.15</f>
        <v>346.66666666666669</v>
      </c>
      <c r="AP48" s="11">
        <v>273.2</v>
      </c>
      <c r="AQ48" s="25">
        <v>228.5</v>
      </c>
      <c r="AR48">
        <f>Tabel2425678[[#This Row],[Stand licht bruisend liter einde maand]]-Tabel2425678[[#This Row],[Stand licht bruisend liter vorige maand]]</f>
        <v>44.699999999999989</v>
      </c>
      <c r="AS48" s="2">
        <f>Tabel2425678[[#This Row],[Verbruik licht bruisend liter deze maand]]/0.15</f>
        <v>297.99999999999994</v>
      </c>
      <c r="AT48" s="11">
        <v>2448.1999999999998</v>
      </c>
      <c r="AU48" s="25">
        <v>2174.9</v>
      </c>
      <c r="AV48">
        <f>Tabel2425678[[#This Row],[Stand heet water liter einde maand]]-Tabel2425678[[#This Row],[Stand heet water liter vorige maand]]</f>
        <v>273.29999999999973</v>
      </c>
      <c r="AW48" s="20">
        <f>Tabel2425678[[#This Row],[Verbruik heet Water liter deze maand ]]/0.15</f>
        <v>1821.9999999999982</v>
      </c>
      <c r="AX48" s="4">
        <f>Tabel2425678[[#This Row],[Aantal consumpties heet water deze maand]]+Tabel2425678[[#This Row],[Aantal consumpties licht bruisend water deze maand]]+Tabel2425678[[#This Row],[aantal consumpties Bruisend water deze maand]]+Tabel2425678[[#This Row],[Aantal consumpties gekoeld water deze maand]]+Tabel2425678[[#This Row],[Aantal consumpties Kamertemp deze maand]]</f>
        <v>3720.6666666666656</v>
      </c>
      <c r="AY48" s="4">
        <f>Tabel2425678[[#This Row],[Subtotaal waterbar in consumpties]]+Tabel2425678[[#This Row],[Subtotaal koffieautomaten]]</f>
        <v>3720.6666666666656</v>
      </c>
    </row>
    <row r="49" spans="1:51" x14ac:dyDescent="0.25">
      <c r="A49" t="s">
        <v>58</v>
      </c>
      <c r="B49" t="s">
        <v>97</v>
      </c>
      <c r="C49" t="s">
        <v>31</v>
      </c>
      <c r="E49" s="11">
        <v>2951</v>
      </c>
      <c r="F49" s="25">
        <v>2624</v>
      </c>
      <c r="G49" s="12">
        <f>Tabel2425678[[#This Row],[Stand Coffee einde maand]]-Tabel2425678[[#This Row],[Coffee vorige maand]]</f>
        <v>327</v>
      </c>
      <c r="H49" s="11">
        <v>735</v>
      </c>
      <c r="I49" s="25">
        <v>647</v>
      </c>
      <c r="J49" s="12">
        <f>Tabel2425678[[#This Row],[Stand Espresso Einde maand]]-Tabel2425678[[#This Row],[Espresso vorige maand]]</f>
        <v>88</v>
      </c>
      <c r="K49" s="11">
        <v>356</v>
      </c>
      <c r="L49" s="25">
        <v>291</v>
      </c>
      <c r="M49">
        <f>Tabel2425678[[#This Row],[Stand Latte Macchiato einde maand]]-Tabel2425678[[#This Row],[Latte Macchiato vorige maand]]</f>
        <v>65</v>
      </c>
      <c r="N49" s="11">
        <v>362</v>
      </c>
      <c r="O49" s="25">
        <v>328</v>
      </c>
      <c r="P49">
        <f>Tabel2425678[[#This Row],[Stand Coffee Latte einde maand]]-Tabel2425678[[#This Row],[Coffee Latte vorige maand]]</f>
        <v>34</v>
      </c>
      <c r="Q49" s="11">
        <v>3015</v>
      </c>
      <c r="R49" s="25">
        <v>2753</v>
      </c>
      <c r="S49">
        <f>Tabel2425678[[#This Row],[Stand Hot Water einde maand]]-Tabel2425678[[#This Row],[Hot Water vorige maand]]</f>
        <v>262</v>
      </c>
      <c r="T49" s="11">
        <v>1759</v>
      </c>
      <c r="U49" s="25">
        <v>1548</v>
      </c>
      <c r="V49">
        <f>Tabel2425678[[#This Row],[Stand Cappucino einde maand]]-Tabel2425678[[#This Row],[Stand Cappucino vorige maand]]</f>
        <v>211</v>
      </c>
      <c r="W49" s="11">
        <v>651</v>
      </c>
      <c r="X49" s="25">
        <v>570</v>
      </c>
      <c r="Y49">
        <f>Tabel2425678[[#This Row],[Stand Cappucino Plantaardig einde maand]]-Tabel2425678[[#This Row],[Stand Cappucino Plantaardig vorige maand]]</f>
        <v>81</v>
      </c>
      <c r="Z49" s="11">
        <v>119</v>
      </c>
      <c r="AA49" s="25">
        <v>113</v>
      </c>
      <c r="AB49" s="12">
        <f>Tabel2425678[[#This Row],[Stand Latte Macchiato Plantaardig einde maand]]-Tabel2425678[[#This Row],[Stand Latte Macchiato Plantaardig vorige maand]]</f>
        <v>6</v>
      </c>
      <c r="AC49" s="3">
        <f>Tabel2425678[[#This Row],[Verbruik Stand Latte Macchiato Plantaardig deze maand]]+Tabel2425678[[#This Row],[Verbruik  Cappucino Plantaardig deze maand]]+Tabel2425678[[#This Row],[Verbruik Cappucino deze maand]]+Tabel2425678[[#This Row],[Verbruik Hot Water deze maand]]+Tabel2425678[[#This Row],[Verbruik Coffee Latte deze maand]]+Tabel2425678[[#This Row],[Verbruik Latte Macchiato deze maand]]+Tabel2425678[[#This Row],[Verbruik Espresso deze maand]]+Tabel2425678[[#This Row],[Verbruik Coffee deze maand]]</f>
        <v>1074</v>
      </c>
      <c r="AD49" s="26"/>
      <c r="AE49" s="41"/>
      <c r="AF49" s="5"/>
      <c r="AG49" s="7"/>
      <c r="AH49" s="26"/>
      <c r="AI49" s="41"/>
      <c r="AJ49" s="5"/>
      <c r="AK49" s="7"/>
      <c r="AL49" s="26"/>
      <c r="AM49" s="26"/>
      <c r="AN49" s="5"/>
      <c r="AO49" s="7"/>
      <c r="AP49" s="26"/>
      <c r="AQ49" s="26"/>
      <c r="AR49" s="5"/>
      <c r="AS49" s="7"/>
      <c r="AT49" s="26"/>
      <c r="AU49" s="26"/>
      <c r="AV49" s="5"/>
      <c r="AW49" s="21"/>
      <c r="AX49" s="8">
        <f>Tabel2425678[[#This Row],[Aantal consumpties heet water deze maand]]+Tabel2425678[[#This Row],[Aantal consumpties licht bruisend water deze maand]]+Tabel2425678[[#This Row],[aantal consumpties Bruisend water deze maand]]+Tabel2425678[[#This Row],[Aantal consumpties gekoeld water deze maand]]+Tabel2425678[[#This Row],[Aantal consumpties Kamertemp deze maand]]</f>
        <v>0</v>
      </c>
      <c r="AY49" s="4">
        <f>Tabel2425678[[#This Row],[Subtotaal waterbar in consumpties]]+Tabel2425678[[#This Row],[Subtotaal koffieautomaten]]</f>
        <v>1074</v>
      </c>
    </row>
    <row r="50" spans="1:51" x14ac:dyDescent="0.25">
      <c r="A50" t="s">
        <v>60</v>
      </c>
      <c r="B50" t="s">
        <v>98</v>
      </c>
      <c r="C50" t="s">
        <v>47</v>
      </c>
      <c r="E50" s="11">
        <v>1425</v>
      </c>
      <c r="F50" s="25">
        <v>1296</v>
      </c>
      <c r="G50" s="12">
        <f>Tabel2425678[[#This Row],[Stand Coffee einde maand]]-Tabel2425678[[#This Row],[Coffee vorige maand]]</f>
        <v>129</v>
      </c>
      <c r="H50" s="11">
        <v>434</v>
      </c>
      <c r="I50" s="25">
        <v>379</v>
      </c>
      <c r="J50" s="12">
        <f>Tabel2425678[[#This Row],[Stand Espresso Einde maand]]-Tabel2425678[[#This Row],[Espresso vorige maand]]</f>
        <v>55</v>
      </c>
      <c r="K50" s="11">
        <v>312</v>
      </c>
      <c r="L50" s="25">
        <v>277</v>
      </c>
      <c r="M50">
        <f>Tabel2425678[[#This Row],[Stand Latte Macchiato einde maand]]-Tabel2425678[[#This Row],[Latte Macchiato vorige maand]]</f>
        <v>35</v>
      </c>
      <c r="N50" s="11">
        <v>165</v>
      </c>
      <c r="O50" s="25">
        <v>137</v>
      </c>
      <c r="P50">
        <f>Tabel2425678[[#This Row],[Stand Coffee Latte einde maand]]-Tabel2425678[[#This Row],[Coffee Latte vorige maand]]</f>
        <v>28</v>
      </c>
      <c r="Q50" s="11">
        <v>1</v>
      </c>
      <c r="R50" s="25">
        <v>1</v>
      </c>
      <c r="S50">
        <f>Tabel2425678[[#This Row],[Stand Hot Water einde maand]]-Tabel2425678[[#This Row],[Hot Water vorige maand]]</f>
        <v>0</v>
      </c>
      <c r="T50" s="11">
        <v>923</v>
      </c>
      <c r="U50" s="25">
        <v>830</v>
      </c>
      <c r="V50">
        <f>Tabel2425678[[#This Row],[Stand Cappucino einde maand]]-Tabel2425678[[#This Row],[Stand Cappucino vorige maand]]</f>
        <v>93</v>
      </c>
      <c r="W50" s="11">
        <v>246</v>
      </c>
      <c r="X50" s="25">
        <v>228</v>
      </c>
      <c r="Y50">
        <f>Tabel2425678[[#This Row],[Stand Cappucino Plantaardig einde maand]]-Tabel2425678[[#This Row],[Stand Cappucino Plantaardig vorige maand]]</f>
        <v>18</v>
      </c>
      <c r="Z50" s="11">
        <v>79</v>
      </c>
      <c r="AA50" s="25">
        <v>70</v>
      </c>
      <c r="AB50" s="12">
        <f>Tabel2425678[[#This Row],[Stand Latte Macchiato Plantaardig einde maand]]-Tabel2425678[[#This Row],[Stand Latte Macchiato Plantaardig vorige maand]]</f>
        <v>9</v>
      </c>
      <c r="AC50" s="3">
        <f>Tabel2425678[[#This Row],[Verbruik Stand Latte Macchiato Plantaardig deze maand]]+Tabel2425678[[#This Row],[Verbruik  Cappucino Plantaardig deze maand]]+Tabel2425678[[#This Row],[Verbruik Cappucino deze maand]]+Tabel2425678[[#This Row],[Verbruik Hot Water deze maand]]+Tabel2425678[[#This Row],[Verbruik Coffee Latte deze maand]]+Tabel2425678[[#This Row],[Verbruik Latte Macchiato deze maand]]+Tabel2425678[[#This Row],[Verbruik Espresso deze maand]]+Tabel2425678[[#This Row],[Verbruik Coffee deze maand]]</f>
        <v>367</v>
      </c>
      <c r="AD50" s="11">
        <v>90.7</v>
      </c>
      <c r="AE50" s="40">
        <v>84.8</v>
      </c>
      <c r="AF50">
        <f>Tabel2425678[[#This Row],[Stand Kamertemp liter einde maand]]-Tabel2425678[[#This Row],[Stand Kamertemp liter vorige maand]]</f>
        <v>5.9000000000000057</v>
      </c>
      <c r="AG50" s="2">
        <f>Tabel2425678[[#This Row],[Verbruik Kamertemp liter deze maand]]/0.15</f>
        <v>39.333333333333371</v>
      </c>
      <c r="AH50" s="11">
        <v>466.6</v>
      </c>
      <c r="AI50" s="40">
        <v>401.6</v>
      </c>
      <c r="AJ50">
        <f>Tabel2425678[[#This Row],[Stand Gekoeld liter einde maand]]-Tabel2425678[[#This Row],[Stand Gekoeld liter vorige maand]]</f>
        <v>65</v>
      </c>
      <c r="AK50" s="2">
        <f>Tabel2425678[[#This Row],[Verbruik Gekoeld liter deze maand]]/0.15</f>
        <v>433.33333333333337</v>
      </c>
      <c r="AL50" s="11">
        <v>260</v>
      </c>
      <c r="AM50" s="25">
        <v>235.2</v>
      </c>
      <c r="AN50">
        <f>Tabel2425678[[#This Row],[Stand Bruisend liter einde maand]]-Tabel2425678[[#This Row],[Stand Bruisend liter vorige maand]]</f>
        <v>24.800000000000011</v>
      </c>
      <c r="AO50" s="2">
        <f>Tabel2425678[[#This Row],[Verbruik Bruisend liter deze maand]]/0.15</f>
        <v>165.33333333333343</v>
      </c>
      <c r="AP50" s="11">
        <v>98.2</v>
      </c>
      <c r="AQ50" s="25">
        <v>87.5</v>
      </c>
      <c r="AR50">
        <f>Tabel2425678[[#This Row],[Stand licht bruisend liter einde maand]]-Tabel2425678[[#This Row],[Stand licht bruisend liter vorige maand]]</f>
        <v>10.700000000000003</v>
      </c>
      <c r="AS50" s="2">
        <f>Tabel2425678[[#This Row],[Verbruik licht bruisend liter deze maand]]/0.15</f>
        <v>71.333333333333357</v>
      </c>
      <c r="AT50" s="11">
        <v>1407.3</v>
      </c>
      <c r="AU50" s="25">
        <v>1230.0999999999999</v>
      </c>
      <c r="AV50">
        <f>Tabel2425678[[#This Row],[Stand heet water liter einde maand]]-Tabel2425678[[#This Row],[Stand heet water liter vorige maand]]</f>
        <v>177.20000000000005</v>
      </c>
      <c r="AW50" s="20">
        <f>Tabel2425678[[#This Row],[Verbruik heet Water liter deze maand ]]/0.15</f>
        <v>1181.3333333333337</v>
      </c>
      <c r="AX50" s="4">
        <f>Tabel2425678[[#This Row],[Aantal consumpties heet water deze maand]]+Tabel2425678[[#This Row],[Aantal consumpties licht bruisend water deze maand]]+Tabel2425678[[#This Row],[aantal consumpties Bruisend water deze maand]]+Tabel2425678[[#This Row],[Aantal consumpties gekoeld water deze maand]]+Tabel2425678[[#This Row],[Aantal consumpties Kamertemp deze maand]]</f>
        <v>1890.6666666666674</v>
      </c>
      <c r="AY50" s="4">
        <f>Tabel2425678[[#This Row],[Subtotaal waterbar in consumpties]]+Tabel2425678[[#This Row],[Subtotaal koffieautomaten]]</f>
        <v>2257.6666666666674</v>
      </c>
    </row>
    <row r="51" spans="1:51" x14ac:dyDescent="0.25">
      <c r="A51" s="3" t="s">
        <v>99</v>
      </c>
      <c r="F51" s="25"/>
      <c r="H51" s="11"/>
      <c r="I51" s="25"/>
      <c r="J51" s="12"/>
      <c r="K51" s="11"/>
      <c r="L51" s="25"/>
      <c r="O51" s="25"/>
      <c r="R51" s="25"/>
      <c r="U51" s="25"/>
      <c r="X51" s="25"/>
      <c r="AA51" s="25"/>
      <c r="AC51" s="3">
        <f>Tabel2425678[[#This Row],[Verbruik Stand Latte Macchiato Plantaardig deze maand]]+Tabel2425678[[#This Row],[Verbruik  Cappucino Plantaardig deze maand]]+Tabel2425678[[#This Row],[Verbruik Cappucino deze maand]]+Tabel2425678[[#This Row],[Verbruik Hot Water deze maand]]+Tabel2425678[[#This Row],[Verbruik Coffee Latte deze maand]]+Tabel2425678[[#This Row],[Verbruik Latte Macchiato deze maand]]+Tabel2425678[[#This Row],[Verbruik Espresso deze maand]]+Tabel2425678[[#This Row],[Verbruik Coffee deze maand]]</f>
        <v>0</v>
      </c>
      <c r="AE51" s="40"/>
      <c r="AG51" s="2"/>
      <c r="AI51" s="40"/>
      <c r="AK51" s="2"/>
      <c r="AM51" s="25"/>
      <c r="AO51" s="2"/>
      <c r="AQ51" s="25"/>
      <c r="AS51" s="2"/>
      <c r="AU51" s="25"/>
      <c r="AV51">
        <f>Tabel2425678[[#This Row],[Stand heet water liter einde maand]]-Tabel2425678[[#This Row],[Stand heet water liter vorige maand]]</f>
        <v>0</v>
      </c>
      <c r="AW51" s="20">
        <f>Tabel2425678[[#This Row],[Verbruik heet Water liter deze maand ]]/0.15</f>
        <v>0</v>
      </c>
      <c r="AX51" s="4"/>
      <c r="AY51" s="4">
        <f>Tabel2425678[[#This Row],[Subtotaal waterbar in consumpties]]+Tabel2425678[[#This Row],[Subtotaal koffieautomaten]]</f>
        <v>0</v>
      </c>
    </row>
    <row r="52" spans="1:51" x14ac:dyDescent="0.25">
      <c r="A52" t="s">
        <v>43</v>
      </c>
      <c r="B52" t="s">
        <v>100</v>
      </c>
      <c r="C52" t="s">
        <v>31</v>
      </c>
      <c r="E52" s="11">
        <v>2475</v>
      </c>
      <c r="F52" s="25">
        <v>2224</v>
      </c>
      <c r="G52" s="12">
        <f>Tabel2425678[[#This Row],[Stand Coffee einde maand]]-Tabel2425678[[#This Row],[Coffee vorige maand]]</f>
        <v>251</v>
      </c>
      <c r="H52" s="11">
        <v>794</v>
      </c>
      <c r="I52" s="25">
        <v>693</v>
      </c>
      <c r="J52" s="12">
        <f>Tabel2425678[[#This Row],[Stand Espresso Einde maand]]-Tabel2425678[[#This Row],[Espresso vorige maand]]</f>
        <v>101</v>
      </c>
      <c r="K52" s="11">
        <v>364</v>
      </c>
      <c r="L52" s="25">
        <v>326</v>
      </c>
      <c r="M52">
        <f>Tabel2425678[[#This Row],[Stand Latte Macchiato einde maand]]-Tabel2425678[[#This Row],[Latte Macchiato vorige maand]]</f>
        <v>38</v>
      </c>
      <c r="N52" s="11">
        <v>205</v>
      </c>
      <c r="O52" s="25">
        <v>190</v>
      </c>
      <c r="P52">
        <f>Tabel2425678[[#This Row],[Stand Coffee Latte einde maand]]-Tabel2425678[[#This Row],[Coffee Latte vorige maand]]</f>
        <v>15</v>
      </c>
      <c r="Q52" s="11">
        <v>6449</v>
      </c>
      <c r="R52" s="25">
        <v>5860</v>
      </c>
      <c r="S52">
        <f>Tabel2425678[[#This Row],[Stand Hot Water einde maand]]-Tabel2425678[[#This Row],[Hot Water vorige maand]]</f>
        <v>589</v>
      </c>
      <c r="T52" s="11">
        <v>781</v>
      </c>
      <c r="U52" s="25">
        <v>631</v>
      </c>
      <c r="V52">
        <f>Tabel2425678[[#This Row],[Stand Cappucino einde maand]]-Tabel2425678[[#This Row],[Stand Cappucino vorige maand]]</f>
        <v>150</v>
      </c>
      <c r="W52" s="11">
        <v>189</v>
      </c>
      <c r="X52" s="25">
        <v>161</v>
      </c>
      <c r="Y52">
        <f>Tabel2425678[[#This Row],[Stand Cappucino Plantaardig einde maand]]-Tabel2425678[[#This Row],[Stand Cappucino Plantaardig vorige maand]]</f>
        <v>28</v>
      </c>
      <c r="Z52" s="11">
        <v>87</v>
      </c>
      <c r="AA52" s="25">
        <v>86</v>
      </c>
      <c r="AB52" s="12">
        <f>Tabel2425678[[#This Row],[Stand Latte Macchiato Plantaardig einde maand]]-Tabel2425678[[#This Row],[Stand Latte Macchiato Plantaardig vorige maand]]</f>
        <v>1</v>
      </c>
      <c r="AC52" s="3">
        <f>Tabel2425678[[#This Row],[Verbruik Stand Latte Macchiato Plantaardig deze maand]]+Tabel2425678[[#This Row],[Verbruik  Cappucino Plantaardig deze maand]]+Tabel2425678[[#This Row],[Verbruik Cappucino deze maand]]+Tabel2425678[[#This Row],[Verbruik Hot Water deze maand]]+Tabel2425678[[#This Row],[Verbruik Coffee Latte deze maand]]+Tabel2425678[[#This Row],[Verbruik Latte Macchiato deze maand]]+Tabel2425678[[#This Row],[Verbruik Espresso deze maand]]+Tabel2425678[[#This Row],[Verbruik Coffee deze maand]]</f>
        <v>1173</v>
      </c>
      <c r="AD52" s="26"/>
      <c r="AE52" s="41"/>
      <c r="AF52" s="5"/>
      <c r="AG52" s="7"/>
      <c r="AH52" s="26"/>
      <c r="AI52" s="41"/>
      <c r="AJ52" s="5"/>
      <c r="AK52" s="7"/>
      <c r="AL52" s="26"/>
      <c r="AM52" s="26"/>
      <c r="AN52" s="5"/>
      <c r="AO52" s="7"/>
      <c r="AP52" s="26"/>
      <c r="AQ52" s="26"/>
      <c r="AR52" s="5"/>
      <c r="AS52" s="7"/>
      <c r="AT52" s="26"/>
      <c r="AU52" s="26"/>
      <c r="AV52" s="5"/>
      <c r="AW52" s="21"/>
      <c r="AX52" s="8"/>
      <c r="AY52" s="4">
        <f>Tabel2425678[[#This Row],[Subtotaal waterbar in consumpties]]+Tabel2425678[[#This Row],[Subtotaal koffieautomaten]]</f>
        <v>1173</v>
      </c>
    </row>
    <row r="53" spans="1:51" x14ac:dyDescent="0.25">
      <c r="A53" t="s">
        <v>45</v>
      </c>
      <c r="B53" t="s">
        <v>101</v>
      </c>
      <c r="C53" t="s">
        <v>47</v>
      </c>
      <c r="E53" s="11">
        <v>2489</v>
      </c>
      <c r="F53" s="25">
        <v>2340</v>
      </c>
      <c r="G53" s="12">
        <f>Tabel2425678[[#This Row],[Stand Coffee einde maand]]-Tabel2425678[[#This Row],[Coffee vorige maand]]</f>
        <v>149</v>
      </c>
      <c r="H53" s="11">
        <v>869</v>
      </c>
      <c r="I53" s="25">
        <v>811</v>
      </c>
      <c r="J53" s="12">
        <f>Tabel2425678[[#This Row],[Stand Espresso Einde maand]]-Tabel2425678[[#This Row],[Espresso vorige maand]]</f>
        <v>58</v>
      </c>
      <c r="K53" s="11">
        <v>207</v>
      </c>
      <c r="L53" s="25">
        <v>194</v>
      </c>
      <c r="M53">
        <f>Tabel2425678[[#This Row],[Stand Latte Macchiato einde maand]]-Tabel2425678[[#This Row],[Latte Macchiato vorige maand]]</f>
        <v>13</v>
      </c>
      <c r="N53" s="11">
        <v>218</v>
      </c>
      <c r="O53" s="25">
        <v>187</v>
      </c>
      <c r="P53">
        <f>Tabel2425678[[#This Row],[Stand Coffee Latte einde maand]]-Tabel2425678[[#This Row],[Coffee Latte vorige maand]]</f>
        <v>31</v>
      </c>
      <c r="Q53" s="11">
        <v>1</v>
      </c>
      <c r="R53" s="25">
        <v>1</v>
      </c>
      <c r="S53">
        <f>Tabel2425678[[#This Row],[Stand Hot Water einde maand]]-Tabel2425678[[#This Row],[Hot Water vorige maand]]</f>
        <v>0</v>
      </c>
      <c r="T53" s="11">
        <v>1118</v>
      </c>
      <c r="U53" s="25">
        <v>1012</v>
      </c>
      <c r="V53">
        <f>Tabel2425678[[#This Row],[Stand Cappucino einde maand]]-Tabel2425678[[#This Row],[Stand Cappucino vorige maand]]</f>
        <v>106</v>
      </c>
      <c r="W53" s="11">
        <v>277</v>
      </c>
      <c r="X53" s="25">
        <v>245</v>
      </c>
      <c r="Y53">
        <f>Tabel2425678[[#This Row],[Stand Cappucino Plantaardig einde maand]]-Tabel2425678[[#This Row],[Stand Cappucino Plantaardig vorige maand]]</f>
        <v>32</v>
      </c>
      <c r="Z53" s="11">
        <v>101</v>
      </c>
      <c r="AA53" s="25">
        <v>95</v>
      </c>
      <c r="AB53" s="12">
        <f>Tabel2425678[[#This Row],[Stand Latte Macchiato Plantaardig einde maand]]-Tabel2425678[[#This Row],[Stand Latte Macchiato Plantaardig vorige maand]]</f>
        <v>6</v>
      </c>
      <c r="AC53" s="3">
        <f>Tabel2425678[[#This Row],[Verbruik Stand Latte Macchiato Plantaardig deze maand]]+Tabel2425678[[#This Row],[Verbruik  Cappucino Plantaardig deze maand]]+Tabel2425678[[#This Row],[Verbruik Cappucino deze maand]]+Tabel2425678[[#This Row],[Verbruik Hot Water deze maand]]+Tabel2425678[[#This Row],[Verbruik Coffee Latte deze maand]]+Tabel2425678[[#This Row],[Verbruik Latte Macchiato deze maand]]+Tabel2425678[[#This Row],[Verbruik Espresso deze maand]]+Tabel2425678[[#This Row],[Verbruik Coffee deze maand]]</f>
        <v>395</v>
      </c>
      <c r="AD53" s="11">
        <v>139.6</v>
      </c>
      <c r="AE53" s="40">
        <v>119.8</v>
      </c>
      <c r="AF53">
        <f>Tabel2425678[[#This Row],[Stand Kamertemp liter einde maand]]-Tabel2425678[[#This Row],[Stand Kamertemp liter vorige maand]]</f>
        <v>19.799999999999997</v>
      </c>
      <c r="AG53" s="2">
        <f>Tabel2425678[[#This Row],[Verbruik Kamertemp liter deze maand]]/0.15</f>
        <v>132</v>
      </c>
      <c r="AH53" s="11">
        <v>631</v>
      </c>
      <c r="AI53" s="40">
        <v>498.9</v>
      </c>
      <c r="AJ53">
        <f>Tabel2425678[[#This Row],[Stand Gekoeld liter einde maand]]-Tabel2425678[[#This Row],[Stand Gekoeld liter vorige maand]]</f>
        <v>132.10000000000002</v>
      </c>
      <c r="AK53" s="2">
        <f>Tabel2425678[[#This Row],[Verbruik Gekoeld liter deze maand]]/0.15</f>
        <v>880.66666666666686</v>
      </c>
      <c r="AL53" s="11">
        <v>868.2</v>
      </c>
      <c r="AM53" s="25">
        <v>742.2</v>
      </c>
      <c r="AN53">
        <f>Tabel2425678[[#This Row],[Stand Bruisend liter einde maand]]-Tabel2425678[[#This Row],[Stand Bruisend liter vorige maand]]</f>
        <v>126</v>
      </c>
      <c r="AO53" s="2">
        <f>Tabel2425678[[#This Row],[Verbruik Bruisend liter deze maand]]/0.15</f>
        <v>840</v>
      </c>
      <c r="AP53" s="11">
        <v>311.3</v>
      </c>
      <c r="AQ53" s="25">
        <v>274.7</v>
      </c>
      <c r="AR53">
        <f>Tabel2425678[[#This Row],[Stand licht bruisend liter einde maand]]-Tabel2425678[[#This Row],[Stand licht bruisend liter vorige maand]]</f>
        <v>36.600000000000023</v>
      </c>
      <c r="AS53" s="2">
        <f>Tabel2425678[[#This Row],[Verbruik licht bruisend liter deze maand]]/0.15</f>
        <v>244.00000000000017</v>
      </c>
      <c r="AT53" s="11">
        <v>1958.5</v>
      </c>
      <c r="AU53" s="25">
        <v>1663.2</v>
      </c>
      <c r="AV53">
        <f>Tabel2425678[[#This Row],[Stand heet water liter einde maand]]-Tabel2425678[[#This Row],[Stand heet water liter vorige maand]]</f>
        <v>295.29999999999995</v>
      </c>
      <c r="AW53" s="20">
        <f>Tabel2425678[[#This Row],[Verbruik heet Water liter deze maand ]]/0.15</f>
        <v>1968.6666666666665</v>
      </c>
      <c r="AX53" s="4">
        <f>Tabel2425678[[#This Row],[Aantal consumpties heet water deze maand]]+Tabel2425678[[#This Row],[Aantal consumpties licht bruisend water deze maand]]+Tabel2425678[[#This Row],[aantal consumpties Bruisend water deze maand]]+Tabel2425678[[#This Row],[Aantal consumpties gekoeld water deze maand]]+Tabel2425678[[#This Row],[Aantal consumpties Kamertemp deze maand]]</f>
        <v>4065.3333333333335</v>
      </c>
      <c r="AY53" s="4">
        <f>Tabel2425678[[#This Row],[Subtotaal waterbar in consumpties]]+Tabel2425678[[#This Row],[Subtotaal koffieautomaten]]</f>
        <v>4460.3333333333339</v>
      </c>
    </row>
    <row r="54" spans="1:51" x14ac:dyDescent="0.25">
      <c r="A54" t="s">
        <v>48</v>
      </c>
      <c r="B54" t="s">
        <v>102</v>
      </c>
      <c r="C54" t="s">
        <v>31</v>
      </c>
      <c r="E54" s="11">
        <v>1634</v>
      </c>
      <c r="F54" s="25">
        <v>1519</v>
      </c>
      <c r="G54" s="12">
        <f>Tabel2425678[[#This Row],[Stand Coffee einde maand]]-Tabel2425678[[#This Row],[Coffee vorige maand]]</f>
        <v>115</v>
      </c>
      <c r="H54" s="11">
        <v>233</v>
      </c>
      <c r="I54" s="25">
        <v>206</v>
      </c>
      <c r="J54" s="12">
        <f>Tabel2425678[[#This Row],[Stand Espresso Einde maand]]-Tabel2425678[[#This Row],[Espresso vorige maand]]</f>
        <v>27</v>
      </c>
      <c r="K54" s="11">
        <v>75</v>
      </c>
      <c r="L54" s="25">
        <v>68</v>
      </c>
      <c r="M54">
        <f>Tabel2425678[[#This Row],[Stand Latte Macchiato einde maand]]-Tabel2425678[[#This Row],[Latte Macchiato vorige maand]]</f>
        <v>7</v>
      </c>
      <c r="N54" s="11">
        <v>121</v>
      </c>
      <c r="O54" s="25">
        <v>119</v>
      </c>
      <c r="P54">
        <f>Tabel2425678[[#This Row],[Stand Coffee Latte einde maand]]-Tabel2425678[[#This Row],[Coffee Latte vorige maand]]</f>
        <v>2</v>
      </c>
      <c r="Q54" s="11">
        <v>3821</v>
      </c>
      <c r="R54" s="25">
        <v>3594</v>
      </c>
      <c r="S54">
        <f>Tabel2425678[[#This Row],[Stand Hot Water einde maand]]-Tabel2425678[[#This Row],[Hot Water vorige maand]]</f>
        <v>227</v>
      </c>
      <c r="T54" s="11">
        <v>740</v>
      </c>
      <c r="U54" s="25">
        <v>676</v>
      </c>
      <c r="V54">
        <f>Tabel2425678[[#This Row],[Stand Cappucino einde maand]]-Tabel2425678[[#This Row],[Stand Cappucino vorige maand]]</f>
        <v>64</v>
      </c>
      <c r="W54" s="11">
        <v>599</v>
      </c>
      <c r="X54" s="25">
        <v>567</v>
      </c>
      <c r="Y54">
        <f>Tabel2425678[[#This Row],[Stand Cappucino Plantaardig einde maand]]-Tabel2425678[[#This Row],[Stand Cappucino Plantaardig vorige maand]]</f>
        <v>32</v>
      </c>
      <c r="Z54" s="11">
        <v>59</v>
      </c>
      <c r="AA54" s="25">
        <v>58</v>
      </c>
      <c r="AB54" s="12">
        <f>Tabel2425678[[#This Row],[Stand Latte Macchiato Plantaardig einde maand]]-Tabel2425678[[#This Row],[Stand Latte Macchiato Plantaardig vorige maand]]</f>
        <v>1</v>
      </c>
      <c r="AC54" s="3">
        <f>Tabel2425678[[#This Row],[Verbruik Stand Latte Macchiato Plantaardig deze maand]]+Tabel2425678[[#This Row],[Verbruik  Cappucino Plantaardig deze maand]]+Tabel2425678[[#This Row],[Verbruik Cappucino deze maand]]+Tabel2425678[[#This Row],[Verbruik Hot Water deze maand]]+Tabel2425678[[#This Row],[Verbruik Coffee Latte deze maand]]+Tabel2425678[[#This Row],[Verbruik Latte Macchiato deze maand]]+Tabel2425678[[#This Row],[Verbruik Espresso deze maand]]+Tabel2425678[[#This Row],[Verbruik Coffee deze maand]]</f>
        <v>475</v>
      </c>
      <c r="AD54" s="26"/>
      <c r="AE54" s="41"/>
      <c r="AF54" s="5"/>
      <c r="AG54" s="7"/>
      <c r="AH54" s="26"/>
      <c r="AI54" s="41"/>
      <c r="AJ54" s="5"/>
      <c r="AK54" s="7"/>
      <c r="AL54" s="26"/>
      <c r="AM54" s="26"/>
      <c r="AN54" s="5"/>
      <c r="AO54" s="7"/>
      <c r="AP54" s="26"/>
      <c r="AQ54" s="26"/>
      <c r="AR54" s="5"/>
      <c r="AS54" s="7"/>
      <c r="AT54" s="26"/>
      <c r="AU54" s="26"/>
      <c r="AV54" s="5"/>
      <c r="AW54" s="21"/>
      <c r="AX54" s="8"/>
      <c r="AY54" s="4">
        <f>Tabel2425678[[#This Row],[Subtotaal waterbar in consumpties]]+Tabel2425678[[#This Row],[Subtotaal koffieautomaten]]</f>
        <v>475</v>
      </c>
    </row>
    <row r="55" spans="1:51" x14ac:dyDescent="0.25">
      <c r="A55" t="s">
        <v>50</v>
      </c>
      <c r="B55" t="s">
        <v>103</v>
      </c>
      <c r="C55" t="s">
        <v>47</v>
      </c>
      <c r="E55" s="11">
        <v>2835</v>
      </c>
      <c r="F55" s="25">
        <v>2556</v>
      </c>
      <c r="G55" s="12">
        <f>Tabel2425678[[#This Row],[Stand Coffee einde maand]]-Tabel2425678[[#This Row],[Coffee vorige maand]]</f>
        <v>279</v>
      </c>
      <c r="H55" s="11">
        <v>1510</v>
      </c>
      <c r="I55" s="25">
        <v>1449</v>
      </c>
      <c r="J55" s="12">
        <f>Tabel2425678[[#This Row],[Stand Espresso Einde maand]]-Tabel2425678[[#This Row],[Espresso vorige maand]]</f>
        <v>61</v>
      </c>
      <c r="K55" s="11">
        <v>137</v>
      </c>
      <c r="L55" s="25">
        <v>128</v>
      </c>
      <c r="M55">
        <f>Tabel2425678[[#This Row],[Stand Latte Macchiato einde maand]]-Tabel2425678[[#This Row],[Latte Macchiato vorige maand]]</f>
        <v>9</v>
      </c>
      <c r="N55" s="11">
        <v>45</v>
      </c>
      <c r="O55" s="25">
        <v>43</v>
      </c>
      <c r="P55">
        <f>Tabel2425678[[#This Row],[Stand Coffee Latte einde maand]]-Tabel2425678[[#This Row],[Coffee Latte vorige maand]]</f>
        <v>2</v>
      </c>
      <c r="Q55" s="11">
        <v>1</v>
      </c>
      <c r="R55" s="25">
        <v>1</v>
      </c>
      <c r="S55">
        <f>Tabel2425678[[#This Row],[Stand Hot Water einde maand]]-Tabel2425678[[#This Row],[Hot Water vorige maand]]</f>
        <v>0</v>
      </c>
      <c r="T55" s="11">
        <v>2783</v>
      </c>
      <c r="U55" s="25">
        <v>2650</v>
      </c>
      <c r="V55">
        <f>Tabel2425678[[#This Row],[Stand Cappucino einde maand]]-Tabel2425678[[#This Row],[Stand Cappucino vorige maand]]</f>
        <v>133</v>
      </c>
      <c r="W55" s="11">
        <v>241</v>
      </c>
      <c r="X55" s="25">
        <v>231</v>
      </c>
      <c r="Y55">
        <f>Tabel2425678[[#This Row],[Stand Cappucino Plantaardig einde maand]]-Tabel2425678[[#This Row],[Stand Cappucino Plantaardig vorige maand]]</f>
        <v>10</v>
      </c>
      <c r="Z55" s="11">
        <v>50</v>
      </c>
      <c r="AA55" s="25">
        <v>45</v>
      </c>
      <c r="AB55" s="12">
        <f>Tabel2425678[[#This Row],[Stand Latte Macchiato Plantaardig einde maand]]-Tabel2425678[[#This Row],[Stand Latte Macchiato Plantaardig vorige maand]]</f>
        <v>5</v>
      </c>
      <c r="AC55" s="3">
        <f>Tabel2425678[[#This Row],[Verbruik Stand Latte Macchiato Plantaardig deze maand]]+Tabel2425678[[#This Row],[Verbruik  Cappucino Plantaardig deze maand]]+Tabel2425678[[#This Row],[Verbruik Cappucino deze maand]]+Tabel2425678[[#This Row],[Verbruik Hot Water deze maand]]+Tabel2425678[[#This Row],[Verbruik Coffee Latte deze maand]]+Tabel2425678[[#This Row],[Verbruik Latte Macchiato deze maand]]+Tabel2425678[[#This Row],[Verbruik Espresso deze maand]]+Tabel2425678[[#This Row],[Verbruik Coffee deze maand]]</f>
        <v>499</v>
      </c>
      <c r="AD55" s="11">
        <v>116.4</v>
      </c>
      <c r="AE55" s="40">
        <v>106.1</v>
      </c>
      <c r="AF55">
        <f>Tabel2425678[[#This Row],[Stand Kamertemp liter einde maand]]-Tabel2425678[[#This Row],[Stand Kamertemp liter vorige maand]]</f>
        <v>10.300000000000011</v>
      </c>
      <c r="AG55" s="2">
        <f>Tabel2425678[[#This Row],[Verbruik Kamertemp liter deze maand]]/0.15</f>
        <v>68.666666666666742</v>
      </c>
      <c r="AH55" s="11">
        <v>329.6</v>
      </c>
      <c r="AI55" s="40">
        <v>272.3</v>
      </c>
      <c r="AJ55">
        <f>Tabel2425678[[#This Row],[Stand Gekoeld liter einde maand]]-Tabel2425678[[#This Row],[Stand Gekoeld liter vorige maand]]</f>
        <v>57.300000000000011</v>
      </c>
      <c r="AK55" s="2">
        <f>Tabel2425678[[#This Row],[Verbruik Gekoeld liter deze maand]]/0.15</f>
        <v>382.00000000000011</v>
      </c>
      <c r="AL55" s="11">
        <v>673.7</v>
      </c>
      <c r="AM55" s="25">
        <v>565.6</v>
      </c>
      <c r="AN55">
        <f>Tabel2425678[[#This Row],[Stand Bruisend liter einde maand]]-Tabel2425678[[#This Row],[Stand Bruisend liter vorige maand]]</f>
        <v>108.10000000000002</v>
      </c>
      <c r="AO55" s="2">
        <f>Tabel2425678[[#This Row],[Verbruik Bruisend liter deze maand]]/0.15</f>
        <v>720.66666666666686</v>
      </c>
      <c r="AP55" s="11">
        <v>245.4</v>
      </c>
      <c r="AQ55" s="25">
        <v>205.2</v>
      </c>
      <c r="AR55">
        <f>Tabel2425678[[#This Row],[Stand licht bruisend liter einde maand]]-Tabel2425678[[#This Row],[Stand licht bruisend liter vorige maand]]</f>
        <v>40.200000000000017</v>
      </c>
      <c r="AS55" s="2">
        <f>Tabel2425678[[#This Row],[Verbruik licht bruisend liter deze maand]]/0.15</f>
        <v>268.00000000000011</v>
      </c>
      <c r="AT55" s="11">
        <v>1654.8</v>
      </c>
      <c r="AU55" s="25">
        <v>1440.6</v>
      </c>
      <c r="AV55">
        <f>Tabel2425678[[#This Row],[Stand heet water liter einde maand]]-Tabel2425678[[#This Row],[Stand heet water liter vorige maand]]</f>
        <v>214.20000000000005</v>
      </c>
      <c r="AW55" s="20">
        <f>Tabel2425678[[#This Row],[Verbruik heet Water liter deze maand ]]/0.15</f>
        <v>1428.0000000000005</v>
      </c>
      <c r="AX55" s="4">
        <f>Tabel2425678[[#This Row],[Aantal consumpties heet water deze maand]]+Tabel2425678[[#This Row],[Aantal consumpties licht bruisend water deze maand]]+Tabel2425678[[#This Row],[aantal consumpties Bruisend water deze maand]]+Tabel2425678[[#This Row],[Aantal consumpties gekoeld water deze maand]]+Tabel2425678[[#This Row],[Aantal consumpties Kamertemp deze maand]]</f>
        <v>2867.3333333333339</v>
      </c>
      <c r="AY55" s="4">
        <f>Tabel2425678[[#This Row],[Subtotaal waterbar in consumpties]]+Tabel2425678[[#This Row],[Subtotaal koffieautomaten]]</f>
        <v>3366.3333333333339</v>
      </c>
    </row>
    <row r="56" spans="1:51" x14ac:dyDescent="0.25">
      <c r="A56" t="s">
        <v>52</v>
      </c>
      <c r="B56" t="s">
        <v>104</v>
      </c>
      <c r="C56" t="s">
        <v>36</v>
      </c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11">
        <v>58.9</v>
      </c>
      <c r="AE56" s="40">
        <v>55.3</v>
      </c>
      <c r="AF56">
        <f>Tabel2425678[[#This Row],[Stand Kamertemp liter einde maand]]-Tabel2425678[[#This Row],[Stand Kamertemp liter vorige maand]]</f>
        <v>3.6000000000000014</v>
      </c>
      <c r="AG56" s="2">
        <f>Tabel2425678[[#This Row],[Verbruik Kamertemp liter deze maand]]/0.15</f>
        <v>24.000000000000011</v>
      </c>
      <c r="AH56" s="11">
        <v>356.2</v>
      </c>
      <c r="AI56" s="40">
        <v>271.8</v>
      </c>
      <c r="AJ56">
        <f>Tabel2425678[[#This Row],[Stand Gekoeld liter einde maand]]-Tabel2425678[[#This Row],[Stand Gekoeld liter vorige maand]]</f>
        <v>84.399999999999977</v>
      </c>
      <c r="AK56" s="2">
        <f>Tabel2425678[[#This Row],[Verbruik Gekoeld liter deze maand]]/0.15</f>
        <v>562.66666666666652</v>
      </c>
      <c r="AL56" s="11">
        <v>462.6</v>
      </c>
      <c r="AM56" s="25">
        <v>400.8</v>
      </c>
      <c r="AN56">
        <f>Tabel2425678[[#This Row],[Stand Bruisend liter einde maand]]-Tabel2425678[[#This Row],[Stand Bruisend liter vorige maand]]</f>
        <v>61.800000000000011</v>
      </c>
      <c r="AO56" s="2">
        <f>Tabel2425678[[#This Row],[Verbruik Bruisend liter deze maand]]/0.15</f>
        <v>412.00000000000011</v>
      </c>
      <c r="AP56" s="11">
        <v>439</v>
      </c>
      <c r="AQ56" s="25">
        <v>379.8</v>
      </c>
      <c r="AR56">
        <f>Tabel2425678[[#This Row],[Stand licht bruisend liter einde maand]]-Tabel2425678[[#This Row],[Stand licht bruisend liter vorige maand]]</f>
        <v>59.199999999999989</v>
      </c>
      <c r="AS56" s="2">
        <f>Tabel2425678[[#This Row],[Verbruik licht bruisend liter deze maand]]/0.15</f>
        <v>394.66666666666663</v>
      </c>
      <c r="AT56" s="11">
        <v>2316.1</v>
      </c>
      <c r="AU56" s="25">
        <v>2085.6999999999998</v>
      </c>
      <c r="AV56">
        <f>Tabel2425678[[#This Row],[Stand heet water liter einde maand]]-Tabel2425678[[#This Row],[Stand heet water liter vorige maand]]</f>
        <v>230.40000000000009</v>
      </c>
      <c r="AW56" s="20">
        <f>Tabel2425678[[#This Row],[Verbruik heet Water liter deze maand ]]/0.15</f>
        <v>1536.0000000000007</v>
      </c>
      <c r="AX56" s="4">
        <f>Tabel2425678[[#This Row],[Aantal consumpties heet water deze maand]]+Tabel2425678[[#This Row],[Aantal consumpties licht bruisend water deze maand]]+Tabel2425678[[#This Row],[aantal consumpties Bruisend water deze maand]]+Tabel2425678[[#This Row],[Aantal consumpties gekoeld water deze maand]]+Tabel2425678[[#This Row],[Aantal consumpties Kamertemp deze maand]]</f>
        <v>2929.3333333333339</v>
      </c>
      <c r="AY56" s="4">
        <f>Tabel2425678[[#This Row],[Subtotaal waterbar in consumpties]]+Tabel2425678[[#This Row],[Subtotaal koffieautomaten]]</f>
        <v>2929.3333333333339</v>
      </c>
    </row>
    <row r="57" spans="1:51" x14ac:dyDescent="0.25">
      <c r="A57" t="s">
        <v>54</v>
      </c>
      <c r="B57" t="s">
        <v>105</v>
      </c>
      <c r="C57" t="s">
        <v>31</v>
      </c>
      <c r="E57" s="11">
        <v>2154</v>
      </c>
      <c r="F57" s="25">
        <v>2047</v>
      </c>
      <c r="G57" s="12">
        <f>Tabel2425678[[#This Row],[Stand Coffee einde maand]]-Tabel2425678[[#This Row],[Coffee vorige maand]]</f>
        <v>107</v>
      </c>
      <c r="H57" s="11">
        <v>1169</v>
      </c>
      <c r="I57" s="25">
        <v>1072</v>
      </c>
      <c r="J57" s="12">
        <f>Tabel2425678[[#This Row],[Stand Espresso Einde maand]]-Tabel2425678[[#This Row],[Espresso vorige maand]]</f>
        <v>97</v>
      </c>
      <c r="K57" s="11">
        <v>673</v>
      </c>
      <c r="L57" s="25">
        <v>526</v>
      </c>
      <c r="M57">
        <f>Tabel2425678[[#This Row],[Stand Latte Macchiato einde maand]]-Tabel2425678[[#This Row],[Latte Macchiato vorige maand]]</f>
        <v>147</v>
      </c>
      <c r="N57" s="11">
        <v>108</v>
      </c>
      <c r="O57" s="25">
        <v>107</v>
      </c>
      <c r="P57">
        <f>Tabel2425678[[#This Row],[Stand Coffee Latte einde maand]]-Tabel2425678[[#This Row],[Coffee Latte vorige maand]]</f>
        <v>1</v>
      </c>
      <c r="Q57" s="11">
        <v>7281</v>
      </c>
      <c r="R57" s="25">
        <v>6605</v>
      </c>
      <c r="S57">
        <f>Tabel2425678[[#This Row],[Stand Hot Water einde maand]]-Tabel2425678[[#This Row],[Hot Water vorige maand]]</f>
        <v>676</v>
      </c>
      <c r="T57" s="11">
        <v>1792</v>
      </c>
      <c r="U57" s="25">
        <v>1604</v>
      </c>
      <c r="V57">
        <f>Tabel2425678[[#This Row],[Stand Cappucino einde maand]]-Tabel2425678[[#This Row],[Stand Cappucino vorige maand]]</f>
        <v>188</v>
      </c>
      <c r="W57" s="11">
        <v>394</v>
      </c>
      <c r="X57" s="25">
        <v>363</v>
      </c>
      <c r="Y57">
        <f>Tabel2425678[[#This Row],[Stand Cappucino Plantaardig einde maand]]-Tabel2425678[[#This Row],[Stand Cappucino Plantaardig vorige maand]]</f>
        <v>31</v>
      </c>
      <c r="Z57" s="11">
        <v>44</v>
      </c>
      <c r="AA57" s="25">
        <v>42</v>
      </c>
      <c r="AB57" s="12">
        <f>Tabel2425678[[#This Row],[Stand Latte Macchiato Plantaardig einde maand]]-Tabel2425678[[#This Row],[Stand Latte Macchiato Plantaardig vorige maand]]</f>
        <v>2</v>
      </c>
      <c r="AC57" s="3">
        <f>Tabel2425678[[#This Row],[Verbruik Stand Latte Macchiato Plantaardig deze maand]]+Tabel2425678[[#This Row],[Verbruik  Cappucino Plantaardig deze maand]]+Tabel2425678[[#This Row],[Verbruik Cappucino deze maand]]+Tabel2425678[[#This Row],[Verbruik Hot Water deze maand]]+Tabel2425678[[#This Row],[Verbruik Coffee Latte deze maand]]+Tabel2425678[[#This Row],[Verbruik Latte Macchiato deze maand]]+Tabel2425678[[#This Row],[Verbruik Espresso deze maand]]+Tabel2425678[[#This Row],[Verbruik Coffee deze maand]]</f>
        <v>1249</v>
      </c>
      <c r="AD57" s="26"/>
      <c r="AE57" s="41"/>
      <c r="AF57" s="5"/>
      <c r="AG57" s="7"/>
      <c r="AH57" s="26"/>
      <c r="AI57" s="41"/>
      <c r="AJ57" s="5"/>
      <c r="AK57" s="7"/>
      <c r="AL57" s="26"/>
      <c r="AM57" s="26"/>
      <c r="AN57" s="5"/>
      <c r="AO57" s="7"/>
      <c r="AP57" s="26"/>
      <c r="AQ57" s="26"/>
      <c r="AR57" s="5"/>
      <c r="AS57" s="7"/>
      <c r="AT57" s="26"/>
      <c r="AU57" s="26"/>
      <c r="AV57" s="5"/>
      <c r="AW57" s="21"/>
      <c r="AX57" s="8"/>
      <c r="AY57" s="4">
        <f>Tabel2425678[[#This Row],[Subtotaal waterbar in consumpties]]+Tabel2425678[[#This Row],[Subtotaal koffieautomaten]]</f>
        <v>1249</v>
      </c>
    </row>
    <row r="58" spans="1:51" x14ac:dyDescent="0.25">
      <c r="A58" t="s">
        <v>56</v>
      </c>
      <c r="B58" t="s">
        <v>106</v>
      </c>
      <c r="C58" t="s">
        <v>47</v>
      </c>
      <c r="E58" s="11">
        <v>2974</v>
      </c>
      <c r="F58" s="25">
        <v>2732</v>
      </c>
      <c r="G58" s="12">
        <f>Tabel2425678[[#This Row],[Stand Coffee einde maand]]-Tabel2425678[[#This Row],[Coffee vorige maand]]</f>
        <v>242</v>
      </c>
      <c r="H58" s="11">
        <v>807</v>
      </c>
      <c r="I58" s="25">
        <v>749</v>
      </c>
      <c r="J58" s="12">
        <f>Tabel2425678[[#This Row],[Stand Espresso Einde maand]]-Tabel2425678[[#This Row],[Espresso vorige maand]]</f>
        <v>58</v>
      </c>
      <c r="K58" s="11">
        <v>1044</v>
      </c>
      <c r="L58" s="25">
        <v>974</v>
      </c>
      <c r="M58">
        <f>Tabel2425678[[#This Row],[Stand Latte Macchiato einde maand]]-Tabel2425678[[#This Row],[Latte Macchiato vorige maand]]</f>
        <v>70</v>
      </c>
      <c r="N58" s="11">
        <v>101</v>
      </c>
      <c r="O58" s="25">
        <v>97</v>
      </c>
      <c r="P58">
        <f>Tabel2425678[[#This Row],[Stand Coffee Latte einde maand]]-Tabel2425678[[#This Row],[Coffee Latte vorige maand]]</f>
        <v>4</v>
      </c>
      <c r="Q58" s="11">
        <v>1</v>
      </c>
      <c r="R58" s="25">
        <v>1</v>
      </c>
      <c r="S58">
        <f>Tabel2425678[[#This Row],[Stand Hot Water einde maand]]-Tabel2425678[[#This Row],[Hot Water vorige maand]]</f>
        <v>0</v>
      </c>
      <c r="T58" s="11">
        <v>1670</v>
      </c>
      <c r="U58" s="25">
        <v>1588</v>
      </c>
      <c r="V58">
        <f>Tabel2425678[[#This Row],[Stand Cappucino einde maand]]-Tabel2425678[[#This Row],[Stand Cappucino vorige maand]]</f>
        <v>82</v>
      </c>
      <c r="W58" s="11">
        <v>544</v>
      </c>
      <c r="X58" s="25">
        <v>514</v>
      </c>
      <c r="Y58">
        <f>Tabel2425678[[#This Row],[Stand Cappucino Plantaardig einde maand]]-Tabel2425678[[#This Row],[Stand Cappucino Plantaardig vorige maand]]</f>
        <v>30</v>
      </c>
      <c r="Z58" s="11">
        <v>66</v>
      </c>
      <c r="AA58" s="25">
        <v>55</v>
      </c>
      <c r="AB58" s="12">
        <f>Tabel2425678[[#This Row],[Stand Latte Macchiato Plantaardig einde maand]]-Tabel2425678[[#This Row],[Stand Latte Macchiato Plantaardig vorige maand]]</f>
        <v>11</v>
      </c>
      <c r="AC58" s="3">
        <f>Tabel2425678[[#This Row],[Verbruik Stand Latte Macchiato Plantaardig deze maand]]+Tabel2425678[[#This Row],[Verbruik  Cappucino Plantaardig deze maand]]+Tabel2425678[[#This Row],[Verbruik Cappucino deze maand]]+Tabel2425678[[#This Row],[Verbruik Hot Water deze maand]]+Tabel2425678[[#This Row],[Verbruik Coffee Latte deze maand]]+Tabel2425678[[#This Row],[Verbruik Latte Macchiato deze maand]]+Tabel2425678[[#This Row],[Verbruik Espresso deze maand]]+Tabel2425678[[#This Row],[Verbruik Coffee deze maand]]</f>
        <v>497</v>
      </c>
      <c r="AD58" s="11">
        <v>59.1</v>
      </c>
      <c r="AE58" s="40">
        <v>50.4</v>
      </c>
      <c r="AF58">
        <f>Tabel2425678[[#This Row],[Stand Kamertemp liter einde maand]]-Tabel2425678[[#This Row],[Stand Kamertemp liter vorige maand]]</f>
        <v>8.7000000000000028</v>
      </c>
      <c r="AG58" s="2">
        <f>Tabel2425678[[#This Row],[Verbruik Kamertemp liter deze maand]]/0.15</f>
        <v>58.000000000000021</v>
      </c>
      <c r="AH58" s="11">
        <v>561.6</v>
      </c>
      <c r="AI58" s="40">
        <v>485.2</v>
      </c>
      <c r="AJ58">
        <f>Tabel2425678[[#This Row],[Stand Gekoeld liter einde maand]]-Tabel2425678[[#This Row],[Stand Gekoeld liter vorige maand]]</f>
        <v>76.400000000000034</v>
      </c>
      <c r="AK58" s="2">
        <f>Tabel2425678[[#This Row],[Verbruik Gekoeld liter deze maand]]/0.15</f>
        <v>509.3333333333336</v>
      </c>
      <c r="AL58" s="11">
        <v>544</v>
      </c>
      <c r="AM58" s="25">
        <v>464.9</v>
      </c>
      <c r="AN58">
        <f>Tabel2425678[[#This Row],[Stand Bruisend liter einde maand]]-Tabel2425678[[#This Row],[Stand Bruisend liter vorige maand]]</f>
        <v>79.100000000000023</v>
      </c>
      <c r="AO58" s="2">
        <f>Tabel2425678[[#This Row],[Verbruik Bruisend liter deze maand]]/0.15</f>
        <v>527.33333333333348</v>
      </c>
      <c r="AP58" s="11">
        <v>271.89999999999998</v>
      </c>
      <c r="AQ58" s="25">
        <v>243.4</v>
      </c>
      <c r="AR58">
        <f>Tabel2425678[[#This Row],[Stand licht bruisend liter einde maand]]-Tabel2425678[[#This Row],[Stand licht bruisend liter vorige maand]]</f>
        <v>28.499999999999972</v>
      </c>
      <c r="AS58" s="2">
        <f>Tabel2425678[[#This Row],[Verbruik licht bruisend liter deze maand]]/0.15</f>
        <v>189.99999999999983</v>
      </c>
      <c r="AT58" s="11">
        <v>2293.1</v>
      </c>
      <c r="AU58" s="25">
        <v>2064.1999999999998</v>
      </c>
      <c r="AV58">
        <f>Tabel2425678[[#This Row],[Stand heet water liter einde maand]]-Tabel2425678[[#This Row],[Stand heet water liter vorige maand]]</f>
        <v>228.90000000000009</v>
      </c>
      <c r="AW58" s="20">
        <f>Tabel2425678[[#This Row],[Verbruik heet Water liter deze maand ]]/0.15</f>
        <v>1526.0000000000007</v>
      </c>
      <c r="AX58" s="4">
        <f>Tabel2425678[[#This Row],[Aantal consumpties heet water deze maand]]+Tabel2425678[[#This Row],[Aantal consumpties licht bruisend water deze maand]]+Tabel2425678[[#This Row],[aantal consumpties Bruisend water deze maand]]+Tabel2425678[[#This Row],[Aantal consumpties gekoeld water deze maand]]+Tabel2425678[[#This Row],[Aantal consumpties Kamertemp deze maand]]</f>
        <v>2810.6666666666674</v>
      </c>
      <c r="AY58" s="4">
        <f>Tabel2425678[[#This Row],[Subtotaal waterbar in consumpties]]+Tabel2425678[[#This Row],[Subtotaal koffieautomaten]]</f>
        <v>3307.6666666666674</v>
      </c>
    </row>
    <row r="59" spans="1:51" x14ac:dyDescent="0.25">
      <c r="A59" t="s">
        <v>58</v>
      </c>
      <c r="B59" t="s">
        <v>107</v>
      </c>
      <c r="C59" t="s">
        <v>31</v>
      </c>
      <c r="E59" s="11">
        <v>2061</v>
      </c>
      <c r="F59" s="25">
        <v>1892</v>
      </c>
      <c r="G59" s="12">
        <f>Tabel2425678[[#This Row],[Stand Coffee einde maand]]-Tabel2425678[[#This Row],[Coffee vorige maand]]</f>
        <v>169</v>
      </c>
      <c r="H59" s="11">
        <v>440</v>
      </c>
      <c r="I59" s="25">
        <v>414</v>
      </c>
      <c r="J59" s="12">
        <f>Tabel2425678[[#This Row],[Stand Espresso Einde maand]]-Tabel2425678[[#This Row],[Espresso vorige maand]]</f>
        <v>26</v>
      </c>
      <c r="K59" s="11">
        <v>100</v>
      </c>
      <c r="L59" s="25">
        <v>81</v>
      </c>
      <c r="M59">
        <f>Tabel2425678[[#This Row],[Stand Latte Macchiato einde maand]]-Tabel2425678[[#This Row],[Latte Macchiato vorige maand]]</f>
        <v>19</v>
      </c>
      <c r="N59" s="11">
        <v>95</v>
      </c>
      <c r="O59" s="25">
        <v>90</v>
      </c>
      <c r="P59">
        <f>Tabel2425678[[#This Row],[Stand Coffee Latte einde maand]]-Tabel2425678[[#This Row],[Coffee Latte vorige maand]]</f>
        <v>5</v>
      </c>
      <c r="Q59" s="11">
        <v>4984</v>
      </c>
      <c r="R59" s="25">
        <v>4638</v>
      </c>
      <c r="S59">
        <f>Tabel2425678[[#This Row],[Stand Hot Water einde maand]]-Tabel2425678[[#This Row],[Hot Water vorige maand]]</f>
        <v>346</v>
      </c>
      <c r="T59" s="11">
        <v>672</v>
      </c>
      <c r="U59" s="25">
        <v>631</v>
      </c>
      <c r="V59">
        <f>Tabel2425678[[#This Row],[Stand Cappucino einde maand]]-Tabel2425678[[#This Row],[Stand Cappucino vorige maand]]</f>
        <v>41</v>
      </c>
      <c r="W59" s="11">
        <v>496</v>
      </c>
      <c r="X59" s="25">
        <v>457</v>
      </c>
      <c r="Y59">
        <f>Tabel2425678[[#This Row],[Stand Cappucino Plantaardig einde maand]]-Tabel2425678[[#This Row],[Stand Cappucino Plantaardig vorige maand]]</f>
        <v>39</v>
      </c>
      <c r="Z59" s="11">
        <v>288</v>
      </c>
      <c r="AA59" s="25">
        <v>276</v>
      </c>
      <c r="AB59" s="12">
        <f>Tabel2425678[[#This Row],[Stand Latte Macchiato Plantaardig einde maand]]-Tabel2425678[[#This Row],[Stand Latte Macchiato Plantaardig vorige maand]]</f>
        <v>12</v>
      </c>
      <c r="AC59" s="3">
        <f>Tabel2425678[[#This Row],[Verbruik Stand Latte Macchiato Plantaardig deze maand]]+Tabel2425678[[#This Row],[Verbruik  Cappucino Plantaardig deze maand]]+Tabel2425678[[#This Row],[Verbruik Cappucino deze maand]]+Tabel2425678[[#This Row],[Verbruik Hot Water deze maand]]+Tabel2425678[[#This Row],[Verbruik Coffee Latte deze maand]]+Tabel2425678[[#This Row],[Verbruik Latte Macchiato deze maand]]+Tabel2425678[[#This Row],[Verbruik Espresso deze maand]]+Tabel2425678[[#This Row],[Verbruik Coffee deze maand]]</f>
        <v>657</v>
      </c>
      <c r="AD59" s="26" t="s">
        <v>159</v>
      </c>
      <c r="AE59" s="5"/>
      <c r="AF59" s="5"/>
      <c r="AG59" s="7"/>
      <c r="AH59" s="26"/>
      <c r="AI59" s="41"/>
      <c r="AJ59" s="5"/>
      <c r="AK59" s="7"/>
      <c r="AL59" s="26"/>
      <c r="AM59" s="5"/>
      <c r="AN59" s="5"/>
      <c r="AO59" s="7"/>
      <c r="AP59" s="26"/>
      <c r="AQ59" s="5"/>
      <c r="AR59" s="5"/>
      <c r="AS59" s="7"/>
      <c r="AT59" s="26"/>
      <c r="AU59" s="5"/>
      <c r="AV59" s="5"/>
      <c r="AW59" s="21"/>
      <c r="AX59" s="8"/>
      <c r="AY59" s="4">
        <f>Tabel2425678[[#This Row],[Subtotaal waterbar in consumpties]]+Tabel2425678[[#This Row],[Subtotaal koffieautomaten]]</f>
        <v>657</v>
      </c>
    </row>
    <row r="60" spans="1:51" x14ac:dyDescent="0.25">
      <c r="A60" t="s">
        <v>60</v>
      </c>
      <c r="B60" t="s">
        <v>108</v>
      </c>
      <c r="C60" t="s">
        <v>36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11">
        <v>96.8</v>
      </c>
      <c r="AE60" s="25">
        <v>89.1</v>
      </c>
      <c r="AF60">
        <f>Tabel2425678[[#This Row],[Stand Kamertemp liter einde maand]]-Tabel2425678[[#This Row],[Stand Kamertemp liter vorige maand]]</f>
        <v>7.7000000000000028</v>
      </c>
      <c r="AG60" s="2">
        <f>Tabel2425678[[#This Row],[Verbruik Kamertemp liter deze maand]]/0.15</f>
        <v>51.333333333333357</v>
      </c>
      <c r="AH60" s="11">
        <v>405.9</v>
      </c>
      <c r="AI60" s="25">
        <v>353.5</v>
      </c>
      <c r="AJ60">
        <f>Tabel2425678[[#This Row],[Stand Gekoeld liter einde maand]]-Tabel2425678[[#This Row],[Stand Gekoeld liter vorige maand]]</f>
        <v>52.399999999999977</v>
      </c>
      <c r="AK60" s="2">
        <f>Tabel2425678[[#This Row],[Verbruik Gekoeld liter deze maand]]/0.15</f>
        <v>349.3333333333332</v>
      </c>
      <c r="AL60" s="11">
        <v>284.7</v>
      </c>
      <c r="AM60" s="25">
        <v>256</v>
      </c>
      <c r="AN60">
        <f>Tabel2425678[[#This Row],[Stand Bruisend liter einde maand]]-Tabel2425678[[#This Row],[Stand Bruisend liter vorige maand]]</f>
        <v>28.699999999999989</v>
      </c>
      <c r="AO60" s="2">
        <f>Tabel2425678[[#This Row],[Verbruik Bruisend liter deze maand]]/0.15</f>
        <v>191.33333333333326</v>
      </c>
      <c r="AP60" s="11">
        <v>242.7</v>
      </c>
      <c r="AQ60" s="25">
        <v>215.1</v>
      </c>
      <c r="AR60">
        <f>Tabel2425678[[#This Row],[Stand licht bruisend liter einde maand]]-Tabel2425678[[#This Row],[Stand licht bruisend liter vorige maand]]</f>
        <v>27.599999999999994</v>
      </c>
      <c r="AS60" s="2">
        <f>Tabel2425678[[#This Row],[Verbruik licht bruisend liter deze maand]]/0.15</f>
        <v>183.99999999999997</v>
      </c>
      <c r="AT60" s="11">
        <v>1075.3</v>
      </c>
      <c r="AU60" s="25">
        <v>980.1</v>
      </c>
      <c r="AV60">
        <f>Tabel2425678[[#This Row],[Stand heet water liter einde maand]]-Tabel2425678[[#This Row],[Stand heet water liter vorige maand]]</f>
        <v>95.199999999999932</v>
      </c>
      <c r="AW60" s="20">
        <f>Tabel2425678[[#This Row],[Verbruik heet Water liter deze maand ]]/0.15</f>
        <v>634.66666666666629</v>
      </c>
      <c r="AX60" s="4">
        <f>Tabel2425678[[#This Row],[Aantal consumpties heet water deze maand]]+Tabel2425678[[#This Row],[Aantal consumpties licht bruisend water deze maand]]+Tabel2425678[[#This Row],[aantal consumpties Bruisend water deze maand]]+Tabel2425678[[#This Row],[Aantal consumpties gekoeld water deze maand]]+Tabel2425678[[#This Row],[Aantal consumpties Kamertemp deze maand]]</f>
        <v>1410.6666666666661</v>
      </c>
      <c r="AY60" s="4">
        <f>Tabel2425678[[#This Row],[Subtotaal waterbar in consumpties]]+Tabel2425678[[#This Row],[Subtotaal koffieautomaten]]</f>
        <v>1410.6666666666661</v>
      </c>
    </row>
    <row r="61" spans="1:51" x14ac:dyDescent="0.25">
      <c r="A61" s="3" t="s">
        <v>109</v>
      </c>
      <c r="F61" s="25"/>
      <c r="H61" s="11"/>
      <c r="I61" s="25"/>
      <c r="J61" s="12"/>
      <c r="K61" s="11"/>
      <c r="L61" s="25"/>
      <c r="O61" s="25"/>
      <c r="R61" s="25"/>
      <c r="U61" s="25"/>
      <c r="X61" s="25"/>
      <c r="AA61" s="25"/>
      <c r="AC61" s="3">
        <f>Tabel2425678[[#This Row],[Verbruik Stand Latte Macchiato Plantaardig deze maand]]+Tabel2425678[[#This Row],[Verbruik  Cappucino Plantaardig deze maand]]+Tabel2425678[[#This Row],[Verbruik Cappucino deze maand]]+Tabel2425678[[#This Row],[Verbruik Hot Water deze maand]]+Tabel2425678[[#This Row],[Verbruik Coffee Latte deze maand]]+Tabel2425678[[#This Row],[Verbruik Latte Macchiato deze maand]]+Tabel2425678[[#This Row],[Verbruik Espresso deze maand]]+Tabel2425678[[#This Row],[Verbruik Coffee deze maand]]</f>
        <v>0</v>
      </c>
      <c r="AD61" s="25"/>
      <c r="AG61" s="2"/>
      <c r="AH61" s="25"/>
      <c r="AK61" s="2"/>
      <c r="AL61" s="25"/>
      <c r="AO61" s="2"/>
      <c r="AP61" s="25"/>
      <c r="AS61" s="2"/>
      <c r="AT61" s="25"/>
      <c r="AW61" s="20"/>
      <c r="AX61" s="4"/>
      <c r="AY61" s="4">
        <f>Tabel2425678[[#This Row],[Subtotaal waterbar in consumpties]]+Tabel2425678[[#This Row],[Subtotaal koffieautomaten]]</f>
        <v>0</v>
      </c>
    </row>
    <row r="62" spans="1:51" x14ac:dyDescent="0.25">
      <c r="A62">
        <v>1</v>
      </c>
      <c r="B62" t="s">
        <v>110</v>
      </c>
      <c r="C62" t="s">
        <v>31</v>
      </c>
      <c r="E62" s="11">
        <v>3405</v>
      </c>
      <c r="F62" s="25">
        <v>2927</v>
      </c>
      <c r="G62" s="12">
        <f>Tabel2425678[[#This Row],[Stand Coffee einde maand]]-Tabel2425678[[#This Row],[Coffee vorige maand]]</f>
        <v>478</v>
      </c>
      <c r="H62" s="11">
        <v>295</v>
      </c>
      <c r="I62" s="25">
        <v>222</v>
      </c>
      <c r="J62" s="12">
        <f>Tabel2425678[[#This Row],[Stand Espresso Einde maand]]-Tabel2425678[[#This Row],[Espresso vorige maand]]</f>
        <v>73</v>
      </c>
      <c r="K62" s="11">
        <v>396</v>
      </c>
      <c r="L62" s="25">
        <v>277</v>
      </c>
      <c r="M62">
        <f>Tabel2425678[[#This Row],[Stand Latte Macchiato einde maand]]-Tabel2425678[[#This Row],[Latte Macchiato vorige maand]]</f>
        <v>119</v>
      </c>
      <c r="N62" s="11">
        <v>257</v>
      </c>
      <c r="O62" s="25">
        <v>230</v>
      </c>
      <c r="P62">
        <f>Tabel2425678[[#This Row],[Stand Coffee Latte einde maand]]-Tabel2425678[[#This Row],[Coffee Latte vorige maand]]</f>
        <v>27</v>
      </c>
      <c r="Q62" s="11">
        <v>1908</v>
      </c>
      <c r="R62" s="25">
        <v>1670</v>
      </c>
      <c r="S62">
        <f>Tabel2425678[[#This Row],[Stand Hot Water einde maand]]-Tabel2425678[[#This Row],[Hot Water vorige maand]]</f>
        <v>238</v>
      </c>
      <c r="T62" s="11">
        <v>937</v>
      </c>
      <c r="U62" s="25">
        <v>757</v>
      </c>
      <c r="V62">
        <f>Tabel2425678[[#This Row],[Stand Cappucino einde maand]]-Tabel2425678[[#This Row],[Stand Cappucino vorige maand]]</f>
        <v>180</v>
      </c>
      <c r="W62" s="11">
        <v>20</v>
      </c>
      <c r="X62" s="25">
        <v>19</v>
      </c>
      <c r="Y62">
        <f>Tabel2425678[[#This Row],[Stand Cappucino Plantaardig einde maand]]-Tabel2425678[[#This Row],[Stand Cappucino Plantaardig vorige maand]]</f>
        <v>1</v>
      </c>
      <c r="Z62" s="11">
        <v>130</v>
      </c>
      <c r="AA62" s="25">
        <v>110</v>
      </c>
      <c r="AB62" s="12">
        <f>Tabel2425678[[#This Row],[Stand Latte Macchiato Plantaardig einde maand]]-Tabel2425678[[#This Row],[Stand Latte Macchiato Plantaardig vorige maand]]</f>
        <v>20</v>
      </c>
      <c r="AC62" s="3">
        <f>Tabel2425678[[#This Row],[Verbruik Stand Latte Macchiato Plantaardig deze maand]]+Tabel2425678[[#This Row],[Verbruik  Cappucino Plantaardig deze maand]]+Tabel2425678[[#This Row],[Verbruik Cappucino deze maand]]+Tabel2425678[[#This Row],[Verbruik Hot Water deze maand]]+Tabel2425678[[#This Row],[Verbruik Coffee Latte deze maand]]+Tabel2425678[[#This Row],[Verbruik Latte Macchiato deze maand]]+Tabel2425678[[#This Row],[Verbruik Espresso deze maand]]+Tabel2425678[[#This Row],[Verbruik Coffee deze maand]]</f>
        <v>1136</v>
      </c>
      <c r="AD62" s="26"/>
      <c r="AE62" s="5"/>
      <c r="AF62" s="5"/>
      <c r="AG62" s="5"/>
      <c r="AH62" s="26"/>
      <c r="AI62" s="5"/>
      <c r="AJ62" s="5"/>
      <c r="AK62" s="5"/>
      <c r="AL62" s="26"/>
      <c r="AM62" s="5"/>
      <c r="AN62" s="5"/>
      <c r="AO62" s="5"/>
      <c r="AP62" s="26"/>
      <c r="AQ62" s="5"/>
      <c r="AR62" s="5"/>
      <c r="AS62" s="5"/>
      <c r="AT62" s="26"/>
      <c r="AU62" s="5"/>
      <c r="AV62" s="5"/>
      <c r="AW62" s="21"/>
      <c r="AX62" s="8"/>
      <c r="AY62" s="4">
        <f>Tabel2425678[[#This Row],[Subtotaal waterbar in consumpties]]+Tabel2425678[[#This Row],[Subtotaal koffieautomaten]]</f>
        <v>1136</v>
      </c>
    </row>
    <row r="63" spans="1:51" x14ac:dyDescent="0.25">
      <c r="A63">
        <v>1</v>
      </c>
      <c r="B63" t="s">
        <v>111</v>
      </c>
      <c r="C63" t="s">
        <v>31</v>
      </c>
      <c r="E63" s="11">
        <v>3064</v>
      </c>
      <c r="F63" s="25">
        <v>2442</v>
      </c>
      <c r="G63" s="12">
        <f>Tabel2425678[[#This Row],[Stand Coffee einde maand]]-Tabel2425678[[#This Row],[Coffee vorige maand]]</f>
        <v>622</v>
      </c>
      <c r="H63" s="11">
        <v>198</v>
      </c>
      <c r="I63" s="25">
        <v>194</v>
      </c>
      <c r="J63" s="12">
        <f>Tabel2425678[[#This Row],[Stand Espresso Einde maand]]-Tabel2425678[[#This Row],[Espresso vorige maand]]</f>
        <v>4</v>
      </c>
      <c r="K63" s="11">
        <v>763</v>
      </c>
      <c r="L63" s="25">
        <v>643</v>
      </c>
      <c r="M63">
        <f>Tabel2425678[[#This Row],[Stand Latte Macchiato einde maand]]-Tabel2425678[[#This Row],[Latte Macchiato vorige maand]]</f>
        <v>120</v>
      </c>
      <c r="N63" s="11">
        <v>505</v>
      </c>
      <c r="O63" s="25">
        <v>325</v>
      </c>
      <c r="P63">
        <f>Tabel2425678[[#This Row],[Stand Coffee Latte einde maand]]-Tabel2425678[[#This Row],[Coffee Latte vorige maand]]</f>
        <v>180</v>
      </c>
      <c r="Q63" s="11">
        <v>2451</v>
      </c>
      <c r="R63" s="25">
        <v>1965</v>
      </c>
      <c r="S63">
        <f>Tabel2425678[[#This Row],[Stand Hot Water einde maand]]-Tabel2425678[[#This Row],[Hot Water vorige maand]]</f>
        <v>486</v>
      </c>
      <c r="T63" s="11">
        <v>722</v>
      </c>
      <c r="U63" s="25">
        <v>590</v>
      </c>
      <c r="V63">
        <f>Tabel2425678[[#This Row],[Stand Cappucino einde maand]]-Tabel2425678[[#This Row],[Stand Cappucino vorige maand]]</f>
        <v>132</v>
      </c>
      <c r="W63" s="11">
        <v>91</v>
      </c>
      <c r="X63" s="25">
        <v>76</v>
      </c>
      <c r="Y63">
        <f>Tabel2425678[[#This Row],[Stand Cappucino Plantaardig einde maand]]-Tabel2425678[[#This Row],[Stand Cappucino Plantaardig vorige maand]]</f>
        <v>15</v>
      </c>
      <c r="Z63" s="11">
        <v>235</v>
      </c>
      <c r="AA63" s="25">
        <v>227</v>
      </c>
      <c r="AB63" s="12">
        <f>Tabel2425678[[#This Row],[Stand Latte Macchiato Plantaardig einde maand]]-Tabel2425678[[#This Row],[Stand Latte Macchiato Plantaardig vorige maand]]</f>
        <v>8</v>
      </c>
      <c r="AC63" s="3">
        <f>Tabel2425678[[#This Row],[Verbruik Stand Latte Macchiato Plantaardig deze maand]]+Tabel2425678[[#This Row],[Verbruik  Cappucino Plantaardig deze maand]]+Tabel2425678[[#This Row],[Verbruik Cappucino deze maand]]+Tabel2425678[[#This Row],[Verbruik Hot Water deze maand]]+Tabel2425678[[#This Row],[Verbruik Coffee Latte deze maand]]+Tabel2425678[[#This Row],[Verbruik Latte Macchiato deze maand]]+Tabel2425678[[#This Row],[Verbruik Espresso deze maand]]+Tabel2425678[[#This Row],[Verbruik Coffee deze maand]]</f>
        <v>1567</v>
      </c>
      <c r="AD63" s="26"/>
      <c r="AE63" s="5"/>
      <c r="AF63" s="5"/>
      <c r="AG63" s="5"/>
      <c r="AH63" s="26"/>
      <c r="AI63" s="5"/>
      <c r="AJ63" s="5"/>
      <c r="AK63" s="5"/>
      <c r="AL63" s="26"/>
      <c r="AM63" s="5"/>
      <c r="AN63" s="5"/>
      <c r="AO63" s="5"/>
      <c r="AP63" s="26"/>
      <c r="AQ63" s="5"/>
      <c r="AR63" s="5"/>
      <c r="AS63" s="5"/>
      <c r="AT63" s="26"/>
      <c r="AU63" s="5"/>
      <c r="AV63" s="5"/>
      <c r="AW63" s="21"/>
      <c r="AX63" s="8"/>
      <c r="AY63" s="4">
        <f>Tabel2425678[[#This Row],[Subtotaal waterbar in consumpties]]+Tabel2425678[[#This Row],[Subtotaal koffieautomaten]]</f>
        <v>1567</v>
      </c>
    </row>
    <row r="64" spans="1:51" x14ac:dyDescent="0.25">
      <c r="A64" s="3" t="s">
        <v>112</v>
      </c>
      <c r="E64" s="24">
        <f>SUM(E3:E63)</f>
        <v>154348</v>
      </c>
      <c r="F64" s="24">
        <f t="shared" ref="F64:G64" si="0">SUM(F3:F63)</f>
        <v>136816</v>
      </c>
      <c r="G64" s="24">
        <f t="shared" si="0"/>
        <v>17532</v>
      </c>
      <c r="H64" s="24">
        <f>SUM(H3:H63)</f>
        <v>38691</v>
      </c>
      <c r="I64" s="24">
        <f t="shared" ref="I64" si="1">SUM(I3:I63)</f>
        <v>34763</v>
      </c>
      <c r="J64" s="24">
        <f t="shared" ref="J64" si="2">SUM(J3:J63)</f>
        <v>3928</v>
      </c>
      <c r="K64" s="24">
        <f>SUM(K3:K63)</f>
        <v>20175</v>
      </c>
      <c r="L64" s="24">
        <f t="shared" ref="L64" si="3">SUM(L3:L63)</f>
        <v>17899</v>
      </c>
      <c r="M64" s="24">
        <f t="shared" ref="M64" si="4">SUM(M3:M63)</f>
        <v>2276</v>
      </c>
      <c r="N64" s="24">
        <f>SUM(N3:N63)</f>
        <v>11314</v>
      </c>
      <c r="O64" s="24">
        <f t="shared" ref="O64" si="5">SUM(O3:O63)</f>
        <v>10014</v>
      </c>
      <c r="P64" s="24">
        <f t="shared" ref="P64" si="6">SUM(P3:P63)</f>
        <v>1300</v>
      </c>
      <c r="Q64" s="24">
        <f>SUM(Q3:Q63)</f>
        <v>175320</v>
      </c>
      <c r="R64" s="24">
        <f t="shared" ref="R64" si="7">SUM(R3:R63)</f>
        <v>156228</v>
      </c>
      <c r="S64" s="24">
        <f t="shared" ref="S64" si="8">SUM(S3:S63)</f>
        <v>19092</v>
      </c>
      <c r="T64" s="24">
        <f>SUM(T3:T63)</f>
        <v>87503</v>
      </c>
      <c r="U64" s="24">
        <f t="shared" ref="U64" si="9">SUM(U3:U63)</f>
        <v>77379</v>
      </c>
      <c r="V64" s="24">
        <f t="shared" ref="V64" si="10">SUM(V3:V63)</f>
        <v>10124</v>
      </c>
      <c r="W64" s="24">
        <f>SUM(W3:W63)</f>
        <v>21244</v>
      </c>
      <c r="X64" s="24">
        <f t="shared" ref="X64" si="11">SUM(X3:X63)</f>
        <v>19427</v>
      </c>
      <c r="Y64" s="24">
        <f t="shared" ref="Y64" si="12">SUM(Y3:Y63)</f>
        <v>1817</v>
      </c>
      <c r="Z64" s="24">
        <f>SUM(Z3:Z63)</f>
        <v>7596</v>
      </c>
      <c r="AA64" s="24">
        <f t="shared" ref="AA64" si="13">SUM(AA3:AA63)</f>
        <v>6841</v>
      </c>
      <c r="AB64" s="24">
        <f t="shared" ref="AB64" si="14">SUM(AB3:AB63)</f>
        <v>755</v>
      </c>
      <c r="AC64" s="3">
        <f>SUM(AC3:AC63)</f>
        <v>56824</v>
      </c>
      <c r="AD64" s="24">
        <f>SUM(AD3:AD63)</f>
        <v>2551.6999999999998</v>
      </c>
      <c r="AE64" s="3">
        <f>SUM(AE4:AE63)</f>
        <v>2170.7999999999993</v>
      </c>
      <c r="AF64" s="4">
        <f t="shared" ref="AF64:AW64" si="15">SUM(AF3:AF63)</f>
        <v>380.9</v>
      </c>
      <c r="AG64" s="4">
        <f>SUM(AG3:AG63)</f>
        <v>2539.3333333333344</v>
      </c>
      <c r="AH64" s="23">
        <f t="shared" si="15"/>
        <v>16650.300000000007</v>
      </c>
      <c r="AI64" s="3">
        <f>SUM(AI4:AI63)</f>
        <v>13735.399999999998</v>
      </c>
      <c r="AJ64" s="4">
        <f t="shared" si="15"/>
        <v>2914.9000000000005</v>
      </c>
      <c r="AK64" s="4">
        <f t="shared" si="15"/>
        <v>19432.666666666668</v>
      </c>
      <c r="AL64" s="23">
        <f t="shared" si="15"/>
        <v>15484.300000000003</v>
      </c>
      <c r="AM64" s="3">
        <f>SUM(AM4:AM63)</f>
        <v>12980.700000000003</v>
      </c>
      <c r="AN64" s="4">
        <f t="shared" si="15"/>
        <v>2503.6000000000004</v>
      </c>
      <c r="AO64" s="4">
        <f t="shared" si="15"/>
        <v>16690.666666666668</v>
      </c>
      <c r="AP64" s="23">
        <f t="shared" si="15"/>
        <v>7506.2999999999984</v>
      </c>
      <c r="AQ64" s="3">
        <f>SUM(AQ4:AQ63)</f>
        <v>6470.9</v>
      </c>
      <c r="AR64" s="3">
        <f>SUM(AR4:AR63)</f>
        <v>1035.4000000000001</v>
      </c>
      <c r="AS64" s="4">
        <f t="shared" si="15"/>
        <v>6902.6666666666697</v>
      </c>
      <c r="AT64" s="23">
        <f t="shared" si="15"/>
        <v>46226.799999999996</v>
      </c>
      <c r="AU64" s="3">
        <f>SUM(AU4:AU63)</f>
        <v>40757.1</v>
      </c>
      <c r="AV64" s="3">
        <f>SUM(AV4:AV63)</f>
        <v>5469.7</v>
      </c>
      <c r="AW64" s="22">
        <f t="shared" si="15"/>
        <v>36464.666666666664</v>
      </c>
      <c r="AX64" s="4">
        <f>SUM(AX3:AX63)</f>
        <v>82030</v>
      </c>
      <c r="AY64" s="4">
        <f>Tabel2425678[[#This Row],[Subtotaal waterbar in consumpties]]+Tabel2425678[[#This Row],[Subtotaal koffieautomaten]]</f>
        <v>138854</v>
      </c>
    </row>
    <row r="65" spans="8:53" x14ac:dyDescent="0.25">
      <c r="H65" s="13"/>
      <c r="I65" s="14"/>
      <c r="J65" s="15"/>
      <c r="K65" s="13"/>
      <c r="L65" s="14"/>
      <c r="M65" s="14"/>
      <c r="AX65" s="3"/>
      <c r="AY65" s="3"/>
    </row>
    <row r="67" spans="8:53" x14ac:dyDescent="0.25">
      <c r="AY67" s="2"/>
    </row>
    <row r="68" spans="8:53" x14ac:dyDescent="0.25">
      <c r="AY68" s="2"/>
    </row>
    <row r="70" spans="8:53" x14ac:dyDescent="0.25">
      <c r="BA70" s="2">
        <f>AY64-AG64-AK64</f>
        <v>116881.99999999999</v>
      </c>
    </row>
  </sheetData>
  <mergeCells count="3">
    <mergeCell ref="A1:D1"/>
    <mergeCell ref="E1:AC1"/>
    <mergeCell ref="AD1:AY1"/>
  </mergeCell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C3C50-8019-4A35-9CBB-247B48962B76}">
  <dimension ref="A1:BA71"/>
  <sheetViews>
    <sheetView topLeftCell="AK35" workbookViewId="0">
      <selection activeCell="G19" sqref="G19"/>
    </sheetView>
  </sheetViews>
  <sheetFormatPr defaultRowHeight="15" x14ac:dyDescent="0.25"/>
  <cols>
    <col min="1" max="1" width="32.140625" bestFit="1" customWidth="1"/>
    <col min="2" max="2" width="21.42578125" bestFit="1" customWidth="1"/>
    <col min="3" max="3" width="25.42578125" bestFit="1" customWidth="1"/>
    <col min="4" max="4" width="18.5703125" customWidth="1"/>
    <col min="5" max="5" width="10.140625" style="11" customWidth="1"/>
    <col min="6" max="6" width="10.42578125" customWidth="1"/>
    <col min="7" max="7" width="10.5703125" style="12" customWidth="1"/>
    <col min="8" max="8" width="11.85546875" customWidth="1"/>
    <col min="9" max="9" width="11.7109375" customWidth="1"/>
    <col min="10" max="10" width="12.42578125" customWidth="1"/>
    <col min="11" max="11" width="17.140625" customWidth="1"/>
    <col min="12" max="12" width="13.5703125" customWidth="1"/>
    <col min="13" max="13" width="13.42578125" bestFit="1" customWidth="1"/>
    <col min="14" max="14" width="14" style="11" customWidth="1"/>
    <col min="15" max="16" width="14" customWidth="1"/>
    <col min="17" max="17" width="14.140625" style="11" customWidth="1"/>
    <col min="18" max="19" width="12.28515625" customWidth="1"/>
    <col min="20" max="20" width="12.42578125" style="11" customWidth="1"/>
    <col min="21" max="22" width="12.42578125" customWidth="1"/>
    <col min="23" max="23" width="17" style="11" customWidth="1"/>
    <col min="24" max="25" width="17" customWidth="1"/>
    <col min="26" max="26" width="20.7109375" style="11" customWidth="1"/>
    <col min="27" max="27" width="20.7109375" customWidth="1"/>
    <col min="28" max="28" width="20.7109375" style="12" customWidth="1"/>
    <col min="29" max="29" width="13.85546875" customWidth="1"/>
    <col min="30" max="30" width="17.5703125" style="11" customWidth="1"/>
    <col min="31" max="32" width="17.5703125" customWidth="1"/>
    <col min="33" max="33" width="20.28515625" customWidth="1"/>
    <col min="34" max="34" width="14.42578125" style="11" customWidth="1"/>
    <col min="35" max="36" width="14.42578125" customWidth="1"/>
    <col min="37" max="37" width="21.28515625" customWidth="1"/>
    <col min="38" max="38" width="15.140625" style="11" customWidth="1"/>
    <col min="39" max="40" width="15.140625" customWidth="1"/>
    <col min="41" max="41" width="21.28515625" customWidth="1"/>
    <col min="42" max="42" width="19.42578125" style="11" customWidth="1"/>
    <col min="43" max="44" width="19.42578125" customWidth="1"/>
    <col min="45" max="45" width="21.28515625" customWidth="1"/>
    <col min="46" max="46" width="17" style="11" customWidth="1"/>
    <col min="47" max="48" width="17" customWidth="1"/>
    <col min="49" max="49" width="21.28515625" style="12" customWidth="1"/>
    <col min="50" max="50" width="20" customWidth="1"/>
    <col min="51" max="51" width="14.140625" customWidth="1"/>
  </cols>
  <sheetData>
    <row r="1" spans="1:51" x14ac:dyDescent="0.25">
      <c r="A1" s="172" t="s">
        <v>0</v>
      </c>
      <c r="B1" s="172"/>
      <c r="C1" s="172"/>
      <c r="D1" s="172"/>
      <c r="E1" s="172" t="s">
        <v>1</v>
      </c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 t="s">
        <v>2</v>
      </c>
      <c r="AE1" s="172"/>
      <c r="AF1" s="172"/>
      <c r="AG1" s="172"/>
      <c r="AH1" s="172"/>
      <c r="AI1" s="172"/>
      <c r="AJ1" s="172"/>
      <c r="AK1" s="172"/>
      <c r="AL1" s="172"/>
      <c r="AM1" s="172"/>
      <c r="AN1" s="172"/>
      <c r="AO1" s="172"/>
      <c r="AP1" s="172"/>
      <c r="AQ1" s="172"/>
      <c r="AR1" s="172"/>
      <c r="AS1" s="172"/>
      <c r="AT1" s="172"/>
      <c r="AU1" s="172"/>
      <c r="AV1" s="172"/>
      <c r="AW1" s="172"/>
      <c r="AX1" s="172"/>
      <c r="AY1" s="172"/>
    </row>
    <row r="2" spans="1:51" ht="60" x14ac:dyDescent="0.25">
      <c r="A2" t="s">
        <v>3</v>
      </c>
      <c r="B2" t="s">
        <v>4</v>
      </c>
      <c r="C2" t="s">
        <v>5</v>
      </c>
      <c r="D2" t="s">
        <v>6</v>
      </c>
      <c r="E2" s="9" t="s">
        <v>113</v>
      </c>
      <c r="F2" s="1" t="s">
        <v>114</v>
      </c>
      <c r="G2" s="10" t="s">
        <v>115</v>
      </c>
      <c r="H2" s="1" t="s">
        <v>116</v>
      </c>
      <c r="I2" s="1" t="s">
        <v>117</v>
      </c>
      <c r="J2" s="1" t="s">
        <v>118</v>
      </c>
      <c r="K2" s="1" t="s">
        <v>119</v>
      </c>
      <c r="L2" s="1" t="s">
        <v>120</v>
      </c>
      <c r="M2" s="1" t="s">
        <v>121</v>
      </c>
      <c r="N2" s="9" t="s">
        <v>122</v>
      </c>
      <c r="O2" s="1" t="s">
        <v>123</v>
      </c>
      <c r="P2" s="1" t="s">
        <v>124</v>
      </c>
      <c r="Q2" s="9" t="s">
        <v>125</v>
      </c>
      <c r="R2" s="1" t="s">
        <v>126</v>
      </c>
      <c r="S2" s="1" t="s">
        <v>127</v>
      </c>
      <c r="T2" s="9" t="s">
        <v>128</v>
      </c>
      <c r="U2" s="1" t="s">
        <v>129</v>
      </c>
      <c r="V2" s="1" t="s">
        <v>130</v>
      </c>
      <c r="W2" s="9" t="s">
        <v>131</v>
      </c>
      <c r="X2" s="1" t="s">
        <v>132</v>
      </c>
      <c r="Y2" s="1" t="s">
        <v>133</v>
      </c>
      <c r="Z2" s="9" t="s">
        <v>134</v>
      </c>
      <c r="AA2" s="1" t="s">
        <v>135</v>
      </c>
      <c r="AB2" s="10" t="s">
        <v>136</v>
      </c>
      <c r="AC2" s="1" t="s">
        <v>15</v>
      </c>
      <c r="AD2" s="9" t="s">
        <v>137</v>
      </c>
      <c r="AE2" s="1" t="s">
        <v>138</v>
      </c>
      <c r="AF2" s="1" t="s">
        <v>139</v>
      </c>
      <c r="AG2" s="1" t="s">
        <v>140</v>
      </c>
      <c r="AH2" s="9" t="s">
        <v>141</v>
      </c>
      <c r="AI2" s="1" t="s">
        <v>142</v>
      </c>
      <c r="AJ2" s="1" t="s">
        <v>143</v>
      </c>
      <c r="AK2" s="1" t="s">
        <v>144</v>
      </c>
      <c r="AL2" s="9" t="s">
        <v>145</v>
      </c>
      <c r="AM2" s="1" t="s">
        <v>146</v>
      </c>
      <c r="AN2" s="1" t="s">
        <v>147</v>
      </c>
      <c r="AO2" s="1" t="s">
        <v>148</v>
      </c>
      <c r="AP2" s="9" t="s">
        <v>149</v>
      </c>
      <c r="AQ2" s="1" t="s">
        <v>150</v>
      </c>
      <c r="AR2" s="1" t="s">
        <v>151</v>
      </c>
      <c r="AS2" s="1" t="s">
        <v>152</v>
      </c>
      <c r="AT2" s="9" t="s">
        <v>153</v>
      </c>
      <c r="AU2" s="1" t="s">
        <v>154</v>
      </c>
      <c r="AV2" s="1" t="s">
        <v>155</v>
      </c>
      <c r="AW2" s="10" t="s">
        <v>156</v>
      </c>
      <c r="AX2" s="1" t="s">
        <v>157</v>
      </c>
      <c r="AY2" t="s">
        <v>27</v>
      </c>
    </row>
    <row r="3" spans="1:51" x14ac:dyDescent="0.25">
      <c r="A3" s="3" t="s">
        <v>28</v>
      </c>
      <c r="E3" s="25"/>
      <c r="H3" s="27"/>
      <c r="I3" s="18"/>
      <c r="J3" s="19"/>
      <c r="K3" s="27"/>
      <c r="L3" s="18"/>
      <c r="M3" s="18"/>
      <c r="N3" s="25"/>
      <c r="Q3" s="25"/>
      <c r="T3" s="25"/>
      <c r="W3" s="25"/>
      <c r="Z3" s="25"/>
      <c r="AC3" s="3"/>
      <c r="AG3" s="2"/>
      <c r="AH3" s="25"/>
      <c r="AK3" s="2"/>
      <c r="AL3" s="25"/>
      <c r="AO3" s="2"/>
      <c r="AP3" s="25"/>
      <c r="AS3" s="2"/>
      <c r="AT3" s="25"/>
      <c r="AW3" s="20"/>
      <c r="AX3" s="4"/>
      <c r="AY3" s="4">
        <f>Tabel24256789[[#This Row],[Subtotaal waterbar in consumpties]]+Tabel24256789[[#This Row],[Subtotaal koffieautomaten]]</f>
        <v>0</v>
      </c>
    </row>
    <row r="4" spans="1:51" x14ac:dyDescent="0.25">
      <c r="A4" t="s">
        <v>29</v>
      </c>
      <c r="B4" t="s">
        <v>30</v>
      </c>
      <c r="C4" t="s">
        <v>31</v>
      </c>
      <c r="E4" s="11">
        <v>1501</v>
      </c>
      <c r="F4" s="11">
        <v>1350</v>
      </c>
      <c r="G4" s="12">
        <f>Tabel24256789[[#This Row],[Stand Coffee einde maand]]-Tabel24256789[[#This Row],[Coffee vorige maand]]</f>
        <v>151</v>
      </c>
      <c r="H4" s="11">
        <v>572</v>
      </c>
      <c r="I4" s="11">
        <v>499</v>
      </c>
      <c r="J4" s="12">
        <f>Tabel24256789[[#This Row],[Stand Espresso Einde maand]]-Tabel24256789[[#This Row],[Espresso vorige maand]]</f>
        <v>73</v>
      </c>
      <c r="K4" s="11">
        <v>583</v>
      </c>
      <c r="L4" s="11">
        <v>502</v>
      </c>
      <c r="M4">
        <f>Tabel24256789[[#This Row],[Stand Latte Macchiato einde maand]]-Tabel24256789[[#This Row],[Latte Macchiato vorige maand]]</f>
        <v>81</v>
      </c>
      <c r="N4" s="11">
        <v>603</v>
      </c>
      <c r="O4" s="11">
        <v>546</v>
      </c>
      <c r="P4">
        <f>Tabel24256789[[#This Row],[Stand Coffee Latte einde maand]]-Tabel24256789[[#This Row],[Coffee Latte vorige maand]]</f>
        <v>57</v>
      </c>
      <c r="Q4" s="11">
        <v>2382</v>
      </c>
      <c r="R4" s="11">
        <v>2118</v>
      </c>
      <c r="S4">
        <f>Tabel24256789[[#This Row],[Stand Hot Water einde maand]]-Tabel24256789[[#This Row],[Hot Water vorige maand]]</f>
        <v>264</v>
      </c>
      <c r="T4" s="11">
        <v>2311</v>
      </c>
      <c r="U4" s="11">
        <v>2008</v>
      </c>
      <c r="V4">
        <f>Tabel24256789[[#This Row],[Stand Cappucino einde maand]]-Tabel24256789[[#This Row],[Stand Cappucino vorige maand]]</f>
        <v>303</v>
      </c>
      <c r="W4" s="11">
        <v>62</v>
      </c>
      <c r="X4" s="11">
        <v>60</v>
      </c>
      <c r="Y4">
        <f>Tabel24256789[[#This Row],[Stand Cappucino Plantaardig einde maand]]-Tabel24256789[[#This Row],[Stand Cappucino Plantaardig vorige maand]]</f>
        <v>2</v>
      </c>
      <c r="Z4" s="11">
        <v>77</v>
      </c>
      <c r="AA4" s="11">
        <v>56</v>
      </c>
      <c r="AB4" s="12">
        <f>Tabel24256789[[#This Row],[Stand Latte Macchiato Plantaardig einde maand]]-Tabel24256789[[#This Row],[Stand Latte Macchiato Plantaardig vorige maand]]</f>
        <v>21</v>
      </c>
      <c r="AC4" s="3">
        <f>Tabel24256789[[#This Row],[Verbruik Stand Latte Macchiato Plantaardig deze maand]]+Tabel24256789[[#This Row],[Verbruik  Cappucino Plantaardig deze maand]]+Tabel24256789[[#This Row],[Verbruik Cappucino deze maand]]+Tabel24256789[[#This Row],[Verbruik Hot Water deze maand]]+Tabel24256789[[#This Row],[Verbruik Coffee Latte deze maand]]+Tabel24256789[[#This Row],[Verbruik Latte Macchiato deze maand]]+Tabel24256789[[#This Row],[Verbruik Espresso deze maand]]+Tabel24256789[[#This Row],[Verbruik Coffee deze maand]]</f>
        <v>952</v>
      </c>
      <c r="AD4" s="26"/>
      <c r="AE4" s="26"/>
      <c r="AF4" s="5"/>
      <c r="AG4" s="5"/>
      <c r="AH4" s="26"/>
      <c r="AI4" s="26"/>
      <c r="AJ4" s="5"/>
      <c r="AK4" s="5"/>
      <c r="AL4" s="26"/>
      <c r="AM4" s="26"/>
      <c r="AN4" s="5"/>
      <c r="AO4" s="5"/>
      <c r="AP4" s="26"/>
      <c r="AQ4" s="26"/>
      <c r="AR4" s="5"/>
      <c r="AS4" s="5"/>
      <c r="AT4" s="26"/>
      <c r="AU4" s="26"/>
      <c r="AV4" s="5"/>
      <c r="AW4" s="21"/>
      <c r="AX4" s="8"/>
      <c r="AY4" s="4">
        <f>Tabel24256789[[#This Row],[Subtotaal waterbar in consumpties]]+Tabel24256789[[#This Row],[Subtotaal koffieautomaten]]</f>
        <v>952</v>
      </c>
    </row>
    <row r="5" spans="1:51" x14ac:dyDescent="0.25">
      <c r="A5" t="s">
        <v>32</v>
      </c>
      <c r="B5" t="s">
        <v>33</v>
      </c>
      <c r="C5" t="s">
        <v>31</v>
      </c>
      <c r="E5" s="11">
        <v>2902</v>
      </c>
      <c r="F5" s="11">
        <v>2726</v>
      </c>
      <c r="G5" s="12">
        <f>Tabel24256789[[#This Row],[Stand Coffee einde maand]]-Tabel24256789[[#This Row],[Coffee vorige maand]]</f>
        <v>176</v>
      </c>
      <c r="H5" s="11">
        <v>810</v>
      </c>
      <c r="I5" s="11">
        <v>700</v>
      </c>
      <c r="J5" s="12">
        <f>Tabel24256789[[#This Row],[Stand Espresso Einde maand]]-Tabel24256789[[#This Row],[Espresso vorige maand]]</f>
        <v>110</v>
      </c>
      <c r="K5" s="11">
        <v>733</v>
      </c>
      <c r="L5" s="11">
        <v>678</v>
      </c>
      <c r="M5">
        <f>Tabel24256789[[#This Row],[Stand Latte Macchiato einde maand]]-Tabel24256789[[#This Row],[Latte Macchiato vorige maand]]</f>
        <v>55</v>
      </c>
      <c r="N5" s="11">
        <v>821</v>
      </c>
      <c r="O5" s="11">
        <v>738</v>
      </c>
      <c r="P5">
        <f>Tabel24256789[[#This Row],[Stand Coffee Latte einde maand]]-Tabel24256789[[#This Row],[Coffee Latte vorige maand]]</f>
        <v>83</v>
      </c>
      <c r="Q5" s="11">
        <v>6919</v>
      </c>
      <c r="R5" s="11">
        <v>6316</v>
      </c>
      <c r="S5">
        <f>Tabel24256789[[#This Row],[Stand Hot Water einde maand]]-Tabel24256789[[#This Row],[Hot Water vorige maand]]</f>
        <v>603</v>
      </c>
      <c r="T5" s="11">
        <v>4070</v>
      </c>
      <c r="U5" s="11">
        <v>3744</v>
      </c>
      <c r="V5">
        <f>Tabel24256789[[#This Row],[Stand Cappucino einde maand]]-Tabel24256789[[#This Row],[Stand Cappucino vorige maand]]</f>
        <v>326</v>
      </c>
      <c r="W5" s="11">
        <v>557</v>
      </c>
      <c r="X5" s="11">
        <v>527</v>
      </c>
      <c r="Y5">
        <f>Tabel24256789[[#This Row],[Stand Cappucino Plantaardig einde maand]]-Tabel24256789[[#This Row],[Stand Cappucino Plantaardig vorige maand]]</f>
        <v>30</v>
      </c>
      <c r="Z5" s="11">
        <v>332</v>
      </c>
      <c r="AA5" s="11">
        <v>275</v>
      </c>
      <c r="AB5" s="12">
        <f>Tabel24256789[[#This Row],[Stand Latte Macchiato Plantaardig einde maand]]-Tabel24256789[[#This Row],[Stand Latte Macchiato Plantaardig vorige maand]]</f>
        <v>57</v>
      </c>
      <c r="AC5" s="3">
        <f>Tabel24256789[[#This Row],[Verbruik Stand Latte Macchiato Plantaardig deze maand]]+Tabel24256789[[#This Row],[Verbruik  Cappucino Plantaardig deze maand]]+Tabel24256789[[#This Row],[Verbruik Cappucino deze maand]]+Tabel24256789[[#This Row],[Verbruik Hot Water deze maand]]+Tabel24256789[[#This Row],[Verbruik Coffee Latte deze maand]]+Tabel24256789[[#This Row],[Verbruik Latte Macchiato deze maand]]+Tabel24256789[[#This Row],[Verbruik Espresso deze maand]]+Tabel24256789[[#This Row],[Verbruik Coffee deze maand]]</f>
        <v>1440</v>
      </c>
      <c r="AD5" s="26"/>
      <c r="AE5" s="26"/>
      <c r="AF5" s="5"/>
      <c r="AG5" s="5"/>
      <c r="AH5" s="26"/>
      <c r="AI5" s="26"/>
      <c r="AJ5" s="5"/>
      <c r="AK5" s="5"/>
      <c r="AL5" s="26"/>
      <c r="AM5" s="26"/>
      <c r="AN5" s="5"/>
      <c r="AO5" s="5"/>
      <c r="AP5" s="26"/>
      <c r="AQ5" s="26"/>
      <c r="AR5" s="5"/>
      <c r="AS5" s="5"/>
      <c r="AT5" s="26"/>
      <c r="AU5" s="26"/>
      <c r="AV5" s="5"/>
      <c r="AW5" s="21"/>
      <c r="AX5" s="8"/>
      <c r="AY5" s="4">
        <f>Tabel24256789[[#This Row],[Subtotaal waterbar in consumpties]]+Tabel24256789[[#This Row],[Subtotaal koffieautomaten]]</f>
        <v>1440</v>
      </c>
    </row>
    <row r="6" spans="1:51" x14ac:dyDescent="0.25">
      <c r="A6" t="s">
        <v>34</v>
      </c>
      <c r="B6" t="s">
        <v>35</v>
      </c>
      <c r="C6" t="s">
        <v>47</v>
      </c>
      <c r="E6" s="11">
        <v>1473</v>
      </c>
      <c r="F6" s="11">
        <v>1157</v>
      </c>
      <c r="G6" s="12">
        <f>Tabel24256789[[#This Row],[Stand Coffee einde maand]]-Tabel24256789[[#This Row],[Coffee vorige maand]]</f>
        <v>316</v>
      </c>
      <c r="H6" s="11">
        <v>197</v>
      </c>
      <c r="I6" s="11">
        <v>165</v>
      </c>
      <c r="J6" s="12">
        <f>Tabel24256789[[#This Row],[Stand Espresso Einde maand]]-Tabel24256789[[#This Row],[Espresso vorige maand]]</f>
        <v>32</v>
      </c>
      <c r="K6" s="11">
        <v>281</v>
      </c>
      <c r="L6" s="11">
        <v>229</v>
      </c>
      <c r="M6">
        <f>Tabel24256789[[#This Row],[Stand Latte Macchiato einde maand]]-Tabel24256789[[#This Row],[Latte Macchiato vorige maand]]</f>
        <v>52</v>
      </c>
      <c r="N6" s="11">
        <v>316</v>
      </c>
      <c r="O6" s="11">
        <v>259</v>
      </c>
      <c r="P6">
        <f>Tabel24256789[[#This Row],[Stand Coffee Latte einde maand]]-Tabel24256789[[#This Row],[Coffee Latte vorige maand]]</f>
        <v>57</v>
      </c>
      <c r="Q6" s="11">
        <v>1621</v>
      </c>
      <c r="R6" s="11">
        <v>1207</v>
      </c>
      <c r="S6">
        <f>Tabel24256789[[#This Row],[Stand Hot Water einde maand]]-Tabel24256789[[#This Row],[Hot Water vorige maand]]</f>
        <v>414</v>
      </c>
      <c r="T6" s="11">
        <v>2119</v>
      </c>
      <c r="U6" s="11">
        <v>1582</v>
      </c>
      <c r="V6">
        <f>Tabel24256789[[#This Row],[Stand Cappucino einde maand]]-Tabel24256789[[#This Row],[Stand Cappucino vorige maand]]</f>
        <v>537</v>
      </c>
      <c r="W6" s="11">
        <v>172</v>
      </c>
      <c r="X6" s="11">
        <v>146</v>
      </c>
      <c r="Y6">
        <f>Tabel24256789[[#This Row],[Stand Cappucino Plantaardig einde maand]]-Tabel24256789[[#This Row],[Stand Cappucino Plantaardig vorige maand]]</f>
        <v>26</v>
      </c>
      <c r="Z6" s="11">
        <v>107</v>
      </c>
      <c r="AA6" s="11">
        <v>81</v>
      </c>
      <c r="AB6" s="12">
        <f>Tabel24256789[[#This Row],[Stand Latte Macchiato Plantaardig einde maand]]-Tabel24256789[[#This Row],[Stand Latte Macchiato Plantaardig vorige maand]]</f>
        <v>26</v>
      </c>
      <c r="AC6" s="3">
        <f>Tabel24256789[[#This Row],[Verbruik Stand Latte Macchiato Plantaardig deze maand]]+Tabel24256789[[#This Row],[Verbruik  Cappucino Plantaardig deze maand]]+Tabel24256789[[#This Row],[Verbruik Cappucino deze maand]]+Tabel24256789[[#This Row],[Verbruik Hot Water deze maand]]+Tabel24256789[[#This Row],[Verbruik Coffee Latte deze maand]]+Tabel24256789[[#This Row],[Verbruik Latte Macchiato deze maand]]+Tabel24256789[[#This Row],[Verbruik Espresso deze maand]]+Tabel24256789[[#This Row],[Verbruik Coffee deze maand]]</f>
        <v>1460</v>
      </c>
      <c r="AD6" s="11">
        <v>106.8</v>
      </c>
      <c r="AE6" s="11">
        <v>99.7</v>
      </c>
      <c r="AF6">
        <f>Tabel24256789[[#This Row],[Stand Kamertemp liter einde maand]]-Tabel24256789[[#This Row],[Stand Kamertemp liter vorige maand]]</f>
        <v>7.0999999999999943</v>
      </c>
      <c r="AG6" s="2">
        <f>Tabel24256789[[#This Row],[Verbruik Kamertemp liter deze maand]]/0.15</f>
        <v>47.3333333333333</v>
      </c>
      <c r="AH6" s="11">
        <v>972.7</v>
      </c>
      <c r="AI6" s="11">
        <v>837.8</v>
      </c>
      <c r="AJ6">
        <f>Tabel24256789[[#This Row],[Stand Gekoeld liter einde maand]]-Tabel24256789[[#This Row],[Stand Gekoeld liter vorige maand]]</f>
        <v>134.90000000000009</v>
      </c>
      <c r="AK6" s="2">
        <f>Tabel24256789[[#This Row],[Verbruik Gekoeld liter deze maand]]/0.15</f>
        <v>899.33333333333394</v>
      </c>
      <c r="AL6" s="11">
        <v>585.79999999999995</v>
      </c>
      <c r="AM6" s="11">
        <v>533.1</v>
      </c>
      <c r="AN6">
        <f>Tabel24256789[[#This Row],[Stand Bruisend liter einde maand]]-Tabel24256789[[#This Row],[Stand Bruisend liter vorige maand]]</f>
        <v>52.699999999999932</v>
      </c>
      <c r="AO6" s="2">
        <f>Tabel24256789[[#This Row],[Verbruik Bruisend liter deze maand]]/0.15</f>
        <v>351.33333333333292</v>
      </c>
      <c r="AP6" s="11">
        <v>232.6</v>
      </c>
      <c r="AQ6" s="11">
        <v>219.2</v>
      </c>
      <c r="AR6">
        <f>Tabel24256789[[#This Row],[Stand licht bruisend liter einde maand]]-Tabel24256789[[#This Row],[Stand licht bruisend liter vorige maand]]</f>
        <v>13.400000000000006</v>
      </c>
      <c r="AS6" s="2">
        <f>Tabel24256789[[#This Row],[Verbruik licht bruisend liter deze maand]]/0.15</f>
        <v>89.333333333333371</v>
      </c>
      <c r="AT6" s="11">
        <v>975.4</v>
      </c>
      <c r="AU6" s="11">
        <v>909.1</v>
      </c>
      <c r="AV6">
        <f>Tabel24256789[[#This Row],[Stand heet water liter einde maand]]-Tabel24256789[[#This Row],[Stand heet water liter vorige maand]]</f>
        <v>66.299999999999955</v>
      </c>
      <c r="AW6" s="20">
        <f>Tabel24256789[[#This Row],[Verbruik heet Water liter deze maand ]]/0.15</f>
        <v>441.99999999999972</v>
      </c>
      <c r="AX6" s="4">
        <f>Tabel24256789[[#This Row],[Aantal consumpties heet water deze maand]]+Tabel24256789[[#This Row],[Aantal consumpties licht bruisend water deze maand]]+Tabel24256789[[#This Row],[aantal consumpties Bruisend water deze maand]]+Tabel24256789[[#This Row],[Aantal consumpties gekoeld water deze maand]]+Tabel24256789[[#This Row],[Aantal consumpties Kamertemp deze maand]]</f>
        <v>1829.3333333333333</v>
      </c>
      <c r="AY6" s="4">
        <f>Tabel24256789[[#This Row],[Subtotaal waterbar in consumpties]]+Tabel24256789[[#This Row],[Subtotaal koffieautomaten]]</f>
        <v>3289.333333333333</v>
      </c>
    </row>
    <row r="7" spans="1:51" x14ac:dyDescent="0.25">
      <c r="A7" t="s">
        <v>37</v>
      </c>
      <c r="B7" t="s">
        <v>38</v>
      </c>
      <c r="C7" t="s">
        <v>31</v>
      </c>
      <c r="E7" s="11">
        <v>3929</v>
      </c>
      <c r="F7" s="11">
        <v>3108</v>
      </c>
      <c r="G7" s="12">
        <f>Tabel24256789[[#This Row],[Stand Coffee einde maand]]-Tabel24256789[[#This Row],[Coffee vorige maand]]</f>
        <v>821</v>
      </c>
      <c r="H7" s="11">
        <v>1132</v>
      </c>
      <c r="I7" s="11">
        <v>986</v>
      </c>
      <c r="J7" s="12">
        <f>Tabel24256789[[#This Row],[Stand Espresso Einde maand]]-Tabel24256789[[#This Row],[Espresso vorige maand]]</f>
        <v>146</v>
      </c>
      <c r="K7" s="11">
        <v>463</v>
      </c>
      <c r="L7" s="11">
        <v>344</v>
      </c>
      <c r="M7">
        <f>Tabel24256789[[#This Row],[Stand Latte Macchiato einde maand]]-Tabel24256789[[#This Row],[Latte Macchiato vorige maand]]</f>
        <v>119</v>
      </c>
      <c r="N7" s="11">
        <v>340</v>
      </c>
      <c r="O7" s="11">
        <v>256</v>
      </c>
      <c r="P7">
        <f>Tabel24256789[[#This Row],[Stand Coffee Latte einde maand]]-Tabel24256789[[#This Row],[Coffee Latte vorige maand]]</f>
        <v>84</v>
      </c>
      <c r="Q7" s="11">
        <v>6290</v>
      </c>
      <c r="R7" s="11">
        <v>5025</v>
      </c>
      <c r="S7">
        <f>Tabel24256789[[#This Row],[Stand Hot Water einde maand]]-Tabel24256789[[#This Row],[Hot Water vorige maand]]</f>
        <v>1265</v>
      </c>
      <c r="T7" s="11">
        <v>2924</v>
      </c>
      <c r="U7" s="11">
        <v>2370</v>
      </c>
      <c r="V7">
        <f>Tabel24256789[[#This Row],[Stand Cappucino einde maand]]-Tabel24256789[[#This Row],[Stand Cappucino vorige maand]]</f>
        <v>554</v>
      </c>
      <c r="W7" s="11">
        <v>178</v>
      </c>
      <c r="X7" s="11">
        <v>152</v>
      </c>
      <c r="Y7">
        <f>Tabel24256789[[#This Row],[Stand Cappucino Plantaardig einde maand]]-Tabel24256789[[#This Row],[Stand Cappucino Plantaardig vorige maand]]</f>
        <v>26</v>
      </c>
      <c r="Z7" s="11">
        <v>87</v>
      </c>
      <c r="AA7" s="11">
        <v>72</v>
      </c>
      <c r="AB7" s="12">
        <f>Tabel24256789[[#This Row],[Stand Latte Macchiato Plantaardig einde maand]]-Tabel24256789[[#This Row],[Stand Latte Macchiato Plantaardig vorige maand]]</f>
        <v>15</v>
      </c>
      <c r="AC7" s="3">
        <f>Tabel24256789[[#This Row],[Verbruik Stand Latte Macchiato Plantaardig deze maand]]+Tabel24256789[[#This Row],[Verbruik  Cappucino Plantaardig deze maand]]+Tabel24256789[[#This Row],[Verbruik Cappucino deze maand]]+Tabel24256789[[#This Row],[Verbruik Hot Water deze maand]]+Tabel24256789[[#This Row],[Verbruik Coffee Latte deze maand]]+Tabel24256789[[#This Row],[Verbruik Latte Macchiato deze maand]]+Tabel24256789[[#This Row],[Verbruik Espresso deze maand]]+Tabel24256789[[#This Row],[Verbruik Coffee deze maand]]</f>
        <v>3030</v>
      </c>
      <c r="AD7" s="26"/>
      <c r="AE7" s="26"/>
      <c r="AF7" s="5"/>
      <c r="AG7" s="5"/>
      <c r="AH7" s="26"/>
      <c r="AI7" s="26"/>
      <c r="AJ7" s="5"/>
      <c r="AK7" s="5"/>
      <c r="AL7" s="26"/>
      <c r="AM7" s="26"/>
      <c r="AN7" s="5"/>
      <c r="AO7" s="5"/>
      <c r="AP7" s="26"/>
      <c r="AQ7" s="26"/>
      <c r="AR7" s="5"/>
      <c r="AS7" s="5"/>
      <c r="AT7" s="26"/>
      <c r="AU7" s="26"/>
      <c r="AV7" s="5"/>
      <c r="AW7" s="21"/>
      <c r="AX7" s="8"/>
      <c r="AY7" s="4">
        <f>Tabel24256789[[#This Row],[Subtotaal waterbar in consumpties]]+Tabel24256789[[#This Row],[Subtotaal koffieautomaten]]</f>
        <v>3030</v>
      </c>
    </row>
    <row r="8" spans="1:51" x14ac:dyDescent="0.25">
      <c r="A8" t="s">
        <v>39</v>
      </c>
      <c r="B8" t="s">
        <v>40</v>
      </c>
      <c r="C8" t="s">
        <v>31</v>
      </c>
      <c r="E8" s="11">
        <v>6285</v>
      </c>
      <c r="F8" s="11">
        <v>5335</v>
      </c>
      <c r="G8" s="12">
        <f>Tabel24256789[[#This Row],[Stand Coffee einde maand]]-Tabel24256789[[#This Row],[Coffee vorige maand]]</f>
        <v>950</v>
      </c>
      <c r="H8" s="11">
        <v>1701</v>
      </c>
      <c r="I8" s="11">
        <v>1605</v>
      </c>
      <c r="J8" s="12">
        <f>Tabel24256789[[#This Row],[Stand Espresso Einde maand]]-Tabel24256789[[#This Row],[Espresso vorige maand]]</f>
        <v>96</v>
      </c>
      <c r="K8" s="11">
        <v>997</v>
      </c>
      <c r="L8" s="11">
        <v>890</v>
      </c>
      <c r="M8">
        <f>Tabel24256789[[#This Row],[Stand Latte Macchiato einde maand]]-Tabel24256789[[#This Row],[Latte Macchiato vorige maand]]</f>
        <v>107</v>
      </c>
      <c r="N8" s="11">
        <v>537</v>
      </c>
      <c r="O8" s="11">
        <v>483</v>
      </c>
      <c r="P8">
        <f>Tabel24256789[[#This Row],[Stand Coffee Latte einde maand]]-Tabel24256789[[#This Row],[Coffee Latte vorige maand]]</f>
        <v>54</v>
      </c>
      <c r="Q8" s="11">
        <v>8765</v>
      </c>
      <c r="R8" s="11">
        <v>7464</v>
      </c>
      <c r="S8">
        <f>Tabel24256789[[#This Row],[Stand Hot Water einde maand]]-Tabel24256789[[#This Row],[Hot Water vorige maand]]</f>
        <v>1301</v>
      </c>
      <c r="T8" s="11">
        <v>4329</v>
      </c>
      <c r="U8" s="11">
        <v>3632</v>
      </c>
      <c r="V8">
        <f>Tabel24256789[[#This Row],[Stand Cappucino einde maand]]-Tabel24256789[[#This Row],[Stand Cappucino vorige maand]]</f>
        <v>697</v>
      </c>
      <c r="W8" s="11">
        <v>536</v>
      </c>
      <c r="X8" s="11">
        <v>524</v>
      </c>
      <c r="Y8">
        <f>Tabel24256789[[#This Row],[Stand Cappucino Plantaardig einde maand]]-Tabel24256789[[#This Row],[Stand Cappucino Plantaardig vorige maand]]</f>
        <v>12</v>
      </c>
      <c r="Z8" s="11">
        <v>58</v>
      </c>
      <c r="AA8" s="11">
        <v>54</v>
      </c>
      <c r="AB8" s="12">
        <f>Tabel24256789[[#This Row],[Stand Latte Macchiato Plantaardig einde maand]]-Tabel24256789[[#This Row],[Stand Latte Macchiato Plantaardig vorige maand]]</f>
        <v>4</v>
      </c>
      <c r="AC8" s="3">
        <f>Tabel24256789[[#This Row],[Verbruik Stand Latte Macchiato Plantaardig deze maand]]+Tabel24256789[[#This Row],[Verbruik  Cappucino Plantaardig deze maand]]+Tabel24256789[[#This Row],[Verbruik Cappucino deze maand]]+Tabel24256789[[#This Row],[Verbruik Hot Water deze maand]]+Tabel24256789[[#This Row],[Verbruik Coffee Latte deze maand]]+Tabel24256789[[#This Row],[Verbruik Latte Macchiato deze maand]]+Tabel24256789[[#This Row],[Verbruik Espresso deze maand]]+Tabel24256789[[#This Row],[Verbruik Coffee deze maand]]</f>
        <v>3221</v>
      </c>
      <c r="AD8" s="26"/>
      <c r="AE8" s="26"/>
      <c r="AF8" s="5"/>
      <c r="AG8" s="5"/>
      <c r="AH8" s="26"/>
      <c r="AI8" s="26"/>
      <c r="AJ8" s="5"/>
      <c r="AK8" s="5"/>
      <c r="AL8" s="26"/>
      <c r="AM8" s="26"/>
      <c r="AN8" s="5"/>
      <c r="AO8" s="5"/>
      <c r="AP8" s="26"/>
      <c r="AQ8" s="26"/>
      <c r="AR8" s="5"/>
      <c r="AS8" s="5"/>
      <c r="AT8" s="26"/>
      <c r="AU8" s="26"/>
      <c r="AV8" s="5"/>
      <c r="AW8" s="21"/>
      <c r="AX8" s="8"/>
      <c r="AY8" s="4">
        <f>Tabel24256789[[#This Row],[Subtotaal waterbar in consumpties]]+Tabel24256789[[#This Row],[Subtotaal koffieautomaten]]</f>
        <v>3221</v>
      </c>
    </row>
    <row r="9" spans="1:51" x14ac:dyDescent="0.25">
      <c r="A9" t="s">
        <v>41</v>
      </c>
      <c r="B9" t="s">
        <v>42</v>
      </c>
      <c r="C9" t="s">
        <v>31</v>
      </c>
      <c r="E9" s="11">
        <v>2742</v>
      </c>
      <c r="F9" s="11">
        <v>2353</v>
      </c>
      <c r="G9" s="12">
        <f>Tabel24256789[[#This Row],[Stand Coffee einde maand]]-Tabel24256789[[#This Row],[Coffee vorige maand]]</f>
        <v>389</v>
      </c>
      <c r="H9" s="11">
        <v>813</v>
      </c>
      <c r="I9" s="11">
        <v>710</v>
      </c>
      <c r="J9" s="12">
        <f>Tabel24256789[[#This Row],[Stand Espresso Einde maand]]-Tabel24256789[[#This Row],[Espresso vorige maand]]</f>
        <v>103</v>
      </c>
      <c r="K9" s="11">
        <v>954</v>
      </c>
      <c r="L9" s="11">
        <v>825</v>
      </c>
      <c r="M9">
        <f>Tabel24256789[[#This Row],[Stand Latte Macchiato einde maand]]-Tabel24256789[[#This Row],[Latte Macchiato vorige maand]]</f>
        <v>129</v>
      </c>
      <c r="N9" s="11">
        <v>481</v>
      </c>
      <c r="O9" s="11">
        <v>409</v>
      </c>
      <c r="P9">
        <f>Tabel24256789[[#This Row],[Stand Coffee Latte einde maand]]-Tabel24256789[[#This Row],[Coffee Latte vorige maand]]</f>
        <v>72</v>
      </c>
      <c r="Q9" s="11">
        <v>9378</v>
      </c>
      <c r="R9" s="11">
        <v>8502</v>
      </c>
      <c r="S9">
        <f>Tabel24256789[[#This Row],[Stand Hot Water einde maand]]-Tabel24256789[[#This Row],[Hot Water vorige maand]]</f>
        <v>876</v>
      </c>
      <c r="T9" s="11">
        <v>1834</v>
      </c>
      <c r="U9" s="11">
        <v>1597</v>
      </c>
      <c r="V9">
        <f>Tabel24256789[[#This Row],[Stand Cappucino einde maand]]-Tabel24256789[[#This Row],[Stand Cappucino vorige maand]]</f>
        <v>237</v>
      </c>
      <c r="W9" s="11">
        <v>553</v>
      </c>
      <c r="X9" s="11">
        <v>480</v>
      </c>
      <c r="Y9">
        <f>Tabel24256789[[#This Row],[Stand Cappucino Plantaardig einde maand]]-Tabel24256789[[#This Row],[Stand Cappucino Plantaardig vorige maand]]</f>
        <v>73</v>
      </c>
      <c r="Z9" s="11">
        <v>210</v>
      </c>
      <c r="AA9" s="11">
        <v>187</v>
      </c>
      <c r="AB9" s="12">
        <f>Tabel24256789[[#This Row],[Stand Latte Macchiato Plantaardig einde maand]]-Tabel24256789[[#This Row],[Stand Latte Macchiato Plantaardig vorige maand]]</f>
        <v>23</v>
      </c>
      <c r="AC9" s="3">
        <f>Tabel24256789[[#This Row],[Verbruik Stand Latte Macchiato Plantaardig deze maand]]+Tabel24256789[[#This Row],[Verbruik  Cappucino Plantaardig deze maand]]+Tabel24256789[[#This Row],[Verbruik Cappucino deze maand]]+Tabel24256789[[#This Row],[Verbruik Hot Water deze maand]]+Tabel24256789[[#This Row],[Verbruik Coffee Latte deze maand]]+Tabel24256789[[#This Row],[Verbruik Latte Macchiato deze maand]]+Tabel24256789[[#This Row],[Verbruik Espresso deze maand]]+Tabel24256789[[#This Row],[Verbruik Coffee deze maand]]</f>
        <v>1902</v>
      </c>
      <c r="AD9" s="26"/>
      <c r="AE9" s="26"/>
      <c r="AF9" s="5"/>
      <c r="AG9" s="5"/>
      <c r="AH9" s="26"/>
      <c r="AI9" s="26"/>
      <c r="AJ9" s="5"/>
      <c r="AK9" s="5"/>
      <c r="AL9" s="26"/>
      <c r="AM9" s="26"/>
      <c r="AN9" s="5"/>
      <c r="AO9" s="5"/>
      <c r="AP9" s="26"/>
      <c r="AQ9" s="26"/>
      <c r="AR9" s="5"/>
      <c r="AS9" s="5"/>
      <c r="AT9" s="26"/>
      <c r="AU9" s="26"/>
      <c r="AV9" s="5"/>
      <c r="AW9" s="21"/>
      <c r="AX9" s="8"/>
      <c r="AY9" s="4">
        <f>Tabel24256789[[#This Row],[Subtotaal waterbar in consumpties]]+Tabel24256789[[#This Row],[Subtotaal koffieautomaten]]</f>
        <v>1902</v>
      </c>
    </row>
    <row r="10" spans="1:51" x14ac:dyDescent="0.25">
      <c r="A10" t="s">
        <v>43</v>
      </c>
      <c r="B10" t="s">
        <v>44</v>
      </c>
      <c r="C10" t="s">
        <v>31</v>
      </c>
      <c r="E10" s="11">
        <v>4198</v>
      </c>
      <c r="F10" s="11">
        <v>3759</v>
      </c>
      <c r="G10" s="12">
        <f>Tabel24256789[[#This Row],[Stand Coffee einde maand]]-Tabel24256789[[#This Row],[Coffee vorige maand]]</f>
        <v>439</v>
      </c>
      <c r="H10" s="11">
        <v>817</v>
      </c>
      <c r="I10" s="11">
        <v>715</v>
      </c>
      <c r="J10" s="12">
        <f>Tabel24256789[[#This Row],[Stand Espresso Einde maand]]-Tabel24256789[[#This Row],[Espresso vorige maand]]</f>
        <v>102</v>
      </c>
      <c r="K10" s="11">
        <v>419</v>
      </c>
      <c r="L10" s="11">
        <v>395</v>
      </c>
      <c r="M10">
        <f>Tabel24256789[[#This Row],[Stand Latte Macchiato einde maand]]-Tabel24256789[[#This Row],[Latte Macchiato vorige maand]]</f>
        <v>24</v>
      </c>
      <c r="N10" s="11">
        <v>299</v>
      </c>
      <c r="O10" s="11">
        <v>273</v>
      </c>
      <c r="P10">
        <f>Tabel24256789[[#This Row],[Stand Coffee Latte einde maand]]-Tabel24256789[[#This Row],[Coffee Latte vorige maand]]</f>
        <v>26</v>
      </c>
      <c r="Q10" s="11">
        <v>6455</v>
      </c>
      <c r="R10" s="11">
        <v>5561</v>
      </c>
      <c r="S10">
        <f>Tabel24256789[[#This Row],[Stand Hot Water einde maand]]-Tabel24256789[[#This Row],[Hot Water vorige maand]]</f>
        <v>894</v>
      </c>
      <c r="T10" s="11">
        <v>2131</v>
      </c>
      <c r="U10" s="11">
        <v>1936</v>
      </c>
      <c r="V10">
        <f>Tabel24256789[[#This Row],[Stand Cappucino einde maand]]-Tabel24256789[[#This Row],[Stand Cappucino vorige maand]]</f>
        <v>195</v>
      </c>
      <c r="W10" s="11">
        <v>627</v>
      </c>
      <c r="X10" s="11">
        <v>582</v>
      </c>
      <c r="Y10">
        <f>Tabel24256789[[#This Row],[Stand Cappucino Plantaardig einde maand]]-Tabel24256789[[#This Row],[Stand Cappucino Plantaardig vorige maand]]</f>
        <v>45</v>
      </c>
      <c r="Z10" s="11">
        <v>384</v>
      </c>
      <c r="AA10" s="11">
        <v>359</v>
      </c>
      <c r="AB10" s="12">
        <f>Tabel24256789[[#This Row],[Stand Latte Macchiato Plantaardig einde maand]]-Tabel24256789[[#This Row],[Stand Latte Macchiato Plantaardig vorige maand]]</f>
        <v>25</v>
      </c>
      <c r="AC10" s="3">
        <f>Tabel24256789[[#This Row],[Verbruik Stand Latte Macchiato Plantaardig deze maand]]+Tabel24256789[[#This Row],[Verbruik  Cappucino Plantaardig deze maand]]+Tabel24256789[[#This Row],[Verbruik Cappucino deze maand]]+Tabel24256789[[#This Row],[Verbruik Hot Water deze maand]]+Tabel24256789[[#This Row],[Verbruik Coffee Latte deze maand]]+Tabel24256789[[#This Row],[Verbruik Latte Macchiato deze maand]]+Tabel24256789[[#This Row],[Verbruik Espresso deze maand]]+Tabel24256789[[#This Row],[Verbruik Coffee deze maand]]</f>
        <v>1750</v>
      </c>
      <c r="AD10" s="26"/>
      <c r="AE10" s="26"/>
      <c r="AF10" s="5"/>
      <c r="AG10" s="7"/>
      <c r="AH10" s="26"/>
      <c r="AI10" s="26"/>
      <c r="AJ10" s="5"/>
      <c r="AK10" s="5"/>
      <c r="AL10" s="26"/>
      <c r="AM10" s="26"/>
      <c r="AN10" s="5"/>
      <c r="AO10" s="5"/>
      <c r="AP10" s="26"/>
      <c r="AQ10" s="26"/>
      <c r="AR10" s="5"/>
      <c r="AS10" s="5"/>
      <c r="AT10" s="26"/>
      <c r="AU10" s="26"/>
      <c r="AV10" s="5"/>
      <c r="AW10" s="21"/>
      <c r="AX10" s="8"/>
      <c r="AY10" s="4">
        <f>Tabel24256789[[#This Row],[Subtotaal waterbar in consumpties]]+Tabel24256789[[#This Row],[Subtotaal koffieautomaten]]</f>
        <v>1750</v>
      </c>
    </row>
    <row r="11" spans="1:51" x14ac:dyDescent="0.25">
      <c r="A11" t="s">
        <v>45</v>
      </c>
      <c r="B11" t="s">
        <v>46</v>
      </c>
      <c r="C11" t="s">
        <v>47</v>
      </c>
      <c r="E11" s="11">
        <v>6684</v>
      </c>
      <c r="F11" s="11">
        <v>5953</v>
      </c>
      <c r="G11" s="12">
        <f>Tabel24256789[[#This Row],[Stand Coffee einde maand]]-Tabel24256789[[#This Row],[Coffee vorige maand]]</f>
        <v>731</v>
      </c>
      <c r="H11" s="11">
        <v>679</v>
      </c>
      <c r="I11" s="11">
        <v>636</v>
      </c>
      <c r="J11" s="12">
        <f>Tabel24256789[[#This Row],[Stand Espresso Einde maand]]-Tabel24256789[[#This Row],[Espresso vorige maand]]</f>
        <v>43</v>
      </c>
      <c r="K11" s="11">
        <v>440</v>
      </c>
      <c r="L11" s="11">
        <v>413</v>
      </c>
      <c r="M11">
        <f>Tabel24256789[[#This Row],[Stand Latte Macchiato einde maand]]-Tabel24256789[[#This Row],[Latte Macchiato vorige maand]]</f>
        <v>27</v>
      </c>
      <c r="N11" s="11">
        <v>246</v>
      </c>
      <c r="O11" s="11">
        <v>209</v>
      </c>
      <c r="P11">
        <f>Tabel24256789[[#This Row],[Stand Coffee Latte einde maand]]-Tabel24256789[[#This Row],[Coffee Latte vorige maand]]</f>
        <v>37</v>
      </c>
      <c r="Q11" s="11">
        <v>1</v>
      </c>
      <c r="R11" s="11">
        <v>1</v>
      </c>
      <c r="S11">
        <f>Tabel24256789[[#This Row],[Stand Hot Water einde maand]]-Tabel24256789[[#This Row],[Hot Water vorige maand]]</f>
        <v>0</v>
      </c>
      <c r="T11" s="11">
        <v>2195</v>
      </c>
      <c r="U11" s="11">
        <v>1962</v>
      </c>
      <c r="V11">
        <f>Tabel24256789[[#This Row],[Stand Cappucino einde maand]]-Tabel24256789[[#This Row],[Stand Cappucino vorige maand]]</f>
        <v>233</v>
      </c>
      <c r="W11" s="11">
        <v>856</v>
      </c>
      <c r="X11" s="11">
        <v>737</v>
      </c>
      <c r="Y11">
        <f>Tabel24256789[[#This Row],[Stand Cappucino Plantaardig einde maand]]-Tabel24256789[[#This Row],[Stand Cappucino Plantaardig vorige maand]]</f>
        <v>119</v>
      </c>
      <c r="Z11" s="11">
        <v>382</v>
      </c>
      <c r="AA11" s="11">
        <v>362</v>
      </c>
      <c r="AB11" s="12">
        <f>Tabel24256789[[#This Row],[Stand Latte Macchiato Plantaardig einde maand]]-Tabel24256789[[#This Row],[Stand Latte Macchiato Plantaardig vorige maand]]</f>
        <v>20</v>
      </c>
      <c r="AC11" s="3">
        <f>Tabel24256789[[#This Row],[Verbruik Stand Latte Macchiato Plantaardig deze maand]]+Tabel24256789[[#This Row],[Verbruik  Cappucino Plantaardig deze maand]]+Tabel24256789[[#This Row],[Verbruik Cappucino deze maand]]+Tabel24256789[[#This Row],[Verbruik Hot Water deze maand]]+Tabel24256789[[#This Row],[Verbruik Coffee Latte deze maand]]+Tabel24256789[[#This Row],[Verbruik Latte Macchiato deze maand]]+Tabel24256789[[#This Row],[Verbruik Espresso deze maand]]+Tabel24256789[[#This Row],[Verbruik Coffee deze maand]]</f>
        <v>1210</v>
      </c>
      <c r="AD11" s="11">
        <v>205.9</v>
      </c>
      <c r="AE11" s="11">
        <v>190.2</v>
      </c>
      <c r="AF11">
        <f>Tabel24256789[[#This Row],[Stand Kamertemp liter einde maand]]-Tabel24256789[[#This Row],[Stand Kamertemp liter vorige maand]]</f>
        <v>15.700000000000017</v>
      </c>
      <c r="AG11" s="2">
        <f>Tabel24256789[[#This Row],[Verbruik Kamertemp liter deze maand]]/0.15</f>
        <v>104.66666666666679</v>
      </c>
      <c r="AH11" s="11">
        <v>1210.9000000000001</v>
      </c>
      <c r="AI11" s="11">
        <v>1088.8</v>
      </c>
      <c r="AJ11">
        <f>Tabel24256789[[#This Row],[Stand Gekoeld liter einde maand]]-Tabel24256789[[#This Row],[Stand Gekoeld liter vorige maand]]</f>
        <v>122.10000000000014</v>
      </c>
      <c r="AK11" s="2">
        <f>Tabel24256789[[#This Row],[Verbruik Gekoeld liter deze maand]]/0.15</f>
        <v>814.00000000000091</v>
      </c>
      <c r="AL11" s="11">
        <v>1167</v>
      </c>
      <c r="AM11" s="11">
        <v>1089.0999999999999</v>
      </c>
      <c r="AN11">
        <f>Tabel24256789[[#This Row],[Stand Bruisend liter einde maand]]-Tabel24256789[[#This Row],[Stand Bruisend liter vorige maand]]</f>
        <v>77.900000000000091</v>
      </c>
      <c r="AO11" s="2">
        <f>Tabel24256789[[#This Row],[Verbruik Bruisend liter deze maand]]/0.15</f>
        <v>519.33333333333394</v>
      </c>
      <c r="AP11" s="11">
        <v>525</v>
      </c>
      <c r="AQ11" s="11">
        <v>501.6</v>
      </c>
      <c r="AR11">
        <f>Tabel24256789[[#This Row],[Stand licht bruisend liter einde maand]]-Tabel24256789[[#This Row],[Stand licht bruisend liter vorige maand]]</f>
        <v>23.399999999999977</v>
      </c>
      <c r="AS11" s="2">
        <f>Tabel24256789[[#This Row],[Verbruik licht bruisend liter deze maand]]/0.15</f>
        <v>155.99999999999986</v>
      </c>
      <c r="AT11" s="11">
        <v>2916.9</v>
      </c>
      <c r="AU11" s="11">
        <v>2749.2</v>
      </c>
      <c r="AV11">
        <f>Tabel24256789[[#This Row],[Stand heet water liter einde maand]]-Tabel24256789[[#This Row],[Stand heet water liter vorige maand]]</f>
        <v>167.70000000000027</v>
      </c>
      <c r="AW11" s="20">
        <f>Tabel24256789[[#This Row],[Verbruik heet Water liter deze maand ]]/0.15</f>
        <v>1118.0000000000018</v>
      </c>
      <c r="AX11" s="4">
        <f>Tabel24256789[[#This Row],[Aantal consumpties heet water deze maand]]+Tabel24256789[[#This Row],[Aantal consumpties licht bruisend water deze maand]]+Tabel24256789[[#This Row],[aantal consumpties Bruisend water deze maand]]+Tabel24256789[[#This Row],[Aantal consumpties gekoeld water deze maand]]+Tabel24256789[[#This Row],[Aantal consumpties Kamertemp deze maand]]</f>
        <v>2712.0000000000036</v>
      </c>
      <c r="AY11" s="4">
        <f>Tabel24256789[[#This Row],[Subtotaal waterbar in consumpties]]+Tabel24256789[[#This Row],[Subtotaal koffieautomaten]]</f>
        <v>3922.0000000000036</v>
      </c>
    </row>
    <row r="12" spans="1:51" x14ac:dyDescent="0.25">
      <c r="A12" t="s">
        <v>48</v>
      </c>
      <c r="B12" t="s">
        <v>49</v>
      </c>
      <c r="C12" t="s">
        <v>31</v>
      </c>
      <c r="E12" s="11">
        <v>7024</v>
      </c>
      <c r="F12" s="11">
        <v>6199</v>
      </c>
      <c r="G12" s="12">
        <f>Tabel24256789[[#This Row],[Stand Coffee einde maand]]-Tabel24256789[[#This Row],[Coffee vorige maand]]</f>
        <v>825</v>
      </c>
      <c r="H12" s="11">
        <v>2141</v>
      </c>
      <c r="I12" s="11">
        <v>1950</v>
      </c>
      <c r="J12" s="12">
        <f>Tabel24256789[[#This Row],[Stand Espresso Einde maand]]-Tabel24256789[[#This Row],[Espresso vorige maand]]</f>
        <v>191</v>
      </c>
      <c r="K12" s="11">
        <v>549</v>
      </c>
      <c r="L12" s="11">
        <v>475</v>
      </c>
      <c r="M12">
        <f>Tabel24256789[[#This Row],[Stand Latte Macchiato einde maand]]-Tabel24256789[[#This Row],[Latte Macchiato vorige maand]]</f>
        <v>74</v>
      </c>
      <c r="N12" s="11">
        <v>91</v>
      </c>
      <c r="O12" s="11">
        <v>81</v>
      </c>
      <c r="P12">
        <f>Tabel24256789[[#This Row],[Stand Coffee Latte einde maand]]-Tabel24256789[[#This Row],[Coffee Latte vorige maand]]</f>
        <v>10</v>
      </c>
      <c r="Q12" s="11">
        <v>16231</v>
      </c>
      <c r="R12" s="11">
        <v>14407</v>
      </c>
      <c r="S12">
        <f>Tabel24256789[[#This Row],[Stand Hot Water einde maand]]-Tabel24256789[[#This Row],[Hot Water vorige maand]]</f>
        <v>1824</v>
      </c>
      <c r="T12" s="11">
        <v>3046</v>
      </c>
      <c r="U12" s="11">
        <v>2660</v>
      </c>
      <c r="V12">
        <f>Tabel24256789[[#This Row],[Stand Cappucino einde maand]]-Tabel24256789[[#This Row],[Stand Cappucino vorige maand]]</f>
        <v>386</v>
      </c>
      <c r="W12" s="11">
        <v>965</v>
      </c>
      <c r="X12" s="11">
        <v>897</v>
      </c>
      <c r="Y12">
        <f>Tabel24256789[[#This Row],[Stand Cappucino Plantaardig einde maand]]-Tabel24256789[[#This Row],[Stand Cappucino Plantaardig vorige maand]]</f>
        <v>68</v>
      </c>
      <c r="Z12" s="11">
        <v>229</v>
      </c>
      <c r="AA12" s="11">
        <v>222</v>
      </c>
      <c r="AB12" s="12">
        <f>Tabel24256789[[#This Row],[Stand Latte Macchiato Plantaardig einde maand]]-Tabel24256789[[#This Row],[Stand Latte Macchiato Plantaardig vorige maand]]</f>
        <v>7</v>
      </c>
      <c r="AC12" s="3">
        <f>Tabel24256789[[#This Row],[Verbruik Stand Latte Macchiato Plantaardig deze maand]]+Tabel24256789[[#This Row],[Verbruik  Cappucino Plantaardig deze maand]]+Tabel24256789[[#This Row],[Verbruik Cappucino deze maand]]+Tabel24256789[[#This Row],[Verbruik Hot Water deze maand]]+Tabel24256789[[#This Row],[Verbruik Coffee Latte deze maand]]+Tabel24256789[[#This Row],[Verbruik Latte Macchiato deze maand]]+Tabel24256789[[#This Row],[Verbruik Espresso deze maand]]+Tabel24256789[[#This Row],[Verbruik Coffee deze maand]]</f>
        <v>3385</v>
      </c>
      <c r="AD12" s="26"/>
      <c r="AE12" s="26"/>
      <c r="AF12" s="5"/>
      <c r="AG12" s="7"/>
      <c r="AH12" s="26"/>
      <c r="AI12" s="26"/>
      <c r="AJ12" s="5"/>
      <c r="AK12" s="7"/>
      <c r="AL12" s="26"/>
      <c r="AM12" s="26"/>
      <c r="AN12" s="5"/>
      <c r="AO12" s="5"/>
      <c r="AP12" s="26"/>
      <c r="AQ12" s="26"/>
      <c r="AR12" s="5"/>
      <c r="AS12" s="7"/>
      <c r="AT12" s="26"/>
      <c r="AU12" s="26"/>
      <c r="AV12" s="5"/>
      <c r="AW12" s="21"/>
      <c r="AX12" s="8"/>
      <c r="AY12" s="4">
        <f>Tabel24256789[[#This Row],[Subtotaal waterbar in consumpties]]+Tabel24256789[[#This Row],[Subtotaal koffieautomaten]]</f>
        <v>3385</v>
      </c>
    </row>
    <row r="13" spans="1:51" x14ac:dyDescent="0.25">
      <c r="A13" t="s">
        <v>50</v>
      </c>
      <c r="B13" t="s">
        <v>51</v>
      </c>
      <c r="C13" t="s">
        <v>47</v>
      </c>
      <c r="E13" s="11">
        <v>5397</v>
      </c>
      <c r="F13" s="11">
        <v>4792</v>
      </c>
      <c r="G13" s="12">
        <f>Tabel24256789[[#This Row],[Stand Coffee einde maand]]-Tabel24256789[[#This Row],[Coffee vorige maand]]</f>
        <v>605</v>
      </c>
      <c r="H13" s="11">
        <v>1259</v>
      </c>
      <c r="I13" s="11">
        <v>1157</v>
      </c>
      <c r="J13" s="12">
        <f>Tabel24256789[[#This Row],[Stand Espresso Einde maand]]-Tabel24256789[[#This Row],[Espresso vorige maand]]</f>
        <v>102</v>
      </c>
      <c r="K13" s="11">
        <v>669</v>
      </c>
      <c r="L13" s="11">
        <v>612</v>
      </c>
      <c r="M13">
        <f>Tabel24256789[[#This Row],[Stand Latte Macchiato einde maand]]-Tabel24256789[[#This Row],[Latte Macchiato vorige maand]]</f>
        <v>57</v>
      </c>
      <c r="N13" s="11">
        <v>540</v>
      </c>
      <c r="O13" s="11">
        <v>470</v>
      </c>
      <c r="P13">
        <f>Tabel24256789[[#This Row],[Stand Coffee Latte einde maand]]-Tabel24256789[[#This Row],[Coffee Latte vorige maand]]</f>
        <v>70</v>
      </c>
      <c r="Q13" s="11">
        <v>1</v>
      </c>
      <c r="R13" s="11">
        <v>1</v>
      </c>
      <c r="S13">
        <f>Tabel24256789[[#This Row],[Stand Hot Water einde maand]]-Tabel24256789[[#This Row],[Hot Water vorige maand]]</f>
        <v>0</v>
      </c>
      <c r="T13" s="11">
        <v>2349</v>
      </c>
      <c r="U13" s="11">
        <v>2035</v>
      </c>
      <c r="V13">
        <f>Tabel24256789[[#This Row],[Stand Cappucino einde maand]]-Tabel24256789[[#This Row],[Stand Cappucino vorige maand]]</f>
        <v>314</v>
      </c>
      <c r="W13" s="11">
        <v>824</v>
      </c>
      <c r="X13" s="11">
        <v>762</v>
      </c>
      <c r="Y13">
        <f>Tabel24256789[[#This Row],[Stand Cappucino Plantaardig einde maand]]-Tabel24256789[[#This Row],[Stand Cappucino Plantaardig vorige maand]]</f>
        <v>62</v>
      </c>
      <c r="Z13" s="11">
        <v>201</v>
      </c>
      <c r="AA13" s="11">
        <v>161</v>
      </c>
      <c r="AB13" s="12">
        <f>Tabel24256789[[#This Row],[Stand Latte Macchiato Plantaardig einde maand]]-Tabel24256789[[#This Row],[Stand Latte Macchiato Plantaardig vorige maand]]</f>
        <v>40</v>
      </c>
      <c r="AC13" s="3">
        <f>Tabel24256789[[#This Row],[Verbruik Stand Latte Macchiato Plantaardig deze maand]]+Tabel24256789[[#This Row],[Verbruik  Cappucino Plantaardig deze maand]]+Tabel24256789[[#This Row],[Verbruik Cappucino deze maand]]+Tabel24256789[[#This Row],[Verbruik Hot Water deze maand]]+Tabel24256789[[#This Row],[Verbruik Coffee Latte deze maand]]+Tabel24256789[[#This Row],[Verbruik Latte Macchiato deze maand]]+Tabel24256789[[#This Row],[Verbruik Espresso deze maand]]+Tabel24256789[[#This Row],[Verbruik Coffee deze maand]]</f>
        <v>1250</v>
      </c>
      <c r="AD13" s="11">
        <v>152.19999999999999</v>
      </c>
      <c r="AE13" s="11">
        <v>135.6</v>
      </c>
      <c r="AF13">
        <f>Tabel24256789[[#This Row],[Stand Kamertemp liter einde maand]]-Tabel24256789[[#This Row],[Stand Kamertemp liter vorige maand]]</f>
        <v>16.599999999999994</v>
      </c>
      <c r="AG13" s="2">
        <f>Tabel24256789[[#This Row],[Verbruik Kamertemp liter deze maand]]/0.15</f>
        <v>110.66666666666663</v>
      </c>
      <c r="AH13" s="11">
        <v>1380.4</v>
      </c>
      <c r="AI13" s="11">
        <v>1208.7</v>
      </c>
      <c r="AJ13">
        <f>Tabel24256789[[#This Row],[Stand Gekoeld liter einde maand]]-Tabel24256789[[#This Row],[Stand Gekoeld liter vorige maand]]</f>
        <v>171.70000000000005</v>
      </c>
      <c r="AK13" s="2">
        <f>Tabel24256789[[#This Row],[Verbruik Gekoeld liter deze maand]]/0.15</f>
        <v>1144.666666666667</v>
      </c>
      <c r="AL13" s="11">
        <v>1092.8</v>
      </c>
      <c r="AM13" s="11">
        <v>1015.9</v>
      </c>
      <c r="AN13">
        <f>Tabel24256789[[#This Row],[Stand Bruisend liter einde maand]]-Tabel24256789[[#This Row],[Stand Bruisend liter vorige maand]]</f>
        <v>76.899999999999977</v>
      </c>
      <c r="AO13" s="2">
        <f>Tabel24256789[[#This Row],[Verbruik Bruisend liter deze maand]]/0.15</f>
        <v>512.66666666666652</v>
      </c>
      <c r="AP13" s="11">
        <v>813.4</v>
      </c>
      <c r="AQ13" s="11">
        <v>761.2</v>
      </c>
      <c r="AR13">
        <f>Tabel24256789[[#This Row],[Stand licht bruisend liter einde maand]]-Tabel24256789[[#This Row],[Stand licht bruisend liter vorige maand]]</f>
        <v>52.199999999999932</v>
      </c>
      <c r="AS13" s="2">
        <f>Tabel24256789[[#This Row],[Verbruik licht bruisend liter deze maand]]/0.15</f>
        <v>347.99999999999955</v>
      </c>
      <c r="AT13" s="11">
        <v>3398</v>
      </c>
      <c r="AU13" s="11">
        <v>3160.5</v>
      </c>
      <c r="AV13">
        <f>Tabel24256789[[#This Row],[Stand heet water liter einde maand]]-Tabel24256789[[#This Row],[Stand heet water liter vorige maand]]</f>
        <v>237.5</v>
      </c>
      <c r="AW13" s="20">
        <f>Tabel24256789[[#This Row],[Verbruik heet Water liter deze maand ]]/0.15</f>
        <v>1583.3333333333335</v>
      </c>
      <c r="AX13" s="4">
        <f>Tabel24256789[[#This Row],[Aantal consumpties heet water deze maand]]+Tabel24256789[[#This Row],[Aantal consumpties licht bruisend water deze maand]]+Tabel24256789[[#This Row],[aantal consumpties Bruisend water deze maand]]+Tabel24256789[[#This Row],[Aantal consumpties gekoeld water deze maand]]+Tabel24256789[[#This Row],[Aantal consumpties Kamertemp deze maand]]</f>
        <v>3699.333333333333</v>
      </c>
      <c r="AY13" s="4">
        <f>Tabel24256789[[#This Row],[Subtotaal waterbar in consumpties]]+Tabel24256789[[#This Row],[Subtotaal koffieautomaten]]</f>
        <v>4949.333333333333</v>
      </c>
    </row>
    <row r="14" spans="1:51" x14ac:dyDescent="0.25">
      <c r="A14" t="s">
        <v>52</v>
      </c>
      <c r="B14" t="s">
        <v>53</v>
      </c>
      <c r="C14" t="s">
        <v>31</v>
      </c>
      <c r="E14" s="11">
        <v>5488</v>
      </c>
      <c r="F14" s="11">
        <v>4857</v>
      </c>
      <c r="G14" s="12">
        <f>Tabel24256789[[#This Row],[Stand Coffee einde maand]]-Tabel24256789[[#This Row],[Coffee vorige maand]]</f>
        <v>631</v>
      </c>
      <c r="H14" s="11">
        <v>1413</v>
      </c>
      <c r="I14" s="11">
        <v>1246</v>
      </c>
      <c r="J14" s="12">
        <f>Tabel24256789[[#This Row],[Stand Espresso Einde maand]]-Tabel24256789[[#This Row],[Espresso vorige maand]]</f>
        <v>167</v>
      </c>
      <c r="K14" s="11">
        <v>315</v>
      </c>
      <c r="L14" s="11">
        <v>259</v>
      </c>
      <c r="M14">
        <f>Tabel24256789[[#This Row],[Stand Latte Macchiato einde maand]]-Tabel24256789[[#This Row],[Latte Macchiato vorige maand]]</f>
        <v>56</v>
      </c>
      <c r="N14" s="11">
        <v>300</v>
      </c>
      <c r="O14" s="11">
        <v>253</v>
      </c>
      <c r="P14">
        <f>Tabel24256789[[#This Row],[Stand Coffee Latte einde maand]]-Tabel24256789[[#This Row],[Coffee Latte vorige maand]]</f>
        <v>47</v>
      </c>
      <c r="Q14" s="11">
        <v>8159</v>
      </c>
      <c r="R14" s="11">
        <v>7065</v>
      </c>
      <c r="S14">
        <f>Tabel24256789[[#This Row],[Stand Hot Water einde maand]]-Tabel24256789[[#This Row],[Hot Water vorige maand]]</f>
        <v>1094</v>
      </c>
      <c r="T14" s="11">
        <v>2538</v>
      </c>
      <c r="U14" s="11">
        <v>2267</v>
      </c>
      <c r="V14">
        <f>Tabel24256789[[#This Row],[Stand Cappucino einde maand]]-Tabel24256789[[#This Row],[Stand Cappucino vorige maand]]</f>
        <v>271</v>
      </c>
      <c r="W14" s="11">
        <v>745</v>
      </c>
      <c r="X14" s="11">
        <v>669</v>
      </c>
      <c r="Y14">
        <f>Tabel24256789[[#This Row],[Stand Cappucino Plantaardig einde maand]]-Tabel24256789[[#This Row],[Stand Cappucino Plantaardig vorige maand]]</f>
        <v>76</v>
      </c>
      <c r="Z14" s="11">
        <v>177</v>
      </c>
      <c r="AA14" s="11">
        <v>165</v>
      </c>
      <c r="AB14" s="12">
        <f>Tabel24256789[[#This Row],[Stand Latte Macchiato Plantaardig einde maand]]-Tabel24256789[[#This Row],[Stand Latte Macchiato Plantaardig vorige maand]]</f>
        <v>12</v>
      </c>
      <c r="AC14" s="3">
        <f>Tabel24256789[[#This Row],[Verbruik Stand Latte Macchiato Plantaardig deze maand]]+Tabel24256789[[#This Row],[Verbruik  Cappucino Plantaardig deze maand]]+Tabel24256789[[#This Row],[Verbruik Cappucino deze maand]]+Tabel24256789[[#This Row],[Verbruik Hot Water deze maand]]+Tabel24256789[[#This Row],[Verbruik Coffee Latte deze maand]]+Tabel24256789[[#This Row],[Verbruik Latte Macchiato deze maand]]+Tabel24256789[[#This Row],[Verbruik Espresso deze maand]]+Tabel24256789[[#This Row],[Verbruik Coffee deze maand]]</f>
        <v>2354</v>
      </c>
      <c r="AD14" s="26"/>
      <c r="AE14" s="26"/>
      <c r="AF14" s="5"/>
      <c r="AG14" s="7"/>
      <c r="AH14" s="26"/>
      <c r="AI14" s="26"/>
      <c r="AJ14" s="5"/>
      <c r="AK14" s="7"/>
      <c r="AL14" s="26"/>
      <c r="AM14" s="26"/>
      <c r="AN14" s="5"/>
      <c r="AO14" s="5"/>
      <c r="AP14" s="26"/>
      <c r="AQ14" s="26"/>
      <c r="AR14" s="5"/>
      <c r="AS14" s="7"/>
      <c r="AT14" s="26"/>
      <c r="AU14" s="26"/>
      <c r="AV14" s="5"/>
      <c r="AW14" s="21"/>
      <c r="AX14" s="8"/>
      <c r="AY14" s="4">
        <f>Tabel24256789[[#This Row],[Subtotaal waterbar in consumpties]]+Tabel24256789[[#This Row],[Subtotaal koffieautomaten]]</f>
        <v>2354</v>
      </c>
    </row>
    <row r="15" spans="1:51" x14ac:dyDescent="0.25">
      <c r="A15" t="s">
        <v>54</v>
      </c>
      <c r="B15" t="s">
        <v>55</v>
      </c>
      <c r="C15" t="s">
        <v>36</v>
      </c>
      <c r="E15" s="42"/>
      <c r="F15" s="43"/>
      <c r="G15" s="43"/>
      <c r="H15" s="42"/>
      <c r="I15" s="43"/>
      <c r="J15" s="43"/>
      <c r="K15" s="42"/>
      <c r="L15" s="43"/>
      <c r="M15" s="43"/>
      <c r="N15" s="42"/>
      <c r="O15" s="43"/>
      <c r="P15" s="43"/>
      <c r="Q15" s="42"/>
      <c r="R15" s="43"/>
      <c r="S15" s="43"/>
      <c r="T15" s="42"/>
      <c r="U15" s="43"/>
      <c r="V15" s="43"/>
      <c r="W15" s="42"/>
      <c r="X15" s="43"/>
      <c r="Y15" s="43"/>
      <c r="Z15" s="42"/>
      <c r="AA15" s="43"/>
      <c r="AB15" s="43"/>
      <c r="AC15" s="43"/>
      <c r="AD15" s="11">
        <v>121</v>
      </c>
      <c r="AE15" s="11">
        <v>102.5</v>
      </c>
      <c r="AF15">
        <f>Tabel24256789[[#This Row],[Stand Kamertemp liter einde maand]]-Tabel24256789[[#This Row],[Stand Kamertemp liter vorige maand]]</f>
        <v>18.5</v>
      </c>
      <c r="AG15" s="2">
        <f>Tabel24256789[[#This Row],[Verbruik Kamertemp liter deze maand]]/0.15</f>
        <v>123.33333333333334</v>
      </c>
      <c r="AH15" s="25">
        <v>687.8</v>
      </c>
      <c r="AI15" s="25">
        <v>622.9</v>
      </c>
      <c r="AJ15">
        <f>Tabel24256789[[#This Row],[Stand Gekoeld liter einde maand]]-Tabel24256789[[#This Row],[Stand Gekoeld liter vorige maand]]</f>
        <v>64.899999999999977</v>
      </c>
      <c r="AK15" s="2">
        <f>Tabel24256789[[#This Row],[Verbruik Gekoeld liter deze maand]]/0.15</f>
        <v>432.66666666666652</v>
      </c>
      <c r="AL15" s="26">
        <v>808.2</v>
      </c>
      <c r="AM15" s="26">
        <v>741.1</v>
      </c>
      <c r="AN15">
        <f>Tabel24256789[[#This Row],[Stand Bruisend liter einde maand]]-Tabel24256789[[#This Row],[Stand Bruisend liter vorige maand]]</f>
        <v>67.100000000000023</v>
      </c>
      <c r="AO15" s="2">
        <f>Tabel24256789[[#This Row],[Verbruik Bruisend liter deze maand]]/0.15</f>
        <v>447.33333333333348</v>
      </c>
      <c r="AP15" s="26">
        <v>300.8</v>
      </c>
      <c r="AQ15" s="26">
        <v>277.5</v>
      </c>
      <c r="AR15">
        <f>Tabel24256789[[#This Row],[Stand licht bruisend liter einde maand]]-Tabel24256789[[#This Row],[Stand licht bruisend liter vorige maand]]</f>
        <v>23.300000000000011</v>
      </c>
      <c r="AS15" s="2">
        <f>Tabel24256789[[#This Row],[Verbruik licht bruisend liter deze maand]]/0.15</f>
        <v>155.33333333333343</v>
      </c>
      <c r="AT15" s="26">
        <v>1892.6</v>
      </c>
      <c r="AU15" s="26">
        <v>1793.5</v>
      </c>
      <c r="AV15">
        <f>Tabel24256789[[#This Row],[Stand heet water liter einde maand]]-Tabel24256789[[#This Row],[Stand heet water liter vorige maand]]</f>
        <v>99.099999999999909</v>
      </c>
      <c r="AW15" s="20">
        <f>Tabel24256789[[#This Row],[Verbruik heet Water liter deze maand ]]/0.15</f>
        <v>660.66666666666606</v>
      </c>
      <c r="AX15" s="4">
        <f>Tabel24256789[[#This Row],[Aantal consumpties heet water deze maand]]+Tabel24256789[[#This Row],[Aantal consumpties licht bruisend water deze maand]]+Tabel24256789[[#This Row],[aantal consumpties Bruisend water deze maand]]+Tabel24256789[[#This Row],[Aantal consumpties gekoeld water deze maand]]+Tabel24256789[[#This Row],[Aantal consumpties Kamertemp deze maand]]</f>
        <v>1819.3333333333328</v>
      </c>
      <c r="AY15" s="4">
        <f>Tabel24256789[[#This Row],[Subtotaal waterbar in consumpties]]+Tabel24256789[[#This Row],[Subtotaal koffieautomaten]]</f>
        <v>1819.3333333333328</v>
      </c>
    </row>
    <row r="16" spans="1:51" x14ac:dyDescent="0.25">
      <c r="A16" t="s">
        <v>56</v>
      </c>
      <c r="B16" t="s">
        <v>57</v>
      </c>
      <c r="C16" t="s">
        <v>31</v>
      </c>
      <c r="E16" s="11">
        <v>7207</v>
      </c>
      <c r="F16" s="11">
        <v>6346</v>
      </c>
      <c r="G16" s="12">
        <f>Tabel24256789[[#This Row],[Stand Coffee einde maand]]-Tabel24256789[[#This Row],[Coffee vorige maand]]</f>
        <v>861</v>
      </c>
      <c r="H16" s="11">
        <v>1688</v>
      </c>
      <c r="I16" s="11">
        <v>1485</v>
      </c>
      <c r="J16" s="12">
        <f>Tabel24256789[[#This Row],[Stand Espresso Einde maand]]-Tabel24256789[[#This Row],[Espresso vorige maand]]</f>
        <v>203</v>
      </c>
      <c r="K16" s="11">
        <v>251</v>
      </c>
      <c r="L16" s="11">
        <v>206</v>
      </c>
      <c r="M16">
        <f>Tabel24256789[[#This Row],[Stand Latte Macchiato einde maand]]-Tabel24256789[[#This Row],[Latte Macchiato vorige maand]]</f>
        <v>45</v>
      </c>
      <c r="N16" s="11">
        <v>637</v>
      </c>
      <c r="O16" s="11">
        <v>516</v>
      </c>
      <c r="P16">
        <f>Tabel24256789[[#This Row],[Stand Coffee Latte einde maand]]-Tabel24256789[[#This Row],[Coffee Latte vorige maand]]</f>
        <v>121</v>
      </c>
      <c r="Q16" s="11">
        <v>10974</v>
      </c>
      <c r="R16" s="11">
        <v>9687</v>
      </c>
      <c r="S16">
        <f>Tabel24256789[[#This Row],[Stand Hot Water einde maand]]-Tabel24256789[[#This Row],[Hot Water vorige maand]]</f>
        <v>1287</v>
      </c>
      <c r="T16" s="11">
        <v>3884</v>
      </c>
      <c r="U16" s="11">
        <v>3399</v>
      </c>
      <c r="V16">
        <f>Tabel24256789[[#This Row],[Stand Cappucino einde maand]]-Tabel24256789[[#This Row],[Stand Cappucino vorige maand]]</f>
        <v>485</v>
      </c>
      <c r="W16" s="11">
        <v>1257</v>
      </c>
      <c r="X16" s="11">
        <v>1099</v>
      </c>
      <c r="Y16">
        <f>Tabel24256789[[#This Row],[Stand Cappucino Plantaardig einde maand]]-Tabel24256789[[#This Row],[Stand Cappucino Plantaardig vorige maand]]</f>
        <v>158</v>
      </c>
      <c r="Z16" s="11">
        <v>264</v>
      </c>
      <c r="AA16" s="11">
        <v>256</v>
      </c>
      <c r="AB16" s="12">
        <f>Tabel24256789[[#This Row],[Stand Latte Macchiato Plantaardig einde maand]]-Tabel24256789[[#This Row],[Stand Latte Macchiato Plantaardig vorige maand]]</f>
        <v>8</v>
      </c>
      <c r="AC16" s="3">
        <f>Tabel24256789[[#This Row],[Verbruik Stand Latte Macchiato Plantaardig deze maand]]+Tabel24256789[[#This Row],[Verbruik  Cappucino Plantaardig deze maand]]+Tabel24256789[[#This Row],[Verbruik Cappucino deze maand]]+Tabel24256789[[#This Row],[Verbruik Hot Water deze maand]]+Tabel24256789[[#This Row],[Verbruik Coffee Latte deze maand]]+Tabel24256789[[#This Row],[Verbruik Latte Macchiato deze maand]]+Tabel24256789[[#This Row],[Verbruik Espresso deze maand]]+Tabel24256789[[#This Row],[Verbruik Coffee deze maand]]</f>
        <v>3168</v>
      </c>
      <c r="AD16" s="26"/>
      <c r="AE16" s="26"/>
      <c r="AF16" s="5"/>
      <c r="AG16" s="7"/>
      <c r="AH16" s="26"/>
      <c r="AI16" s="26"/>
      <c r="AJ16" s="5"/>
      <c r="AK16" s="7"/>
      <c r="AL16" s="26"/>
      <c r="AM16" s="26"/>
      <c r="AN16" s="5"/>
      <c r="AO16" s="5"/>
      <c r="AP16" s="26"/>
      <c r="AQ16" s="26"/>
      <c r="AR16" s="5"/>
      <c r="AS16" s="7"/>
      <c r="AT16" s="26"/>
      <c r="AU16" s="26"/>
      <c r="AV16" s="5"/>
      <c r="AW16" s="21"/>
      <c r="AX16" s="8"/>
      <c r="AY16" s="4">
        <f>Tabel24256789[[#This Row],[Subtotaal waterbar in consumpties]]+Tabel24256789[[#This Row],[Subtotaal koffieautomaten]]</f>
        <v>3168</v>
      </c>
    </row>
    <row r="17" spans="1:51" x14ac:dyDescent="0.25">
      <c r="A17" t="s">
        <v>58</v>
      </c>
      <c r="B17" t="s">
        <v>59</v>
      </c>
      <c r="C17" t="s">
        <v>47</v>
      </c>
      <c r="E17" s="11">
        <v>5889</v>
      </c>
      <c r="F17" s="11">
        <v>5239</v>
      </c>
      <c r="G17" s="12">
        <f>Tabel24256789[[#This Row],[Stand Coffee einde maand]]-Tabel24256789[[#This Row],[Coffee vorige maand]]</f>
        <v>650</v>
      </c>
      <c r="H17" s="11">
        <v>942</v>
      </c>
      <c r="I17" s="11">
        <v>859</v>
      </c>
      <c r="J17" s="12">
        <f>Tabel24256789[[#This Row],[Stand Espresso Einde maand]]-Tabel24256789[[#This Row],[Espresso vorige maand]]</f>
        <v>83</v>
      </c>
      <c r="K17" s="11">
        <v>600</v>
      </c>
      <c r="L17" s="11">
        <v>512</v>
      </c>
      <c r="M17">
        <f>Tabel24256789[[#This Row],[Stand Latte Macchiato einde maand]]-Tabel24256789[[#This Row],[Latte Macchiato vorige maand]]</f>
        <v>88</v>
      </c>
      <c r="N17" s="11">
        <v>162</v>
      </c>
      <c r="O17" s="11">
        <v>147</v>
      </c>
      <c r="P17">
        <f>Tabel24256789[[#This Row],[Stand Coffee Latte einde maand]]-Tabel24256789[[#This Row],[Coffee Latte vorige maand]]</f>
        <v>15</v>
      </c>
      <c r="Q17" s="11">
        <v>1</v>
      </c>
      <c r="R17" s="11">
        <v>1</v>
      </c>
      <c r="S17">
        <f>Tabel24256789[[#This Row],[Stand Hot Water einde maand]]-Tabel24256789[[#This Row],[Hot Water vorige maand]]</f>
        <v>0</v>
      </c>
      <c r="T17" s="11">
        <v>2626</v>
      </c>
      <c r="U17" s="11">
        <v>2280</v>
      </c>
      <c r="V17">
        <f>Tabel24256789[[#This Row],[Stand Cappucino einde maand]]-Tabel24256789[[#This Row],[Stand Cappucino vorige maand]]</f>
        <v>346</v>
      </c>
      <c r="W17" s="11">
        <v>1465</v>
      </c>
      <c r="X17" s="11">
        <v>1362</v>
      </c>
      <c r="Y17">
        <f>Tabel24256789[[#This Row],[Stand Cappucino Plantaardig einde maand]]-Tabel24256789[[#This Row],[Stand Cappucino Plantaardig vorige maand]]</f>
        <v>103</v>
      </c>
      <c r="Z17" s="11">
        <v>211</v>
      </c>
      <c r="AA17" s="11">
        <v>171</v>
      </c>
      <c r="AB17" s="12">
        <f>Tabel24256789[[#This Row],[Stand Latte Macchiato Plantaardig einde maand]]-Tabel24256789[[#This Row],[Stand Latte Macchiato Plantaardig vorige maand]]</f>
        <v>40</v>
      </c>
      <c r="AC17" s="3">
        <f>Tabel24256789[[#This Row],[Verbruik Stand Latte Macchiato Plantaardig deze maand]]+Tabel24256789[[#This Row],[Verbruik  Cappucino Plantaardig deze maand]]+Tabel24256789[[#This Row],[Verbruik Cappucino deze maand]]+Tabel24256789[[#This Row],[Verbruik Hot Water deze maand]]+Tabel24256789[[#This Row],[Verbruik Coffee Latte deze maand]]+Tabel24256789[[#This Row],[Verbruik Latte Macchiato deze maand]]+Tabel24256789[[#This Row],[Verbruik Espresso deze maand]]+Tabel24256789[[#This Row],[Verbruik Coffee deze maand]]</f>
        <v>1325</v>
      </c>
      <c r="AD17" s="11">
        <v>250.5</v>
      </c>
      <c r="AE17" s="11">
        <v>243.3</v>
      </c>
      <c r="AF17">
        <f>Tabel24256789[[#This Row],[Stand Kamertemp liter einde maand]]-Tabel24256789[[#This Row],[Stand Kamertemp liter vorige maand]]</f>
        <v>7.1999999999999886</v>
      </c>
      <c r="AG17" s="2">
        <f>Tabel24256789[[#This Row],[Verbruik Kamertemp liter deze maand]]/0.15</f>
        <v>47.999999999999929</v>
      </c>
      <c r="AH17" s="11">
        <v>975.4</v>
      </c>
      <c r="AI17" s="11">
        <v>878.4</v>
      </c>
      <c r="AJ17">
        <f>Tabel24256789[[#This Row],[Stand Gekoeld liter einde maand]]-Tabel24256789[[#This Row],[Stand Gekoeld liter vorige maand]]</f>
        <v>97</v>
      </c>
      <c r="AK17" s="2">
        <f>Tabel24256789[[#This Row],[Verbruik Gekoeld liter deze maand]]/0.15</f>
        <v>646.66666666666674</v>
      </c>
      <c r="AL17" s="11">
        <v>1213</v>
      </c>
      <c r="AM17" s="11">
        <v>1087</v>
      </c>
      <c r="AN17">
        <f>Tabel24256789[[#This Row],[Stand Bruisend liter einde maand]]-Tabel24256789[[#This Row],[Stand Bruisend liter vorige maand]]</f>
        <v>126</v>
      </c>
      <c r="AO17" s="2">
        <f>Tabel24256789[[#This Row],[Verbruik Bruisend liter deze maand]]/0.15</f>
        <v>840</v>
      </c>
      <c r="AP17" s="11">
        <v>360.2</v>
      </c>
      <c r="AQ17" s="11">
        <v>321.60000000000002</v>
      </c>
      <c r="AR17">
        <f>Tabel24256789[[#This Row],[Stand licht bruisend liter einde maand]]-Tabel24256789[[#This Row],[Stand licht bruisend liter vorige maand]]</f>
        <v>38.599999999999966</v>
      </c>
      <c r="AS17" s="2">
        <f>Tabel24256789[[#This Row],[Verbruik licht bruisend liter deze maand]]/0.15</f>
        <v>257.33333333333314</v>
      </c>
      <c r="AT17" s="11">
        <v>2638.1</v>
      </c>
      <c r="AU17" s="11">
        <v>2443.8000000000002</v>
      </c>
      <c r="AV17">
        <f>Tabel24256789[[#This Row],[Stand heet water liter einde maand]]-Tabel24256789[[#This Row],[Stand heet water liter vorige maand]]</f>
        <v>194.29999999999973</v>
      </c>
      <c r="AW17" s="20">
        <f>Tabel24256789[[#This Row],[Verbruik heet Water liter deze maand ]]/0.15</f>
        <v>1295.3333333333317</v>
      </c>
      <c r="AX17" s="4">
        <f>Tabel24256789[[#This Row],[Aantal consumpties heet water deze maand]]+Tabel24256789[[#This Row],[Aantal consumpties licht bruisend water deze maand]]+Tabel24256789[[#This Row],[aantal consumpties Bruisend water deze maand]]+Tabel24256789[[#This Row],[Aantal consumpties gekoeld water deze maand]]+Tabel24256789[[#This Row],[Aantal consumpties Kamertemp deze maand]]</f>
        <v>3087.3333333333312</v>
      </c>
      <c r="AY17" s="4">
        <f>Tabel24256789[[#This Row],[Subtotaal waterbar in consumpties]]+Tabel24256789[[#This Row],[Subtotaal koffieautomaten]]</f>
        <v>4412.3333333333312</v>
      </c>
    </row>
    <row r="18" spans="1:51" x14ac:dyDescent="0.25">
      <c r="A18" t="s">
        <v>60</v>
      </c>
      <c r="B18" t="s">
        <v>61</v>
      </c>
      <c r="C18" t="s">
        <v>31</v>
      </c>
      <c r="E18" s="11">
        <v>6025</v>
      </c>
      <c r="F18" s="11">
        <v>5423</v>
      </c>
      <c r="G18" s="12">
        <f>Tabel24256789[[#This Row],[Stand Coffee einde maand]]-Tabel24256789[[#This Row],[Coffee vorige maand]]</f>
        <v>602</v>
      </c>
      <c r="H18" s="11">
        <v>972</v>
      </c>
      <c r="I18" s="11">
        <v>897</v>
      </c>
      <c r="J18" s="12">
        <f>Tabel24256789[[#This Row],[Stand Espresso Einde maand]]-Tabel24256789[[#This Row],[Espresso vorige maand]]</f>
        <v>75</v>
      </c>
      <c r="K18" s="11">
        <v>464</v>
      </c>
      <c r="L18" s="11">
        <v>405</v>
      </c>
      <c r="M18">
        <f>Tabel24256789[[#This Row],[Stand Latte Macchiato einde maand]]-Tabel24256789[[#This Row],[Latte Macchiato vorige maand]]</f>
        <v>59</v>
      </c>
      <c r="N18" s="11">
        <v>128</v>
      </c>
      <c r="O18" s="11">
        <v>125</v>
      </c>
      <c r="P18">
        <f>Tabel24256789[[#This Row],[Stand Coffee Latte einde maand]]-Tabel24256789[[#This Row],[Coffee Latte vorige maand]]</f>
        <v>3</v>
      </c>
      <c r="Q18" s="11">
        <v>10683</v>
      </c>
      <c r="R18" s="11">
        <v>9304</v>
      </c>
      <c r="S18">
        <f>Tabel24256789[[#This Row],[Stand Hot Water einde maand]]-Tabel24256789[[#This Row],[Hot Water vorige maand]]</f>
        <v>1379</v>
      </c>
      <c r="T18" s="11">
        <v>3369</v>
      </c>
      <c r="U18" s="11">
        <v>3011</v>
      </c>
      <c r="V18">
        <f>Tabel24256789[[#This Row],[Stand Cappucino einde maand]]-Tabel24256789[[#This Row],[Stand Cappucino vorige maand]]</f>
        <v>358</v>
      </c>
      <c r="W18" s="11">
        <v>681</v>
      </c>
      <c r="X18" s="11">
        <v>615</v>
      </c>
      <c r="Y18">
        <f>Tabel24256789[[#This Row],[Stand Cappucino Plantaardig einde maand]]-Tabel24256789[[#This Row],[Stand Cappucino Plantaardig vorige maand]]</f>
        <v>66</v>
      </c>
      <c r="Z18" s="11">
        <v>195</v>
      </c>
      <c r="AA18" s="11">
        <v>172</v>
      </c>
      <c r="AB18" s="12">
        <f>Tabel24256789[[#This Row],[Stand Latte Macchiato Plantaardig einde maand]]-Tabel24256789[[#This Row],[Stand Latte Macchiato Plantaardig vorige maand]]</f>
        <v>23</v>
      </c>
      <c r="AC18" s="3">
        <f>Tabel24256789[[#This Row],[Verbruik Stand Latte Macchiato Plantaardig deze maand]]+Tabel24256789[[#This Row],[Verbruik  Cappucino Plantaardig deze maand]]+Tabel24256789[[#This Row],[Verbruik Cappucino deze maand]]+Tabel24256789[[#This Row],[Verbruik Hot Water deze maand]]+Tabel24256789[[#This Row],[Verbruik Coffee Latte deze maand]]+Tabel24256789[[#This Row],[Verbruik Latte Macchiato deze maand]]+Tabel24256789[[#This Row],[Verbruik Espresso deze maand]]+Tabel24256789[[#This Row],[Verbruik Coffee deze maand]]</f>
        <v>2565</v>
      </c>
      <c r="AD18" s="26"/>
      <c r="AE18" s="26"/>
      <c r="AF18" s="5"/>
      <c r="AG18" s="7"/>
      <c r="AH18" s="26"/>
      <c r="AI18" s="26"/>
      <c r="AJ18" s="5"/>
      <c r="AK18" s="7"/>
      <c r="AL18" s="26"/>
      <c r="AM18" s="26"/>
      <c r="AN18" s="5"/>
      <c r="AO18" s="5"/>
      <c r="AP18" s="26"/>
      <c r="AQ18" s="26"/>
      <c r="AR18" s="5"/>
      <c r="AS18" s="7"/>
      <c r="AT18" s="26"/>
      <c r="AU18" s="26"/>
      <c r="AV18" s="5"/>
      <c r="AW18" s="21"/>
      <c r="AX18" s="8"/>
      <c r="AY18" s="4">
        <f>Tabel24256789[[#This Row],[Subtotaal waterbar in consumpties]]+Tabel24256789[[#This Row],[Subtotaal koffieautomaten]]</f>
        <v>2565</v>
      </c>
    </row>
    <row r="19" spans="1:51" x14ac:dyDescent="0.25">
      <c r="A19" t="s">
        <v>62</v>
      </c>
      <c r="B19" t="s">
        <v>63</v>
      </c>
      <c r="C19" t="s">
        <v>36</v>
      </c>
      <c r="E19" s="42"/>
      <c r="F19" s="43"/>
      <c r="G19" s="43"/>
      <c r="H19" s="42"/>
      <c r="I19" s="43"/>
      <c r="J19" s="43"/>
      <c r="K19" s="42"/>
      <c r="L19" s="43"/>
      <c r="M19" s="43"/>
      <c r="N19" s="42"/>
      <c r="O19" s="43"/>
      <c r="P19" s="43"/>
      <c r="Q19" s="42"/>
      <c r="R19" s="43"/>
      <c r="S19" s="43"/>
      <c r="T19" s="42"/>
      <c r="U19" s="43"/>
      <c r="V19" s="43"/>
      <c r="W19" s="42"/>
      <c r="X19" s="43"/>
      <c r="Y19" s="43"/>
      <c r="Z19" s="42"/>
      <c r="AA19" s="43"/>
      <c r="AB19" s="43"/>
      <c r="AC19" s="43"/>
      <c r="AD19" s="11">
        <v>73.900000000000006</v>
      </c>
      <c r="AE19" s="11">
        <v>63.8</v>
      </c>
      <c r="AF19">
        <f>Tabel24256789[[#This Row],[Stand Kamertemp liter einde maand]]-Tabel24256789[[#This Row],[Stand Kamertemp liter vorige maand]]</f>
        <v>10.100000000000009</v>
      </c>
      <c r="AG19" s="2">
        <f>Tabel24256789[[#This Row],[Verbruik Kamertemp liter deze maand]]/0.15</f>
        <v>67.3333333333334</v>
      </c>
      <c r="AH19" s="26">
        <v>564.20000000000005</v>
      </c>
      <c r="AI19" s="26">
        <v>493.8</v>
      </c>
      <c r="AJ19">
        <f>Tabel24256789[[#This Row],[Stand Gekoeld liter einde maand]]-Tabel24256789[[#This Row],[Stand Gekoeld liter vorige maand]]</f>
        <v>70.400000000000034</v>
      </c>
      <c r="AK19" s="2">
        <f>Tabel24256789[[#This Row],[Verbruik Gekoeld liter deze maand]]/0.15</f>
        <v>469.3333333333336</v>
      </c>
      <c r="AL19" s="26">
        <v>845.3</v>
      </c>
      <c r="AM19" s="26">
        <v>747.2</v>
      </c>
      <c r="AN19">
        <f>Tabel24256789[[#This Row],[Stand Bruisend liter einde maand]]-Tabel24256789[[#This Row],[Stand Bruisend liter vorige maand]]</f>
        <v>98.099999999999909</v>
      </c>
      <c r="AO19" s="2">
        <f>Tabel24256789[[#This Row],[Verbruik Bruisend liter deze maand]]/0.15</f>
        <v>653.99999999999943</v>
      </c>
      <c r="AP19" s="26">
        <v>175.6</v>
      </c>
      <c r="AQ19" s="26">
        <v>161.69999999999999</v>
      </c>
      <c r="AR19">
        <f>Tabel24256789[[#This Row],[Stand licht bruisend liter einde maand]]-Tabel24256789[[#This Row],[Stand licht bruisend liter vorige maand]]</f>
        <v>13.900000000000006</v>
      </c>
      <c r="AS19" s="2">
        <f>Tabel24256789[[#This Row],[Verbruik licht bruisend liter deze maand]]/0.15</f>
        <v>92.666666666666714</v>
      </c>
      <c r="AT19" s="26">
        <v>789.2</v>
      </c>
      <c r="AU19" s="26">
        <v>694.3</v>
      </c>
      <c r="AV19">
        <f>Tabel24256789[[#This Row],[Stand heet water liter einde maand]]-Tabel24256789[[#This Row],[Stand heet water liter vorige maand]]</f>
        <v>94.900000000000091</v>
      </c>
      <c r="AW19" s="20">
        <f>Tabel24256789[[#This Row],[Verbruik heet Water liter deze maand ]]/0.15</f>
        <v>632.66666666666731</v>
      </c>
      <c r="AX19" s="4">
        <f>Tabel24256789[[#This Row],[Aantal consumpties heet water deze maand]]+Tabel24256789[[#This Row],[Aantal consumpties licht bruisend water deze maand]]+Tabel24256789[[#This Row],[aantal consumpties Bruisend water deze maand]]+Tabel24256789[[#This Row],[Aantal consumpties gekoeld water deze maand]]+Tabel24256789[[#This Row],[Aantal consumpties Kamertemp deze maand]]</f>
        <v>1916.0000000000005</v>
      </c>
      <c r="AY19" s="4">
        <f>Tabel24256789[[#This Row],[Subtotaal waterbar in consumpties]]+Tabel24256789[[#This Row],[Subtotaal koffieautomaten]]</f>
        <v>1916.0000000000005</v>
      </c>
    </row>
    <row r="20" spans="1:51" x14ac:dyDescent="0.25">
      <c r="A20" t="s">
        <v>64</v>
      </c>
      <c r="B20" t="s">
        <v>65</v>
      </c>
      <c r="C20" t="s">
        <v>31</v>
      </c>
      <c r="E20" s="11">
        <v>5744</v>
      </c>
      <c r="F20" s="11">
        <v>4987</v>
      </c>
      <c r="G20" s="12">
        <f>Tabel24256789[[#This Row],[Stand Coffee einde maand]]-Tabel24256789[[#This Row],[Coffee vorige maand]]</f>
        <v>757</v>
      </c>
      <c r="H20" s="11">
        <v>1755</v>
      </c>
      <c r="I20" s="11">
        <v>1487</v>
      </c>
      <c r="J20" s="12">
        <f>Tabel24256789[[#This Row],[Stand Espresso Einde maand]]-Tabel24256789[[#This Row],[Espresso vorige maand]]</f>
        <v>268</v>
      </c>
      <c r="K20" s="11">
        <v>695</v>
      </c>
      <c r="L20" s="11">
        <v>603</v>
      </c>
      <c r="M20">
        <f>Tabel24256789[[#This Row],[Stand Latte Macchiato einde maand]]-Tabel24256789[[#This Row],[Latte Macchiato vorige maand]]</f>
        <v>92</v>
      </c>
      <c r="N20" s="11">
        <v>298</v>
      </c>
      <c r="O20" s="11">
        <v>272</v>
      </c>
      <c r="P20">
        <f>Tabel24256789[[#This Row],[Stand Coffee Latte einde maand]]-Tabel24256789[[#This Row],[Coffee Latte vorige maand]]</f>
        <v>26</v>
      </c>
      <c r="Q20" s="11">
        <v>11146</v>
      </c>
      <c r="R20" s="11">
        <v>9918</v>
      </c>
      <c r="S20">
        <f>Tabel24256789[[#This Row],[Stand Hot Water einde maand]]-Tabel24256789[[#This Row],[Hot Water vorige maand]]</f>
        <v>1228</v>
      </c>
      <c r="T20" s="11">
        <v>3768</v>
      </c>
      <c r="U20" s="11">
        <v>3216</v>
      </c>
      <c r="V20">
        <f>Tabel24256789[[#This Row],[Stand Cappucino einde maand]]-Tabel24256789[[#This Row],[Stand Cappucino vorige maand]]</f>
        <v>552</v>
      </c>
      <c r="W20" s="11">
        <v>815</v>
      </c>
      <c r="X20" s="11">
        <v>706</v>
      </c>
      <c r="Y20">
        <f>Tabel24256789[[#This Row],[Stand Cappucino Plantaardig einde maand]]-Tabel24256789[[#This Row],[Stand Cappucino Plantaardig vorige maand]]</f>
        <v>109</v>
      </c>
      <c r="Z20" s="11">
        <v>174</v>
      </c>
      <c r="AA20" s="11">
        <v>142</v>
      </c>
      <c r="AB20" s="12">
        <f>Tabel24256789[[#This Row],[Stand Latte Macchiato Plantaardig einde maand]]-Tabel24256789[[#This Row],[Stand Latte Macchiato Plantaardig vorige maand]]</f>
        <v>32</v>
      </c>
      <c r="AC20" s="3">
        <f>Tabel24256789[[#This Row],[Verbruik Stand Latte Macchiato Plantaardig deze maand]]+Tabel24256789[[#This Row],[Verbruik  Cappucino Plantaardig deze maand]]+Tabel24256789[[#This Row],[Verbruik Cappucino deze maand]]+Tabel24256789[[#This Row],[Verbruik Hot Water deze maand]]+Tabel24256789[[#This Row],[Verbruik Coffee Latte deze maand]]+Tabel24256789[[#This Row],[Verbruik Latte Macchiato deze maand]]+Tabel24256789[[#This Row],[Verbruik Espresso deze maand]]+Tabel24256789[[#This Row],[Verbruik Coffee deze maand]]</f>
        <v>3064</v>
      </c>
      <c r="AD20" s="26"/>
      <c r="AE20" s="26"/>
      <c r="AF20" s="5"/>
      <c r="AG20" s="7"/>
      <c r="AH20" s="26"/>
      <c r="AI20" s="26"/>
      <c r="AJ20" s="5"/>
      <c r="AK20" s="7"/>
      <c r="AL20" s="26"/>
      <c r="AM20" s="26"/>
      <c r="AN20" s="5"/>
      <c r="AO20" s="5"/>
      <c r="AP20" s="26"/>
      <c r="AQ20" s="26"/>
      <c r="AR20" s="5"/>
      <c r="AS20" s="7"/>
      <c r="AT20" s="26"/>
      <c r="AU20" s="26"/>
      <c r="AV20" s="5"/>
      <c r="AW20" s="21"/>
      <c r="AX20" s="8"/>
      <c r="AY20" s="4">
        <f>Tabel24256789[[#This Row],[Subtotaal waterbar in consumpties]]+Tabel24256789[[#This Row],[Subtotaal koffieautomaten]]</f>
        <v>3064</v>
      </c>
    </row>
    <row r="21" spans="1:51" x14ac:dyDescent="0.25">
      <c r="A21" t="s">
        <v>66</v>
      </c>
      <c r="B21" t="s">
        <v>67</v>
      </c>
      <c r="C21" t="s">
        <v>31</v>
      </c>
      <c r="E21" s="11">
        <v>7613</v>
      </c>
      <c r="F21" s="11">
        <v>6663</v>
      </c>
      <c r="G21" s="12">
        <f>Tabel24256789[[#This Row],[Stand Coffee einde maand]]-Tabel24256789[[#This Row],[Coffee vorige maand]]</f>
        <v>950</v>
      </c>
      <c r="H21" s="11">
        <v>998</v>
      </c>
      <c r="I21" s="11">
        <v>910</v>
      </c>
      <c r="J21" s="12">
        <f>Tabel24256789[[#This Row],[Stand Espresso Einde maand]]-Tabel24256789[[#This Row],[Espresso vorige maand]]</f>
        <v>88</v>
      </c>
      <c r="K21" s="11">
        <v>874</v>
      </c>
      <c r="L21" s="11">
        <v>720</v>
      </c>
      <c r="M21">
        <f>Tabel24256789[[#This Row],[Stand Latte Macchiato einde maand]]-Tabel24256789[[#This Row],[Latte Macchiato vorige maand]]</f>
        <v>154</v>
      </c>
      <c r="N21" s="11">
        <v>329</v>
      </c>
      <c r="O21" s="11">
        <v>281</v>
      </c>
      <c r="P21">
        <f>Tabel24256789[[#This Row],[Stand Coffee Latte einde maand]]-Tabel24256789[[#This Row],[Coffee Latte vorige maand]]</f>
        <v>48</v>
      </c>
      <c r="Q21" s="11">
        <v>11818</v>
      </c>
      <c r="R21" s="11">
        <v>10519</v>
      </c>
      <c r="S21">
        <f>Tabel24256789[[#This Row],[Stand Hot Water einde maand]]-Tabel24256789[[#This Row],[Hot Water vorige maand]]</f>
        <v>1299</v>
      </c>
      <c r="T21" s="11">
        <v>3655</v>
      </c>
      <c r="U21" s="11">
        <v>3155</v>
      </c>
      <c r="V21">
        <f>Tabel24256789[[#This Row],[Stand Cappucino einde maand]]-Tabel24256789[[#This Row],[Stand Cappucino vorige maand]]</f>
        <v>500</v>
      </c>
      <c r="W21" s="11">
        <v>1287</v>
      </c>
      <c r="X21" s="11">
        <v>1164</v>
      </c>
      <c r="Y21">
        <f>Tabel24256789[[#This Row],[Stand Cappucino Plantaardig einde maand]]-Tabel24256789[[#This Row],[Stand Cappucino Plantaardig vorige maand]]</f>
        <v>123</v>
      </c>
      <c r="Z21" s="11">
        <v>368</v>
      </c>
      <c r="AA21" s="11">
        <v>362</v>
      </c>
      <c r="AB21" s="12">
        <f>Tabel24256789[[#This Row],[Stand Latte Macchiato Plantaardig einde maand]]-Tabel24256789[[#This Row],[Stand Latte Macchiato Plantaardig vorige maand]]</f>
        <v>6</v>
      </c>
      <c r="AC21" s="3">
        <f>Tabel24256789[[#This Row],[Verbruik Stand Latte Macchiato Plantaardig deze maand]]+Tabel24256789[[#This Row],[Verbruik  Cappucino Plantaardig deze maand]]+Tabel24256789[[#This Row],[Verbruik Cappucino deze maand]]+Tabel24256789[[#This Row],[Verbruik Hot Water deze maand]]+Tabel24256789[[#This Row],[Verbruik Coffee Latte deze maand]]+Tabel24256789[[#This Row],[Verbruik Latte Macchiato deze maand]]+Tabel24256789[[#This Row],[Verbruik Espresso deze maand]]+Tabel24256789[[#This Row],[Verbruik Coffee deze maand]]</f>
        <v>3168</v>
      </c>
      <c r="AD21" s="26"/>
      <c r="AE21" s="26"/>
      <c r="AF21" s="5"/>
      <c r="AG21" s="7"/>
      <c r="AH21" s="26"/>
      <c r="AI21" s="26"/>
      <c r="AJ21" s="5"/>
      <c r="AK21" s="7"/>
      <c r="AL21" s="26"/>
      <c r="AM21" s="26"/>
      <c r="AN21" s="5"/>
      <c r="AO21" s="5"/>
      <c r="AP21" s="26"/>
      <c r="AQ21" s="26"/>
      <c r="AR21" s="5"/>
      <c r="AS21" s="7"/>
      <c r="AT21" s="26"/>
      <c r="AU21" s="26"/>
      <c r="AV21" s="5"/>
      <c r="AW21" s="21"/>
      <c r="AX21" s="8"/>
      <c r="AY21" s="4">
        <f>Tabel24256789[[#This Row],[Subtotaal waterbar in consumpties]]+Tabel24256789[[#This Row],[Subtotaal koffieautomaten]]</f>
        <v>3168</v>
      </c>
    </row>
    <row r="22" spans="1:51" x14ac:dyDescent="0.25">
      <c r="A22" t="s">
        <v>68</v>
      </c>
      <c r="B22" t="s">
        <v>69</v>
      </c>
      <c r="C22" t="s">
        <v>47</v>
      </c>
      <c r="E22" s="11">
        <v>3753</v>
      </c>
      <c r="F22" s="11">
        <v>3219</v>
      </c>
      <c r="G22" s="12">
        <f>Tabel24256789[[#This Row],[Stand Coffee einde maand]]-Tabel24256789[[#This Row],[Coffee vorige maand]]</f>
        <v>534</v>
      </c>
      <c r="H22" s="11">
        <v>1474</v>
      </c>
      <c r="I22" s="11">
        <v>1221</v>
      </c>
      <c r="J22" s="12">
        <f>Tabel24256789[[#This Row],[Stand Espresso Einde maand]]-Tabel24256789[[#This Row],[Espresso vorige maand]]</f>
        <v>253</v>
      </c>
      <c r="K22" s="11">
        <v>1324</v>
      </c>
      <c r="L22" s="11">
        <v>1212</v>
      </c>
      <c r="M22">
        <f>Tabel24256789[[#This Row],[Stand Latte Macchiato einde maand]]-Tabel24256789[[#This Row],[Latte Macchiato vorige maand]]</f>
        <v>112</v>
      </c>
      <c r="N22" s="11">
        <v>293</v>
      </c>
      <c r="O22" s="11">
        <v>268</v>
      </c>
      <c r="P22">
        <f>Tabel24256789[[#This Row],[Stand Coffee Latte einde maand]]-Tabel24256789[[#This Row],[Coffee Latte vorige maand]]</f>
        <v>25</v>
      </c>
      <c r="Q22" s="11">
        <v>1</v>
      </c>
      <c r="R22" s="11">
        <v>1</v>
      </c>
      <c r="S22">
        <f>Tabel24256789[[#This Row],[Stand Hot Water einde maand]]-Tabel24256789[[#This Row],[Hot Water vorige maand]]</f>
        <v>0</v>
      </c>
      <c r="T22" s="11">
        <v>4720</v>
      </c>
      <c r="U22" s="11">
        <v>4119</v>
      </c>
      <c r="V22">
        <f>Tabel24256789[[#This Row],[Stand Cappucino einde maand]]-Tabel24256789[[#This Row],[Stand Cappucino vorige maand]]</f>
        <v>601</v>
      </c>
      <c r="W22" s="11">
        <v>833</v>
      </c>
      <c r="X22" s="11">
        <v>712</v>
      </c>
      <c r="Y22">
        <f>Tabel24256789[[#This Row],[Stand Cappucino Plantaardig einde maand]]-Tabel24256789[[#This Row],[Stand Cappucino Plantaardig vorige maand]]</f>
        <v>121</v>
      </c>
      <c r="Z22" s="11">
        <v>242</v>
      </c>
      <c r="AA22" s="11">
        <v>224</v>
      </c>
      <c r="AB22" s="12">
        <f>Tabel24256789[[#This Row],[Stand Latte Macchiato Plantaardig einde maand]]-Tabel24256789[[#This Row],[Stand Latte Macchiato Plantaardig vorige maand]]</f>
        <v>18</v>
      </c>
      <c r="AC22" s="3">
        <f>Tabel24256789[[#This Row],[Verbruik Stand Latte Macchiato Plantaardig deze maand]]+Tabel24256789[[#This Row],[Verbruik  Cappucino Plantaardig deze maand]]+Tabel24256789[[#This Row],[Verbruik Cappucino deze maand]]+Tabel24256789[[#This Row],[Verbruik Hot Water deze maand]]+Tabel24256789[[#This Row],[Verbruik Coffee Latte deze maand]]+Tabel24256789[[#This Row],[Verbruik Latte Macchiato deze maand]]+Tabel24256789[[#This Row],[Verbruik Espresso deze maand]]+Tabel24256789[[#This Row],[Verbruik Coffee deze maand]]</f>
        <v>1664</v>
      </c>
      <c r="AD22" s="11">
        <v>113.3</v>
      </c>
      <c r="AE22" s="11">
        <v>104.1</v>
      </c>
      <c r="AF22">
        <f>Tabel24256789[[#This Row],[Stand Kamertemp liter einde maand]]-Tabel24256789[[#This Row],[Stand Kamertemp liter vorige maand]]</f>
        <v>9.2000000000000028</v>
      </c>
      <c r="AG22" s="2">
        <f>Tabel24256789[[#This Row],[Verbruik Kamertemp liter deze maand]]/0.15</f>
        <v>61.333333333333357</v>
      </c>
      <c r="AH22" s="11">
        <v>1310.9</v>
      </c>
      <c r="AI22" s="11">
        <v>1200.9000000000001</v>
      </c>
      <c r="AJ22">
        <f>Tabel24256789[[#This Row],[Stand Gekoeld liter einde maand]]-Tabel24256789[[#This Row],[Stand Gekoeld liter vorige maand]]</f>
        <v>110</v>
      </c>
      <c r="AK22" s="2">
        <f>Tabel24256789[[#This Row],[Verbruik Gekoeld liter deze maand]]/0.15</f>
        <v>733.33333333333337</v>
      </c>
      <c r="AL22" s="11">
        <v>1244.9000000000001</v>
      </c>
      <c r="AM22" s="11">
        <v>1117</v>
      </c>
      <c r="AN22">
        <f>Tabel24256789[[#This Row],[Stand Bruisend liter einde maand]]-Tabel24256789[[#This Row],[Stand Bruisend liter vorige maand]]</f>
        <v>127.90000000000009</v>
      </c>
      <c r="AO22" s="2">
        <f>Tabel24256789[[#This Row],[Verbruik Bruisend liter deze maand]]/0.15</f>
        <v>852.66666666666731</v>
      </c>
      <c r="AP22" s="11">
        <v>538.20000000000005</v>
      </c>
      <c r="AQ22" s="11">
        <v>506.5</v>
      </c>
      <c r="AR22">
        <f>Tabel24256789[[#This Row],[Stand licht bruisend liter einde maand]]-Tabel24256789[[#This Row],[Stand licht bruisend liter vorige maand]]</f>
        <v>31.700000000000045</v>
      </c>
      <c r="AS22" s="2">
        <f>Tabel24256789[[#This Row],[Verbruik licht bruisend liter deze maand]]/0.15</f>
        <v>211.33333333333366</v>
      </c>
      <c r="AT22" s="11">
        <v>3461.9</v>
      </c>
      <c r="AU22" s="11">
        <v>3249.4</v>
      </c>
      <c r="AV22">
        <f>Tabel24256789[[#This Row],[Stand heet water liter einde maand]]-Tabel24256789[[#This Row],[Stand heet water liter vorige maand]]</f>
        <v>212.5</v>
      </c>
      <c r="AW22" s="20">
        <f>Tabel24256789[[#This Row],[Verbruik heet Water liter deze maand ]]/0.15</f>
        <v>1416.6666666666667</v>
      </c>
      <c r="AX22" s="4">
        <f>Tabel24256789[[#This Row],[Aantal consumpties heet water deze maand]]+Tabel24256789[[#This Row],[Aantal consumpties licht bruisend water deze maand]]+Tabel24256789[[#This Row],[aantal consumpties Bruisend water deze maand]]+Tabel24256789[[#This Row],[Aantal consumpties gekoeld water deze maand]]+Tabel24256789[[#This Row],[Aantal consumpties Kamertemp deze maand]]</f>
        <v>3275.3333333333348</v>
      </c>
      <c r="AY22" s="4">
        <f>Tabel24256789[[#This Row],[Subtotaal waterbar in consumpties]]+Tabel24256789[[#This Row],[Subtotaal koffieautomaten]]</f>
        <v>4939.3333333333348</v>
      </c>
    </row>
    <row r="23" spans="1:51" x14ac:dyDescent="0.25">
      <c r="A23" t="s">
        <v>70</v>
      </c>
      <c r="B23" t="s">
        <v>71</v>
      </c>
      <c r="C23" t="s">
        <v>31</v>
      </c>
      <c r="E23" s="11">
        <v>4997</v>
      </c>
      <c r="F23" s="11">
        <v>4449</v>
      </c>
      <c r="G23" s="12">
        <f>Tabel24256789[[#This Row],[Stand Coffee einde maand]]-Tabel24256789[[#This Row],[Coffee vorige maand]]</f>
        <v>548</v>
      </c>
      <c r="H23" s="11">
        <v>604</v>
      </c>
      <c r="I23" s="11">
        <v>523</v>
      </c>
      <c r="J23" s="12">
        <f>Tabel24256789[[#This Row],[Stand Espresso Einde maand]]-Tabel24256789[[#This Row],[Espresso vorige maand]]</f>
        <v>81</v>
      </c>
      <c r="K23" s="11">
        <v>398</v>
      </c>
      <c r="L23" s="11">
        <v>364</v>
      </c>
      <c r="M23">
        <f>Tabel24256789[[#This Row],[Stand Latte Macchiato einde maand]]-Tabel24256789[[#This Row],[Latte Macchiato vorige maand]]</f>
        <v>34</v>
      </c>
      <c r="N23" s="11">
        <v>421</v>
      </c>
      <c r="O23" s="11">
        <v>393</v>
      </c>
      <c r="P23">
        <f>Tabel24256789[[#This Row],[Stand Coffee Latte einde maand]]-Tabel24256789[[#This Row],[Coffee Latte vorige maand]]</f>
        <v>28</v>
      </c>
      <c r="Q23" s="11">
        <v>8850</v>
      </c>
      <c r="R23" s="11">
        <v>7819</v>
      </c>
      <c r="S23">
        <f>Tabel24256789[[#This Row],[Stand Hot Water einde maand]]-Tabel24256789[[#This Row],[Hot Water vorige maand]]</f>
        <v>1031</v>
      </c>
      <c r="T23" s="11">
        <v>2084</v>
      </c>
      <c r="U23" s="11">
        <v>1789</v>
      </c>
      <c r="V23">
        <f>Tabel24256789[[#This Row],[Stand Cappucino einde maand]]-Tabel24256789[[#This Row],[Stand Cappucino vorige maand]]</f>
        <v>295</v>
      </c>
      <c r="W23" s="11">
        <v>567</v>
      </c>
      <c r="X23" s="11">
        <v>514</v>
      </c>
      <c r="Y23">
        <f>Tabel24256789[[#This Row],[Stand Cappucino Plantaardig einde maand]]-Tabel24256789[[#This Row],[Stand Cappucino Plantaardig vorige maand]]</f>
        <v>53</v>
      </c>
      <c r="Z23" s="11">
        <v>565</v>
      </c>
      <c r="AA23" s="11">
        <v>490</v>
      </c>
      <c r="AB23" s="12">
        <f>Tabel24256789[[#This Row],[Stand Latte Macchiato Plantaardig einde maand]]-Tabel24256789[[#This Row],[Stand Latte Macchiato Plantaardig vorige maand]]</f>
        <v>75</v>
      </c>
      <c r="AC23" s="3">
        <f>Tabel24256789[[#This Row],[Verbruik Stand Latte Macchiato Plantaardig deze maand]]+Tabel24256789[[#This Row],[Verbruik  Cappucino Plantaardig deze maand]]+Tabel24256789[[#This Row],[Verbruik Cappucino deze maand]]+Tabel24256789[[#This Row],[Verbruik Hot Water deze maand]]+Tabel24256789[[#This Row],[Verbruik Coffee Latte deze maand]]+Tabel24256789[[#This Row],[Verbruik Latte Macchiato deze maand]]+Tabel24256789[[#This Row],[Verbruik Espresso deze maand]]+Tabel24256789[[#This Row],[Verbruik Coffee deze maand]]</f>
        <v>2145</v>
      </c>
      <c r="AD23" s="26"/>
      <c r="AE23" s="26"/>
      <c r="AF23" s="5"/>
      <c r="AG23" s="7"/>
      <c r="AH23" s="26"/>
      <c r="AI23" s="26"/>
      <c r="AJ23" s="5"/>
      <c r="AK23" s="7"/>
      <c r="AL23" s="26"/>
      <c r="AM23" s="26"/>
      <c r="AN23" s="5"/>
      <c r="AO23" s="5"/>
      <c r="AP23" s="26"/>
      <c r="AQ23" s="26"/>
      <c r="AR23" s="5"/>
      <c r="AS23" s="7"/>
      <c r="AT23" s="26"/>
      <c r="AU23" s="26"/>
      <c r="AV23" s="5"/>
      <c r="AW23" s="21"/>
      <c r="AX23" s="8"/>
      <c r="AY23" s="4">
        <f>Tabel24256789[[#This Row],[Subtotaal waterbar in consumpties]]+Tabel24256789[[#This Row],[Subtotaal koffieautomaten]]</f>
        <v>2145</v>
      </c>
    </row>
    <row r="24" spans="1:51" x14ac:dyDescent="0.25">
      <c r="A24" t="s">
        <v>72</v>
      </c>
      <c r="B24" t="s">
        <v>73</v>
      </c>
      <c r="C24" t="s">
        <v>47</v>
      </c>
      <c r="E24" s="11">
        <v>3999</v>
      </c>
      <c r="F24" s="11">
        <v>3553</v>
      </c>
      <c r="G24" s="12">
        <f>Tabel24256789[[#This Row],[Stand Coffee einde maand]]-Tabel24256789[[#This Row],[Coffee vorige maand]]</f>
        <v>446</v>
      </c>
      <c r="H24" s="11">
        <v>1312</v>
      </c>
      <c r="I24" s="11">
        <v>1156</v>
      </c>
      <c r="J24" s="12">
        <f>Tabel24256789[[#This Row],[Stand Espresso Einde maand]]-Tabel24256789[[#This Row],[Espresso vorige maand]]</f>
        <v>156</v>
      </c>
      <c r="K24" s="11">
        <v>620</v>
      </c>
      <c r="L24" s="11">
        <v>566</v>
      </c>
      <c r="M24">
        <f>Tabel24256789[[#This Row],[Stand Latte Macchiato einde maand]]-Tabel24256789[[#This Row],[Latte Macchiato vorige maand]]</f>
        <v>54</v>
      </c>
      <c r="N24" s="11">
        <v>296</v>
      </c>
      <c r="O24" s="11">
        <v>257</v>
      </c>
      <c r="P24">
        <f>Tabel24256789[[#This Row],[Stand Coffee Latte einde maand]]-Tabel24256789[[#This Row],[Coffee Latte vorige maand]]</f>
        <v>39</v>
      </c>
      <c r="Q24" s="11">
        <v>1</v>
      </c>
      <c r="R24" s="11">
        <v>1</v>
      </c>
      <c r="S24">
        <f>Tabel24256789[[#This Row],[Stand Hot Water einde maand]]-Tabel24256789[[#This Row],[Hot Water vorige maand]]</f>
        <v>0</v>
      </c>
      <c r="T24" s="11">
        <v>2950</v>
      </c>
      <c r="U24" s="11">
        <v>2620</v>
      </c>
      <c r="V24">
        <f>Tabel24256789[[#This Row],[Stand Cappucino einde maand]]-Tabel24256789[[#This Row],[Stand Cappucino vorige maand]]</f>
        <v>330</v>
      </c>
      <c r="W24" s="11">
        <v>558</v>
      </c>
      <c r="X24" s="11">
        <v>494</v>
      </c>
      <c r="Y24">
        <f>Tabel24256789[[#This Row],[Stand Cappucino Plantaardig einde maand]]-Tabel24256789[[#This Row],[Stand Cappucino Plantaardig vorige maand]]</f>
        <v>64</v>
      </c>
      <c r="Z24" s="11">
        <v>156</v>
      </c>
      <c r="AA24" s="11">
        <v>141</v>
      </c>
      <c r="AB24" s="12">
        <f>Tabel24256789[[#This Row],[Stand Latte Macchiato Plantaardig einde maand]]-Tabel24256789[[#This Row],[Stand Latte Macchiato Plantaardig vorige maand]]</f>
        <v>15</v>
      </c>
      <c r="AC24" s="3">
        <f>Tabel24256789[[#This Row],[Verbruik Stand Latte Macchiato Plantaardig deze maand]]+Tabel24256789[[#This Row],[Verbruik  Cappucino Plantaardig deze maand]]+Tabel24256789[[#This Row],[Verbruik Cappucino deze maand]]+Tabel24256789[[#This Row],[Verbruik Hot Water deze maand]]+Tabel24256789[[#This Row],[Verbruik Coffee Latte deze maand]]+Tabel24256789[[#This Row],[Verbruik Latte Macchiato deze maand]]+Tabel24256789[[#This Row],[Verbruik Espresso deze maand]]+Tabel24256789[[#This Row],[Verbruik Coffee deze maand]]</f>
        <v>1104</v>
      </c>
      <c r="AD24" s="11">
        <v>110.2</v>
      </c>
      <c r="AE24" s="11">
        <v>101.9</v>
      </c>
      <c r="AF24">
        <f>Tabel24256789[[#This Row],[Stand Kamertemp liter einde maand]]-Tabel24256789[[#This Row],[Stand Kamertemp liter vorige maand]]</f>
        <v>8.2999999999999972</v>
      </c>
      <c r="AG24" s="2">
        <f>Tabel24256789[[#This Row],[Verbruik Kamertemp liter deze maand]]/0.15</f>
        <v>55.333333333333314</v>
      </c>
      <c r="AH24" s="11">
        <v>765.5</v>
      </c>
      <c r="AI24" s="11">
        <v>697.1</v>
      </c>
      <c r="AJ24">
        <f>Tabel24256789[[#This Row],[Stand Gekoeld liter einde maand]]-Tabel24256789[[#This Row],[Stand Gekoeld liter vorige maand]]</f>
        <v>68.399999999999977</v>
      </c>
      <c r="AK24" s="2">
        <f>Tabel24256789[[#This Row],[Verbruik Gekoeld liter deze maand]]/0.15</f>
        <v>455.99999999999989</v>
      </c>
      <c r="AL24" s="11">
        <v>706.5</v>
      </c>
      <c r="AM24" s="11">
        <v>626.6</v>
      </c>
      <c r="AN24">
        <f>Tabel24256789[[#This Row],[Stand Bruisend liter einde maand]]-Tabel24256789[[#This Row],[Stand Bruisend liter vorige maand]]</f>
        <v>79.899999999999977</v>
      </c>
      <c r="AO24" s="2">
        <f>Tabel24256789[[#This Row],[Verbruik Bruisend liter deze maand]]/0.15</f>
        <v>532.66666666666652</v>
      </c>
      <c r="AP24" s="11">
        <v>253.4</v>
      </c>
      <c r="AQ24" s="11">
        <v>229.5</v>
      </c>
      <c r="AR24">
        <f>Tabel24256789[[#This Row],[Stand licht bruisend liter einde maand]]-Tabel24256789[[#This Row],[Stand licht bruisend liter vorige maand]]</f>
        <v>23.900000000000006</v>
      </c>
      <c r="AS24" s="2">
        <f>Tabel24256789[[#This Row],[Verbruik licht bruisend liter deze maand]]/0.15</f>
        <v>159.33333333333337</v>
      </c>
      <c r="AT24" s="11">
        <v>933.5</v>
      </c>
      <c r="AU24" s="11">
        <v>865.5</v>
      </c>
      <c r="AV24">
        <f>Tabel24256789[[#This Row],[Stand heet water liter einde maand]]-Tabel24256789[[#This Row],[Stand heet water liter vorige maand]]</f>
        <v>68</v>
      </c>
      <c r="AW24" s="20">
        <f>Tabel24256789[[#This Row],[Verbruik heet Water liter deze maand ]]/0.15</f>
        <v>453.33333333333337</v>
      </c>
      <c r="AX24" s="4">
        <f>Tabel24256789[[#This Row],[Aantal consumpties heet water deze maand]]+Tabel24256789[[#This Row],[Aantal consumpties licht bruisend water deze maand]]+Tabel24256789[[#This Row],[aantal consumpties Bruisend water deze maand]]+Tabel24256789[[#This Row],[Aantal consumpties gekoeld water deze maand]]+Tabel24256789[[#This Row],[Aantal consumpties Kamertemp deze maand]]</f>
        <v>1656.6666666666663</v>
      </c>
      <c r="AY24" s="4">
        <f>Tabel24256789[[#This Row],[Subtotaal waterbar in consumpties]]+Tabel24256789[[#This Row],[Subtotaal koffieautomaten]]</f>
        <v>2760.6666666666661</v>
      </c>
    </row>
    <row r="25" spans="1:51" x14ac:dyDescent="0.25">
      <c r="A25" s="3" t="s">
        <v>74</v>
      </c>
      <c r="F25" s="11"/>
      <c r="H25" s="11"/>
      <c r="I25" s="11"/>
      <c r="J25" s="12"/>
      <c r="K25" s="11"/>
      <c r="L25" s="11"/>
      <c r="O25" s="11"/>
      <c r="R25" s="11"/>
      <c r="U25" s="11"/>
      <c r="X25" s="11"/>
      <c r="AA25" s="11"/>
      <c r="AC25" s="3">
        <f>Tabel24256789[[#This Row],[Verbruik Stand Latte Macchiato Plantaardig deze maand]]+Tabel24256789[[#This Row],[Verbruik  Cappucino Plantaardig deze maand]]+Tabel24256789[[#This Row],[Verbruik Cappucino deze maand]]+Tabel24256789[[#This Row],[Verbruik Hot Water deze maand]]+Tabel24256789[[#This Row],[Verbruik Coffee Latte deze maand]]+Tabel24256789[[#This Row],[Verbruik Latte Macchiato deze maand]]+Tabel24256789[[#This Row],[Verbruik Espresso deze maand]]+Tabel24256789[[#This Row],[Verbruik Coffee deze maand]]</f>
        <v>0</v>
      </c>
      <c r="AE25" s="11"/>
      <c r="AG25" s="2"/>
      <c r="AI25" s="11"/>
      <c r="AK25" s="2"/>
      <c r="AM25" s="11"/>
      <c r="AO25" s="2"/>
      <c r="AQ25" s="11"/>
      <c r="AS25" s="2"/>
      <c r="AU25" s="11"/>
      <c r="AW25" s="20"/>
      <c r="AX25" s="3"/>
      <c r="AY25" s="4">
        <f>Tabel24256789[[#This Row],[Subtotaal waterbar in consumpties]]+Tabel24256789[[#This Row],[Subtotaal koffieautomaten]]</f>
        <v>0</v>
      </c>
    </row>
    <row r="26" spans="1:51" x14ac:dyDescent="0.25">
      <c r="A26" t="s">
        <v>32</v>
      </c>
      <c r="B26" t="s">
        <v>75</v>
      </c>
      <c r="C26" t="s">
        <v>47</v>
      </c>
      <c r="E26" s="11">
        <v>2485</v>
      </c>
      <c r="F26" s="11">
        <v>2137</v>
      </c>
      <c r="G26" s="12">
        <f>Tabel24256789[[#This Row],[Stand Coffee einde maand]]-Tabel24256789[[#This Row],[Coffee vorige maand]]</f>
        <v>348</v>
      </c>
      <c r="H26" s="11">
        <v>383</v>
      </c>
      <c r="I26" s="11">
        <v>338</v>
      </c>
      <c r="J26" s="12">
        <f>Tabel24256789[[#This Row],[Stand Espresso Einde maand]]-Tabel24256789[[#This Row],[Espresso vorige maand]]</f>
        <v>45</v>
      </c>
      <c r="K26" s="11">
        <v>793</v>
      </c>
      <c r="L26" s="11">
        <v>689</v>
      </c>
      <c r="M26">
        <f>Tabel24256789[[#This Row],[Stand Latte Macchiato einde maand]]-Tabel24256789[[#This Row],[Latte Macchiato vorige maand]]</f>
        <v>104</v>
      </c>
      <c r="N26" s="11">
        <v>269</v>
      </c>
      <c r="O26" s="11">
        <v>233</v>
      </c>
      <c r="P26">
        <f>Tabel24256789[[#This Row],[Stand Coffee Latte einde maand]]-Tabel24256789[[#This Row],[Coffee Latte vorige maand]]</f>
        <v>36</v>
      </c>
      <c r="Q26" s="11">
        <v>1</v>
      </c>
      <c r="R26" s="11">
        <v>1</v>
      </c>
      <c r="S26">
        <f>Tabel24256789[[#This Row],[Stand Hot Water einde maand]]-Tabel24256789[[#This Row],[Hot Water vorige maand]]</f>
        <v>0</v>
      </c>
      <c r="T26" s="11">
        <v>1648</v>
      </c>
      <c r="U26" s="11">
        <v>1437</v>
      </c>
      <c r="V26">
        <f>Tabel24256789[[#This Row],[Stand Cappucino einde maand]]-Tabel24256789[[#This Row],[Stand Cappucino vorige maand]]</f>
        <v>211</v>
      </c>
      <c r="W26" s="11">
        <v>213</v>
      </c>
      <c r="X26" s="11">
        <v>191</v>
      </c>
      <c r="Y26">
        <f>Tabel24256789[[#This Row],[Stand Cappucino Plantaardig einde maand]]-Tabel24256789[[#This Row],[Stand Cappucino Plantaardig vorige maand]]</f>
        <v>22</v>
      </c>
      <c r="Z26" s="11">
        <v>209</v>
      </c>
      <c r="AA26" s="11">
        <v>196</v>
      </c>
      <c r="AB26" s="12">
        <f>Tabel24256789[[#This Row],[Stand Latte Macchiato Plantaardig einde maand]]-Tabel24256789[[#This Row],[Stand Latte Macchiato Plantaardig vorige maand]]</f>
        <v>13</v>
      </c>
      <c r="AC26" s="3">
        <f>Tabel24256789[[#This Row],[Verbruik Stand Latte Macchiato Plantaardig deze maand]]+Tabel24256789[[#This Row],[Verbruik  Cappucino Plantaardig deze maand]]+Tabel24256789[[#This Row],[Verbruik Cappucino deze maand]]+Tabel24256789[[#This Row],[Verbruik Hot Water deze maand]]+Tabel24256789[[#This Row],[Verbruik Coffee Latte deze maand]]+Tabel24256789[[#This Row],[Verbruik Latte Macchiato deze maand]]+Tabel24256789[[#This Row],[Verbruik Espresso deze maand]]+Tabel24256789[[#This Row],[Verbruik Coffee deze maand]]</f>
        <v>779</v>
      </c>
      <c r="AD26" s="11">
        <v>77.7</v>
      </c>
      <c r="AE26" s="11">
        <v>74</v>
      </c>
      <c r="AF26">
        <f>Tabel24256789[[#This Row],[Stand Kamertemp liter einde maand]]-Tabel24256789[[#This Row],[Stand Kamertemp liter vorige maand]]</f>
        <v>3.7000000000000028</v>
      </c>
      <c r="AG26" s="2">
        <f>Tabel24256789[[#This Row],[Verbruik Kamertemp liter deze maand]]/0.15</f>
        <v>24.666666666666686</v>
      </c>
      <c r="AH26" s="11">
        <v>412.7</v>
      </c>
      <c r="AI26" s="11">
        <v>378</v>
      </c>
      <c r="AJ26">
        <f>Tabel24256789[[#This Row],[Stand Gekoeld liter einde maand]]-Tabel24256789[[#This Row],[Stand Gekoeld liter vorige maand]]</f>
        <v>34.699999999999989</v>
      </c>
      <c r="AK26" s="2">
        <f>Tabel24256789[[#This Row],[Verbruik Gekoeld liter deze maand]]/0.15</f>
        <v>231.33333333333326</v>
      </c>
      <c r="AL26" s="11">
        <v>333.5</v>
      </c>
      <c r="AM26" s="11">
        <v>300.8</v>
      </c>
      <c r="AN26">
        <f>Tabel24256789[[#This Row],[Stand Bruisend liter einde maand]]-Tabel24256789[[#This Row],[Stand Bruisend liter vorige maand]]</f>
        <v>32.699999999999989</v>
      </c>
      <c r="AO26" s="2">
        <f>Tabel24256789[[#This Row],[Verbruik Bruisend liter deze maand]]/0.15</f>
        <v>217.99999999999994</v>
      </c>
      <c r="AP26" s="11">
        <v>178</v>
      </c>
      <c r="AQ26" s="11">
        <v>166.5</v>
      </c>
      <c r="AR26">
        <f>Tabel24256789[[#This Row],[Stand licht bruisend liter einde maand]]-Tabel24256789[[#This Row],[Stand licht bruisend liter vorige maand]]</f>
        <v>11.5</v>
      </c>
      <c r="AS26" s="2">
        <f>Tabel24256789[[#This Row],[Verbruik licht bruisend liter deze maand]]/0.15</f>
        <v>76.666666666666671</v>
      </c>
      <c r="AT26" s="11">
        <v>1393.7</v>
      </c>
      <c r="AU26" s="11">
        <v>1287.0999999999999</v>
      </c>
      <c r="AV26">
        <f>Tabel24256789[[#This Row],[Stand heet water liter einde maand]]-Tabel24256789[[#This Row],[Stand heet water liter vorige maand]]</f>
        <v>106.60000000000014</v>
      </c>
      <c r="AW26" s="20">
        <f>Tabel24256789[[#This Row],[Verbruik heet Water liter deze maand ]]/0.15</f>
        <v>710.66666666666765</v>
      </c>
      <c r="AX26" s="4">
        <f>Tabel24256789[[#This Row],[Aantal consumpties heet water deze maand]]+Tabel24256789[[#This Row],[Aantal consumpties licht bruisend water deze maand]]+Tabel24256789[[#This Row],[aantal consumpties Bruisend water deze maand]]+Tabel24256789[[#This Row],[Aantal consumpties gekoeld water deze maand]]+Tabel24256789[[#This Row],[Aantal consumpties Kamertemp deze maand]]</f>
        <v>1261.3333333333342</v>
      </c>
      <c r="AY26" s="4">
        <f>Tabel24256789[[#This Row],[Subtotaal waterbar in consumpties]]+Tabel24256789[[#This Row],[Subtotaal koffieautomaten]]</f>
        <v>2040.3333333333342</v>
      </c>
    </row>
    <row r="27" spans="1:51" x14ac:dyDescent="0.25">
      <c r="A27" t="s">
        <v>39</v>
      </c>
      <c r="B27" t="s">
        <v>76</v>
      </c>
      <c r="C27" t="s">
        <v>31</v>
      </c>
      <c r="E27" s="11">
        <v>10413</v>
      </c>
      <c r="F27" s="11">
        <v>9242</v>
      </c>
      <c r="G27" s="12">
        <f>Tabel24256789[[#This Row],[Stand Coffee einde maand]]-Tabel24256789[[#This Row],[Coffee vorige maand]]</f>
        <v>1171</v>
      </c>
      <c r="H27" s="11">
        <v>2317</v>
      </c>
      <c r="I27" s="11">
        <v>2018</v>
      </c>
      <c r="J27" s="12">
        <f>Tabel24256789[[#This Row],[Stand Espresso Einde maand]]-Tabel24256789[[#This Row],[Espresso vorige maand]]</f>
        <v>299</v>
      </c>
      <c r="K27" s="11">
        <v>1184</v>
      </c>
      <c r="L27" s="11">
        <v>1054</v>
      </c>
      <c r="M27">
        <f>Tabel24256789[[#This Row],[Stand Latte Macchiato einde maand]]-Tabel24256789[[#This Row],[Latte Macchiato vorige maand]]</f>
        <v>130</v>
      </c>
      <c r="N27" s="11">
        <v>504</v>
      </c>
      <c r="O27" s="11">
        <v>463</v>
      </c>
      <c r="P27">
        <f>Tabel24256789[[#This Row],[Stand Coffee Latte einde maand]]-Tabel24256789[[#This Row],[Coffee Latte vorige maand]]</f>
        <v>41</v>
      </c>
      <c r="Q27" s="11">
        <v>7479</v>
      </c>
      <c r="R27" s="11">
        <v>6822</v>
      </c>
      <c r="S27">
        <f>Tabel24256789[[#This Row],[Stand Hot Water einde maand]]-Tabel24256789[[#This Row],[Hot Water vorige maand]]</f>
        <v>657</v>
      </c>
      <c r="T27" s="11">
        <v>6994</v>
      </c>
      <c r="U27" s="11">
        <v>6355</v>
      </c>
      <c r="V27">
        <f>Tabel24256789[[#This Row],[Stand Cappucino einde maand]]-Tabel24256789[[#This Row],[Stand Cappucino vorige maand]]</f>
        <v>639</v>
      </c>
      <c r="W27" s="11">
        <v>1028</v>
      </c>
      <c r="X27" s="11">
        <v>945</v>
      </c>
      <c r="Y27">
        <f>Tabel24256789[[#This Row],[Stand Cappucino Plantaardig einde maand]]-Tabel24256789[[#This Row],[Stand Cappucino Plantaardig vorige maand]]</f>
        <v>83</v>
      </c>
      <c r="Z27" s="11">
        <v>291</v>
      </c>
      <c r="AA27" s="11">
        <v>272</v>
      </c>
      <c r="AB27" s="12">
        <f>Tabel24256789[[#This Row],[Stand Latte Macchiato Plantaardig einde maand]]-Tabel24256789[[#This Row],[Stand Latte Macchiato Plantaardig vorige maand]]</f>
        <v>19</v>
      </c>
      <c r="AC27" s="3">
        <f>Tabel24256789[[#This Row],[Verbruik Stand Latte Macchiato Plantaardig deze maand]]+Tabel24256789[[#This Row],[Verbruik  Cappucino Plantaardig deze maand]]+Tabel24256789[[#This Row],[Verbruik Cappucino deze maand]]+Tabel24256789[[#This Row],[Verbruik Hot Water deze maand]]+Tabel24256789[[#This Row],[Verbruik Coffee Latte deze maand]]+Tabel24256789[[#This Row],[Verbruik Latte Macchiato deze maand]]+Tabel24256789[[#This Row],[Verbruik Espresso deze maand]]+Tabel24256789[[#This Row],[Verbruik Coffee deze maand]]</f>
        <v>3039</v>
      </c>
      <c r="AD27" s="26"/>
      <c r="AE27" s="26"/>
      <c r="AF27" s="5"/>
      <c r="AG27" s="7"/>
      <c r="AH27" s="26"/>
      <c r="AI27" s="26"/>
      <c r="AJ27" s="5"/>
      <c r="AK27" s="7"/>
      <c r="AL27" s="26"/>
      <c r="AM27" s="26"/>
      <c r="AN27" s="5"/>
      <c r="AO27" s="7"/>
      <c r="AP27" s="26"/>
      <c r="AQ27" s="26"/>
      <c r="AR27" s="5"/>
      <c r="AS27" s="7"/>
      <c r="AT27" s="26"/>
      <c r="AU27" s="26"/>
      <c r="AV27" s="5"/>
      <c r="AW27" s="21"/>
      <c r="AX27" s="8"/>
      <c r="AY27" s="4">
        <f>Tabel24256789[[#This Row],[Subtotaal waterbar in consumpties]]+Tabel24256789[[#This Row],[Subtotaal koffieautomaten]]</f>
        <v>3039</v>
      </c>
    </row>
    <row r="28" spans="1:51" x14ac:dyDescent="0.25">
      <c r="A28" t="s">
        <v>39</v>
      </c>
      <c r="B28" t="s">
        <v>77</v>
      </c>
      <c r="C28" t="s">
        <v>36</v>
      </c>
      <c r="E28" s="42"/>
      <c r="F28" s="43"/>
      <c r="G28" s="43"/>
      <c r="H28" s="42"/>
      <c r="I28" s="43"/>
      <c r="J28" s="43"/>
      <c r="K28" s="42"/>
      <c r="L28" s="43"/>
      <c r="M28" s="43"/>
      <c r="N28" s="42"/>
      <c r="O28" s="43"/>
      <c r="P28" s="43"/>
      <c r="Q28" s="42"/>
      <c r="R28" s="43"/>
      <c r="S28" s="43"/>
      <c r="T28" s="42"/>
      <c r="U28" s="43"/>
      <c r="V28" s="43"/>
      <c r="W28" s="42"/>
      <c r="X28" s="43"/>
      <c r="Y28" s="43"/>
      <c r="Z28" s="42"/>
      <c r="AA28" s="43"/>
      <c r="AB28" s="43"/>
      <c r="AC28" s="43"/>
      <c r="AD28" s="11">
        <v>69.5</v>
      </c>
      <c r="AE28" s="11">
        <v>61.1</v>
      </c>
      <c r="AF28">
        <f>Tabel24256789[[#This Row],[Stand Kamertemp liter einde maand]]-Tabel24256789[[#This Row],[Stand Kamertemp liter vorige maand]]</f>
        <v>8.3999999999999986</v>
      </c>
      <c r="AG28" s="2">
        <f>Tabel24256789[[#This Row],[Verbruik Kamertemp liter deze maand]]/0.15</f>
        <v>55.999999999999993</v>
      </c>
      <c r="AH28" s="11">
        <v>623.5</v>
      </c>
      <c r="AI28" s="11">
        <v>543.5</v>
      </c>
      <c r="AJ28">
        <f>Tabel24256789[[#This Row],[Stand Gekoeld liter einde maand]]-Tabel24256789[[#This Row],[Stand Gekoeld liter vorige maand]]</f>
        <v>80</v>
      </c>
      <c r="AK28" s="2">
        <f>Tabel24256789[[#This Row],[Verbruik Gekoeld liter deze maand]]/0.15</f>
        <v>533.33333333333337</v>
      </c>
      <c r="AL28" s="11">
        <v>456.5</v>
      </c>
      <c r="AM28" s="11">
        <v>390.9</v>
      </c>
      <c r="AN28">
        <f>Tabel24256789[[#This Row],[Stand Bruisend liter einde maand]]-Tabel24256789[[#This Row],[Stand Bruisend liter vorige maand]]</f>
        <v>65.600000000000023</v>
      </c>
      <c r="AO28" s="2">
        <f>Tabel24256789[[#This Row],[Verbruik Bruisend liter deze maand]]/0.15</f>
        <v>437.33333333333348</v>
      </c>
      <c r="AP28" s="11">
        <v>179.3</v>
      </c>
      <c r="AQ28" s="11">
        <v>163.9</v>
      </c>
      <c r="AR28">
        <f>Tabel24256789[[#This Row],[Stand licht bruisend liter einde maand]]-Tabel24256789[[#This Row],[Stand licht bruisend liter vorige maand]]</f>
        <v>15.400000000000006</v>
      </c>
      <c r="AS28" s="2">
        <f>Tabel24256789[[#This Row],[Verbruik licht bruisend liter deze maand]]/0.15</f>
        <v>102.66666666666671</v>
      </c>
      <c r="AT28" s="11">
        <v>426.7</v>
      </c>
      <c r="AU28" s="11">
        <v>383.1</v>
      </c>
      <c r="AV28">
        <f>Tabel24256789[[#This Row],[Stand heet water liter einde maand]]-Tabel24256789[[#This Row],[Stand heet water liter vorige maand]]</f>
        <v>43.599999999999966</v>
      </c>
      <c r="AW28" s="20">
        <f>Tabel24256789[[#This Row],[Verbruik heet Water liter deze maand ]]/0.15</f>
        <v>290.66666666666646</v>
      </c>
      <c r="AX28" s="4">
        <f>Tabel24256789[[#This Row],[Aantal consumpties heet water deze maand]]+Tabel24256789[[#This Row],[Aantal consumpties licht bruisend water deze maand]]+Tabel24256789[[#This Row],[aantal consumpties Bruisend water deze maand]]+Tabel24256789[[#This Row],[Aantal consumpties gekoeld water deze maand]]+Tabel24256789[[#This Row],[Aantal consumpties Kamertemp deze maand]]</f>
        <v>1420</v>
      </c>
      <c r="AY28" s="4">
        <f>Tabel24256789[[#This Row],[Subtotaal waterbar in consumpties]]+Tabel24256789[[#This Row],[Subtotaal koffieautomaten]]</f>
        <v>1420</v>
      </c>
    </row>
    <row r="29" spans="1:51" x14ac:dyDescent="0.25">
      <c r="A29" t="s">
        <v>41</v>
      </c>
      <c r="B29" t="s">
        <v>78</v>
      </c>
      <c r="C29" t="s">
        <v>47</v>
      </c>
      <c r="E29" s="11">
        <v>1723</v>
      </c>
      <c r="F29" s="11">
        <v>1568</v>
      </c>
      <c r="G29" s="12">
        <f>Tabel24256789[[#This Row],[Stand Coffee einde maand]]-Tabel24256789[[#This Row],[Coffee vorige maand]]</f>
        <v>155</v>
      </c>
      <c r="H29" s="11">
        <v>928</v>
      </c>
      <c r="I29" s="11">
        <v>831</v>
      </c>
      <c r="J29" s="12">
        <f>Tabel24256789[[#This Row],[Stand Espresso Einde maand]]-Tabel24256789[[#This Row],[Espresso vorige maand]]</f>
        <v>97</v>
      </c>
      <c r="K29" s="11">
        <v>133</v>
      </c>
      <c r="L29" s="11">
        <v>110</v>
      </c>
      <c r="M29">
        <f>Tabel24256789[[#This Row],[Stand Latte Macchiato einde maand]]-Tabel24256789[[#This Row],[Latte Macchiato vorige maand]]</f>
        <v>23</v>
      </c>
      <c r="N29" s="11">
        <v>117</v>
      </c>
      <c r="O29" s="11">
        <v>106</v>
      </c>
      <c r="P29">
        <f>Tabel24256789[[#This Row],[Stand Coffee Latte einde maand]]-Tabel24256789[[#This Row],[Coffee Latte vorige maand]]</f>
        <v>11</v>
      </c>
      <c r="Q29" s="11">
        <v>1</v>
      </c>
      <c r="R29" s="11">
        <v>1</v>
      </c>
      <c r="S29">
        <f>Tabel24256789[[#This Row],[Stand Hot Water einde maand]]-Tabel24256789[[#This Row],[Hot Water vorige maand]]</f>
        <v>0</v>
      </c>
      <c r="T29" s="11">
        <v>1041</v>
      </c>
      <c r="U29" s="11">
        <v>938</v>
      </c>
      <c r="V29">
        <f>Tabel24256789[[#This Row],[Stand Cappucino einde maand]]-Tabel24256789[[#This Row],[Stand Cappucino vorige maand]]</f>
        <v>103</v>
      </c>
      <c r="W29" s="11">
        <v>640</v>
      </c>
      <c r="X29" s="11">
        <v>586</v>
      </c>
      <c r="Y29">
        <f>Tabel24256789[[#This Row],[Stand Cappucino Plantaardig einde maand]]-Tabel24256789[[#This Row],[Stand Cappucino Plantaardig vorige maand]]</f>
        <v>54</v>
      </c>
      <c r="Z29" s="11">
        <v>237</v>
      </c>
      <c r="AA29" s="11">
        <v>231</v>
      </c>
      <c r="AB29" s="12">
        <f>Tabel24256789[[#This Row],[Stand Latte Macchiato Plantaardig einde maand]]-Tabel24256789[[#This Row],[Stand Latte Macchiato Plantaardig vorige maand]]</f>
        <v>6</v>
      </c>
      <c r="AC29" s="3">
        <f>Tabel24256789[[#This Row],[Verbruik Stand Latte Macchiato Plantaardig deze maand]]+Tabel24256789[[#This Row],[Verbruik  Cappucino Plantaardig deze maand]]+Tabel24256789[[#This Row],[Verbruik Cappucino deze maand]]+Tabel24256789[[#This Row],[Verbruik Hot Water deze maand]]+Tabel24256789[[#This Row],[Verbruik Coffee Latte deze maand]]+Tabel24256789[[#This Row],[Verbruik Latte Macchiato deze maand]]+Tabel24256789[[#This Row],[Verbruik Espresso deze maand]]+Tabel24256789[[#This Row],[Verbruik Coffee deze maand]]</f>
        <v>449</v>
      </c>
      <c r="AD29" s="11">
        <v>60.5</v>
      </c>
      <c r="AE29" s="11">
        <v>52.5</v>
      </c>
      <c r="AF29">
        <f>Tabel24256789[[#This Row],[Stand Kamertemp liter einde maand]]-Tabel24256789[[#This Row],[Stand Kamertemp liter vorige maand]]</f>
        <v>8</v>
      </c>
      <c r="AG29" s="2">
        <f>Tabel24256789[[#This Row],[Verbruik Kamertemp liter deze maand]]/0.15</f>
        <v>53.333333333333336</v>
      </c>
      <c r="AH29" s="11">
        <v>514.5</v>
      </c>
      <c r="AI29" s="11">
        <v>469.8</v>
      </c>
      <c r="AJ29">
        <f>Tabel24256789[[#This Row],[Stand Gekoeld liter einde maand]]-Tabel24256789[[#This Row],[Stand Gekoeld liter vorige maand]]</f>
        <v>44.699999999999989</v>
      </c>
      <c r="AK29" s="2">
        <f>Tabel24256789[[#This Row],[Verbruik Gekoeld liter deze maand]]/0.15</f>
        <v>297.99999999999994</v>
      </c>
      <c r="AL29" s="11">
        <v>664.1</v>
      </c>
      <c r="AM29" s="11">
        <v>617.6</v>
      </c>
      <c r="AN29">
        <f>Tabel24256789[[#This Row],[Stand Bruisend liter einde maand]]-Tabel24256789[[#This Row],[Stand Bruisend liter vorige maand]]</f>
        <v>46.5</v>
      </c>
      <c r="AO29" s="2">
        <f>Tabel24256789[[#This Row],[Verbruik Bruisend liter deze maand]]/0.15</f>
        <v>310</v>
      </c>
      <c r="AP29" s="11">
        <v>543.6</v>
      </c>
      <c r="AQ29" s="11">
        <v>507</v>
      </c>
      <c r="AR29">
        <f>Tabel24256789[[#This Row],[Stand licht bruisend liter einde maand]]-Tabel24256789[[#This Row],[Stand licht bruisend liter vorige maand]]</f>
        <v>36.600000000000023</v>
      </c>
      <c r="AS29" s="2">
        <f>Tabel24256789[[#This Row],[Verbruik licht bruisend liter deze maand]]/0.15</f>
        <v>244.00000000000017</v>
      </c>
      <c r="AT29" s="11">
        <v>1947.9</v>
      </c>
      <c r="AU29" s="11">
        <v>1825.5</v>
      </c>
      <c r="AV29">
        <f>Tabel24256789[[#This Row],[Stand heet water liter einde maand]]-Tabel24256789[[#This Row],[Stand heet water liter vorige maand]]</f>
        <v>122.40000000000009</v>
      </c>
      <c r="AW29" s="20">
        <f>Tabel24256789[[#This Row],[Verbruik heet Water liter deze maand ]]/0.15</f>
        <v>816.00000000000068</v>
      </c>
      <c r="AX29" s="4">
        <f>Tabel24256789[[#This Row],[Aantal consumpties heet water deze maand]]+Tabel24256789[[#This Row],[Aantal consumpties licht bruisend water deze maand]]+Tabel24256789[[#This Row],[aantal consumpties Bruisend water deze maand]]+Tabel24256789[[#This Row],[Aantal consumpties gekoeld water deze maand]]+Tabel24256789[[#This Row],[Aantal consumpties Kamertemp deze maand]]</f>
        <v>1721.3333333333342</v>
      </c>
      <c r="AY29" s="4">
        <f>Tabel24256789[[#This Row],[Subtotaal waterbar in consumpties]]+Tabel24256789[[#This Row],[Subtotaal koffieautomaten]]</f>
        <v>2170.3333333333339</v>
      </c>
    </row>
    <row r="30" spans="1:51" x14ac:dyDescent="0.25">
      <c r="A30" t="s">
        <v>43</v>
      </c>
      <c r="B30" t="s">
        <v>79</v>
      </c>
      <c r="C30" t="s">
        <v>31</v>
      </c>
      <c r="E30" s="11">
        <v>3550</v>
      </c>
      <c r="F30" s="11">
        <v>2981</v>
      </c>
      <c r="G30" s="12">
        <f>Tabel24256789[[#This Row],[Stand Coffee einde maand]]-Tabel24256789[[#This Row],[Coffee vorige maand]]</f>
        <v>569</v>
      </c>
      <c r="H30" s="11">
        <v>1181</v>
      </c>
      <c r="I30" s="11">
        <v>1035</v>
      </c>
      <c r="J30" s="12">
        <f>Tabel24256789[[#This Row],[Stand Espresso Einde maand]]-Tabel24256789[[#This Row],[Espresso vorige maand]]</f>
        <v>146</v>
      </c>
      <c r="K30" s="11">
        <v>99</v>
      </c>
      <c r="L30" s="11">
        <v>79</v>
      </c>
      <c r="M30">
        <f>Tabel24256789[[#This Row],[Stand Latte Macchiato einde maand]]-Tabel24256789[[#This Row],[Latte Macchiato vorige maand]]</f>
        <v>20</v>
      </c>
      <c r="N30" s="11">
        <v>85</v>
      </c>
      <c r="O30" s="11">
        <v>28</v>
      </c>
      <c r="P30">
        <f>Tabel24256789[[#This Row],[Stand Coffee Latte einde maand]]-Tabel24256789[[#This Row],[Coffee Latte vorige maand]]</f>
        <v>57</v>
      </c>
      <c r="Q30" s="11">
        <v>2718</v>
      </c>
      <c r="R30" s="11">
        <v>2300</v>
      </c>
      <c r="S30">
        <f>Tabel24256789[[#This Row],[Stand Hot Water einde maand]]-Tabel24256789[[#This Row],[Hot Water vorige maand]]</f>
        <v>418</v>
      </c>
      <c r="T30" s="11">
        <v>1581</v>
      </c>
      <c r="U30" s="11">
        <v>1371</v>
      </c>
      <c r="V30">
        <f>Tabel24256789[[#This Row],[Stand Cappucino einde maand]]-Tabel24256789[[#This Row],[Stand Cappucino vorige maand]]</f>
        <v>210</v>
      </c>
      <c r="W30" s="11">
        <v>108</v>
      </c>
      <c r="X30" s="11">
        <v>96</v>
      </c>
      <c r="Y30">
        <f>Tabel24256789[[#This Row],[Stand Cappucino Plantaardig einde maand]]-Tabel24256789[[#This Row],[Stand Cappucino Plantaardig vorige maand]]</f>
        <v>12</v>
      </c>
      <c r="Z30" s="11">
        <v>14</v>
      </c>
      <c r="AA30" s="11">
        <v>14</v>
      </c>
      <c r="AB30" s="12">
        <f>Tabel24256789[[#This Row],[Stand Latte Macchiato Plantaardig einde maand]]-Tabel24256789[[#This Row],[Stand Latte Macchiato Plantaardig vorige maand]]</f>
        <v>0</v>
      </c>
      <c r="AC30" s="3">
        <f>Tabel24256789[[#This Row],[Verbruik Stand Latte Macchiato Plantaardig deze maand]]+Tabel24256789[[#This Row],[Verbruik  Cappucino Plantaardig deze maand]]+Tabel24256789[[#This Row],[Verbruik Cappucino deze maand]]+Tabel24256789[[#This Row],[Verbruik Hot Water deze maand]]+Tabel24256789[[#This Row],[Verbruik Coffee Latte deze maand]]+Tabel24256789[[#This Row],[Verbruik Latte Macchiato deze maand]]+Tabel24256789[[#This Row],[Verbruik Espresso deze maand]]+Tabel24256789[[#This Row],[Verbruik Coffee deze maand]]</f>
        <v>1432</v>
      </c>
      <c r="AD30" s="26"/>
      <c r="AE30" s="26"/>
      <c r="AF30" s="5"/>
      <c r="AG30" s="5"/>
      <c r="AH30" s="26"/>
      <c r="AI30" s="26"/>
      <c r="AJ30" s="5"/>
      <c r="AK30" s="7"/>
      <c r="AL30" s="26"/>
      <c r="AM30" s="26"/>
      <c r="AN30" s="5"/>
      <c r="AO30" s="7"/>
      <c r="AP30" s="26"/>
      <c r="AQ30" s="26"/>
      <c r="AR30" s="5"/>
      <c r="AS30" s="7"/>
      <c r="AT30" s="26"/>
      <c r="AU30" s="26"/>
      <c r="AV30" s="5"/>
      <c r="AW30" s="21"/>
      <c r="AX30" s="8"/>
      <c r="AY30" s="4">
        <f>Tabel24256789[[#This Row],[Subtotaal waterbar in consumpties]]+Tabel24256789[[#This Row],[Subtotaal koffieautomaten]]</f>
        <v>1432</v>
      </c>
    </row>
    <row r="31" spans="1:51" x14ac:dyDescent="0.25">
      <c r="A31" t="s">
        <v>45</v>
      </c>
      <c r="B31" t="s">
        <v>80</v>
      </c>
      <c r="C31" t="s">
        <v>36</v>
      </c>
      <c r="E31" s="42"/>
      <c r="F31" s="43"/>
      <c r="G31" s="43"/>
      <c r="H31" s="42"/>
      <c r="I31" s="43"/>
      <c r="J31" s="43"/>
      <c r="K31" s="42"/>
      <c r="L31" s="43"/>
      <c r="M31" s="43"/>
      <c r="N31" s="42"/>
      <c r="O31" s="43"/>
      <c r="P31" s="43"/>
      <c r="Q31" s="42"/>
      <c r="R31" s="43"/>
      <c r="S31" s="43"/>
      <c r="T31" s="42"/>
      <c r="U31" s="43"/>
      <c r="V31" s="43"/>
      <c r="W31" s="42"/>
      <c r="X31" s="43"/>
      <c r="Y31" s="43"/>
      <c r="Z31" s="42"/>
      <c r="AA31" s="43"/>
      <c r="AB31" s="43"/>
      <c r="AC31" s="43"/>
      <c r="AD31" s="11">
        <v>47.3</v>
      </c>
      <c r="AE31" s="11">
        <v>40.9</v>
      </c>
      <c r="AF31">
        <f>Tabel24256789[[#This Row],[Stand Kamertemp liter einde maand]]-Tabel24256789[[#This Row],[Stand Kamertemp liter vorige maand]]</f>
        <v>6.3999999999999986</v>
      </c>
      <c r="AG31" s="2">
        <f>Tabel24256789[[#This Row],[Verbruik Kamertemp liter deze maand]]/0.15</f>
        <v>42.666666666666657</v>
      </c>
      <c r="AH31" s="26">
        <v>278.7</v>
      </c>
      <c r="AI31" s="26">
        <v>245.1</v>
      </c>
      <c r="AJ31">
        <f>Tabel24256789[[#This Row],[Stand Gekoeld liter einde maand]]-Tabel24256789[[#This Row],[Stand Gekoeld liter vorige maand]]</f>
        <v>33.599999999999994</v>
      </c>
      <c r="AK31" s="2">
        <f>Tabel24256789[[#This Row],[Verbruik Gekoeld liter deze maand]]/0.15</f>
        <v>223.99999999999997</v>
      </c>
      <c r="AL31" s="26">
        <v>301.7</v>
      </c>
      <c r="AM31" s="26">
        <v>269.2</v>
      </c>
      <c r="AN31">
        <f>Tabel24256789[[#This Row],[Stand Bruisend liter einde maand]]-Tabel24256789[[#This Row],[Stand Bruisend liter vorige maand]]</f>
        <v>32.5</v>
      </c>
      <c r="AO31" s="2">
        <f>Tabel24256789[[#This Row],[Verbruik Bruisend liter deze maand]]/0.15</f>
        <v>216.66666666666669</v>
      </c>
      <c r="AP31" s="26">
        <v>225.5</v>
      </c>
      <c r="AQ31" s="26">
        <v>193.4</v>
      </c>
      <c r="AR31">
        <f>Tabel24256789[[#This Row],[Stand licht bruisend liter einde maand]]-Tabel24256789[[#This Row],[Stand licht bruisend liter vorige maand]]</f>
        <v>32.099999999999994</v>
      </c>
      <c r="AS31" s="2">
        <f>Tabel24256789[[#This Row],[Verbruik licht bruisend liter deze maand]]/0.15</f>
        <v>213.99999999999997</v>
      </c>
      <c r="AT31" s="26">
        <v>1091.5</v>
      </c>
      <c r="AU31" s="26">
        <v>970.7</v>
      </c>
      <c r="AV31">
        <f>Tabel24256789[[#This Row],[Stand heet water liter einde maand]]-Tabel24256789[[#This Row],[Stand heet water liter vorige maand]]</f>
        <v>120.79999999999995</v>
      </c>
      <c r="AW31" s="20">
        <f>Tabel24256789[[#This Row],[Verbruik heet Water liter deze maand ]]/0.15</f>
        <v>805.33333333333303</v>
      </c>
      <c r="AX31" s="4">
        <f>Tabel24256789[[#This Row],[Aantal consumpties heet water deze maand]]+Tabel24256789[[#This Row],[Aantal consumpties licht bruisend water deze maand]]+Tabel24256789[[#This Row],[aantal consumpties Bruisend water deze maand]]+Tabel24256789[[#This Row],[Aantal consumpties gekoeld water deze maand]]+Tabel24256789[[#This Row],[Aantal consumpties Kamertemp deze maand]]</f>
        <v>1502.6666666666665</v>
      </c>
      <c r="AY31" s="4">
        <f>Tabel24256789[[#This Row],[Subtotaal waterbar in consumpties]]+Tabel24256789[[#This Row],[Subtotaal koffieautomaten]]</f>
        <v>1502.6666666666665</v>
      </c>
    </row>
    <row r="32" spans="1:51" x14ac:dyDescent="0.25">
      <c r="A32" t="s">
        <v>48</v>
      </c>
      <c r="B32" t="s">
        <v>81</v>
      </c>
      <c r="C32" t="s">
        <v>31</v>
      </c>
      <c r="E32" s="11">
        <v>2971</v>
      </c>
      <c r="F32" s="11">
        <v>2529</v>
      </c>
      <c r="G32" s="12">
        <f>Tabel24256789[[#This Row],[Stand Coffee einde maand]]-Tabel24256789[[#This Row],[Coffee vorige maand]]</f>
        <v>442</v>
      </c>
      <c r="H32" s="11">
        <v>201</v>
      </c>
      <c r="I32" s="11">
        <v>186</v>
      </c>
      <c r="J32" s="12">
        <f>Tabel24256789[[#This Row],[Stand Espresso Einde maand]]-Tabel24256789[[#This Row],[Espresso vorige maand]]</f>
        <v>15</v>
      </c>
      <c r="K32" s="11">
        <v>193</v>
      </c>
      <c r="L32" s="11">
        <v>150</v>
      </c>
      <c r="M32">
        <f>Tabel24256789[[#This Row],[Stand Latte Macchiato einde maand]]-Tabel24256789[[#This Row],[Latte Macchiato vorige maand]]</f>
        <v>43</v>
      </c>
      <c r="N32" s="11">
        <v>85</v>
      </c>
      <c r="O32" s="11">
        <v>59</v>
      </c>
      <c r="P32">
        <f>Tabel24256789[[#This Row],[Stand Coffee Latte einde maand]]-Tabel24256789[[#This Row],[Coffee Latte vorige maand]]</f>
        <v>26</v>
      </c>
      <c r="Q32" s="11">
        <v>6073</v>
      </c>
      <c r="R32" s="11">
        <v>5114</v>
      </c>
      <c r="S32">
        <f>Tabel24256789[[#This Row],[Stand Hot Water einde maand]]-Tabel24256789[[#This Row],[Hot Water vorige maand]]</f>
        <v>959</v>
      </c>
      <c r="T32" s="11">
        <v>1220</v>
      </c>
      <c r="U32" s="11">
        <v>989</v>
      </c>
      <c r="V32">
        <f>Tabel24256789[[#This Row],[Stand Cappucino einde maand]]-Tabel24256789[[#This Row],[Stand Cappucino vorige maand]]</f>
        <v>231</v>
      </c>
      <c r="W32" s="11">
        <v>72</v>
      </c>
      <c r="X32" s="11">
        <v>71</v>
      </c>
      <c r="Y32">
        <f>Tabel24256789[[#This Row],[Stand Cappucino Plantaardig einde maand]]-Tabel24256789[[#This Row],[Stand Cappucino Plantaardig vorige maand]]</f>
        <v>1</v>
      </c>
      <c r="Z32" s="11">
        <v>12</v>
      </c>
      <c r="AA32" s="11">
        <v>10</v>
      </c>
      <c r="AB32" s="12">
        <f>Tabel24256789[[#This Row],[Stand Latte Macchiato Plantaardig einde maand]]-Tabel24256789[[#This Row],[Stand Latte Macchiato Plantaardig vorige maand]]</f>
        <v>2</v>
      </c>
      <c r="AC32" s="3">
        <f>Tabel24256789[[#This Row],[Verbruik Stand Latte Macchiato Plantaardig deze maand]]+Tabel24256789[[#This Row],[Verbruik  Cappucino Plantaardig deze maand]]+Tabel24256789[[#This Row],[Verbruik Cappucino deze maand]]+Tabel24256789[[#This Row],[Verbruik Hot Water deze maand]]+Tabel24256789[[#This Row],[Verbruik Coffee Latte deze maand]]+Tabel24256789[[#This Row],[Verbruik Latte Macchiato deze maand]]+Tabel24256789[[#This Row],[Verbruik Espresso deze maand]]+Tabel24256789[[#This Row],[Verbruik Coffee deze maand]]</f>
        <v>1719</v>
      </c>
      <c r="AD32" s="26"/>
      <c r="AE32" s="26"/>
      <c r="AF32" s="5"/>
      <c r="AG32" s="5"/>
      <c r="AH32" s="26"/>
      <c r="AI32" s="26"/>
      <c r="AJ32" s="5"/>
      <c r="AK32" s="7"/>
      <c r="AL32" s="26"/>
      <c r="AM32" s="26"/>
      <c r="AN32" s="5"/>
      <c r="AO32" s="7"/>
      <c r="AP32" s="26"/>
      <c r="AQ32" s="26"/>
      <c r="AR32" s="5"/>
      <c r="AS32" s="7"/>
      <c r="AT32" s="26"/>
      <c r="AU32" s="26"/>
      <c r="AV32" s="5"/>
      <c r="AW32" s="21"/>
      <c r="AX32" s="8"/>
      <c r="AY32" s="4">
        <f>Tabel24256789[[#This Row],[Subtotaal waterbar in consumpties]]+Tabel24256789[[#This Row],[Subtotaal koffieautomaten]]</f>
        <v>1719</v>
      </c>
    </row>
    <row r="33" spans="1:51" x14ac:dyDescent="0.25">
      <c r="A33" t="s">
        <v>50</v>
      </c>
      <c r="B33" t="s">
        <v>82</v>
      </c>
      <c r="C33" t="s">
        <v>47</v>
      </c>
      <c r="E33" s="11">
        <v>2022</v>
      </c>
      <c r="F33" s="11">
        <v>1752</v>
      </c>
      <c r="G33" s="12">
        <f>Tabel24256789[[#This Row],[Stand Coffee einde maand]]-Tabel24256789[[#This Row],[Coffee vorige maand]]</f>
        <v>270</v>
      </c>
      <c r="H33" s="11">
        <v>185</v>
      </c>
      <c r="I33" s="11">
        <v>171</v>
      </c>
      <c r="J33" s="12">
        <f>Tabel24256789[[#This Row],[Stand Espresso Einde maand]]-Tabel24256789[[#This Row],[Espresso vorige maand]]</f>
        <v>14</v>
      </c>
      <c r="K33" s="11">
        <v>461</v>
      </c>
      <c r="L33" s="11">
        <v>396</v>
      </c>
      <c r="M33">
        <f>Tabel24256789[[#This Row],[Stand Latte Macchiato einde maand]]-Tabel24256789[[#This Row],[Latte Macchiato vorige maand]]</f>
        <v>65</v>
      </c>
      <c r="N33" s="11">
        <v>275</v>
      </c>
      <c r="O33" s="11">
        <v>225</v>
      </c>
      <c r="P33">
        <f>Tabel24256789[[#This Row],[Stand Coffee Latte einde maand]]-Tabel24256789[[#This Row],[Coffee Latte vorige maand]]</f>
        <v>50</v>
      </c>
      <c r="Q33" s="11">
        <v>1</v>
      </c>
      <c r="R33" s="11">
        <v>1</v>
      </c>
      <c r="S33">
        <f>Tabel24256789[[#This Row],[Stand Hot Water einde maand]]-Tabel24256789[[#This Row],[Hot Water vorige maand]]</f>
        <v>0</v>
      </c>
      <c r="T33" s="11">
        <v>1084</v>
      </c>
      <c r="U33" s="11">
        <v>992</v>
      </c>
      <c r="V33">
        <f>Tabel24256789[[#This Row],[Stand Cappucino einde maand]]-Tabel24256789[[#This Row],[Stand Cappucino vorige maand]]</f>
        <v>92</v>
      </c>
      <c r="W33" s="11">
        <v>147</v>
      </c>
      <c r="X33" s="11">
        <v>139</v>
      </c>
      <c r="Y33">
        <f>Tabel24256789[[#This Row],[Stand Cappucino Plantaardig einde maand]]-Tabel24256789[[#This Row],[Stand Cappucino Plantaardig vorige maand]]</f>
        <v>8</v>
      </c>
      <c r="Z33" s="11">
        <v>29</v>
      </c>
      <c r="AA33" s="11">
        <v>24</v>
      </c>
      <c r="AB33" s="12">
        <f>Tabel24256789[[#This Row],[Stand Latte Macchiato Plantaardig einde maand]]-Tabel24256789[[#This Row],[Stand Latte Macchiato Plantaardig vorige maand]]</f>
        <v>5</v>
      </c>
      <c r="AC33" s="3">
        <f>Tabel24256789[[#This Row],[Verbruik Stand Latte Macchiato Plantaardig deze maand]]+Tabel24256789[[#This Row],[Verbruik  Cappucino Plantaardig deze maand]]+Tabel24256789[[#This Row],[Verbruik Cappucino deze maand]]+Tabel24256789[[#This Row],[Verbruik Hot Water deze maand]]+Tabel24256789[[#This Row],[Verbruik Coffee Latte deze maand]]+Tabel24256789[[#This Row],[Verbruik Latte Macchiato deze maand]]+Tabel24256789[[#This Row],[Verbruik Espresso deze maand]]+Tabel24256789[[#This Row],[Verbruik Coffee deze maand]]</f>
        <v>504</v>
      </c>
      <c r="AD33" s="11">
        <v>57.8</v>
      </c>
      <c r="AE33" s="11">
        <v>49.1</v>
      </c>
      <c r="AF33">
        <f>Tabel24256789[[#This Row],[Stand Kamertemp liter einde maand]]-Tabel24256789[[#This Row],[Stand Kamertemp liter vorige maand]]</f>
        <v>8.6999999999999957</v>
      </c>
      <c r="AG33" s="2">
        <f>Tabel24256789[[#This Row],[Verbruik Kamertemp liter deze maand]]/0.15</f>
        <v>57.999999999999972</v>
      </c>
      <c r="AH33" s="11">
        <v>235.6</v>
      </c>
      <c r="AI33" s="11">
        <v>208.8</v>
      </c>
      <c r="AJ33">
        <f>Tabel24256789[[#This Row],[Stand Gekoeld liter einde maand]]-Tabel24256789[[#This Row],[Stand Gekoeld liter vorige maand]]</f>
        <v>26.799999999999983</v>
      </c>
      <c r="AK33" s="2">
        <f>Tabel24256789[[#This Row],[Verbruik Gekoeld liter deze maand]]/0.15</f>
        <v>178.66666666666657</v>
      </c>
      <c r="AL33" s="11">
        <v>344</v>
      </c>
      <c r="AM33" s="11">
        <v>315.10000000000002</v>
      </c>
      <c r="AN33">
        <f>Tabel24256789[[#This Row],[Stand Bruisend liter einde maand]]-Tabel24256789[[#This Row],[Stand Bruisend liter vorige maand]]</f>
        <v>28.899999999999977</v>
      </c>
      <c r="AO33" s="2">
        <f>Tabel24256789[[#This Row],[Verbruik Bruisend liter deze maand]]/0.15</f>
        <v>192.66666666666652</v>
      </c>
      <c r="AP33" s="11">
        <v>85.7</v>
      </c>
      <c r="AQ33" s="11">
        <v>71.900000000000006</v>
      </c>
      <c r="AR33">
        <f>Tabel24256789[[#This Row],[Stand licht bruisend liter einde maand]]-Tabel24256789[[#This Row],[Stand licht bruisend liter vorige maand]]</f>
        <v>13.799999999999997</v>
      </c>
      <c r="AS33" s="2">
        <f>Tabel24256789[[#This Row],[Verbruik licht bruisend liter deze maand]]/0.15</f>
        <v>91.999999999999986</v>
      </c>
      <c r="AT33" s="11">
        <v>910.8</v>
      </c>
      <c r="AU33" s="11">
        <v>834.8</v>
      </c>
      <c r="AV33">
        <f>Tabel24256789[[#This Row],[Stand heet water liter einde maand]]-Tabel24256789[[#This Row],[Stand heet water liter vorige maand]]</f>
        <v>76</v>
      </c>
      <c r="AW33" s="20">
        <f>Tabel24256789[[#This Row],[Verbruik heet Water liter deze maand ]]/0.15</f>
        <v>506.66666666666669</v>
      </c>
      <c r="AX33" s="4">
        <f>Tabel24256789[[#This Row],[Aantal consumpties heet water deze maand]]+Tabel24256789[[#This Row],[Aantal consumpties licht bruisend water deze maand]]+Tabel24256789[[#This Row],[aantal consumpties Bruisend water deze maand]]+Tabel24256789[[#This Row],[Aantal consumpties gekoeld water deze maand]]+Tabel24256789[[#This Row],[Aantal consumpties Kamertemp deze maand]]</f>
        <v>1027.9999999999998</v>
      </c>
      <c r="AY33" s="4">
        <f>Tabel24256789[[#This Row],[Subtotaal waterbar in consumpties]]+Tabel24256789[[#This Row],[Subtotaal koffieautomaten]]</f>
        <v>1531.9999999999998</v>
      </c>
    </row>
    <row r="34" spans="1:51" x14ac:dyDescent="0.25">
      <c r="A34" t="s">
        <v>52</v>
      </c>
      <c r="B34" t="s">
        <v>83</v>
      </c>
      <c r="C34" t="s">
        <v>47</v>
      </c>
      <c r="E34" s="11">
        <v>2297</v>
      </c>
      <c r="F34" s="11">
        <v>1993</v>
      </c>
      <c r="G34" s="12">
        <f>Tabel24256789[[#This Row],[Stand Coffee einde maand]]-Tabel24256789[[#This Row],[Coffee vorige maand]]</f>
        <v>304</v>
      </c>
      <c r="H34" s="11">
        <v>854</v>
      </c>
      <c r="I34" s="11">
        <v>713</v>
      </c>
      <c r="J34" s="12">
        <f>Tabel24256789[[#This Row],[Stand Espresso Einde maand]]-Tabel24256789[[#This Row],[Espresso vorige maand]]</f>
        <v>141</v>
      </c>
      <c r="K34" s="11">
        <v>383</v>
      </c>
      <c r="L34" s="11">
        <v>339</v>
      </c>
      <c r="M34">
        <f>Tabel24256789[[#This Row],[Stand Latte Macchiato einde maand]]-Tabel24256789[[#This Row],[Latte Macchiato vorige maand]]</f>
        <v>44</v>
      </c>
      <c r="N34" s="11">
        <v>138</v>
      </c>
      <c r="O34" s="11">
        <v>126</v>
      </c>
      <c r="P34">
        <f>Tabel24256789[[#This Row],[Stand Coffee Latte einde maand]]-Tabel24256789[[#This Row],[Coffee Latte vorige maand]]</f>
        <v>12</v>
      </c>
      <c r="Q34" s="11">
        <v>1</v>
      </c>
      <c r="R34" s="11">
        <v>1</v>
      </c>
      <c r="S34">
        <f>Tabel24256789[[#This Row],[Stand Hot Water einde maand]]-Tabel24256789[[#This Row],[Hot Water vorige maand]]</f>
        <v>0</v>
      </c>
      <c r="T34" s="11">
        <v>737</v>
      </c>
      <c r="U34" s="11">
        <v>690</v>
      </c>
      <c r="V34">
        <f>Tabel24256789[[#This Row],[Stand Cappucino einde maand]]-Tabel24256789[[#This Row],[Stand Cappucino vorige maand]]</f>
        <v>47</v>
      </c>
      <c r="W34" s="11">
        <v>304</v>
      </c>
      <c r="X34" s="11">
        <v>268</v>
      </c>
      <c r="Y34">
        <f>Tabel24256789[[#This Row],[Stand Cappucino Plantaardig einde maand]]-Tabel24256789[[#This Row],[Stand Cappucino Plantaardig vorige maand]]</f>
        <v>36</v>
      </c>
      <c r="Z34" s="11">
        <v>374</v>
      </c>
      <c r="AA34" s="11">
        <v>335</v>
      </c>
      <c r="AB34" s="12">
        <f>Tabel24256789[[#This Row],[Stand Latte Macchiato Plantaardig einde maand]]-Tabel24256789[[#This Row],[Stand Latte Macchiato Plantaardig vorige maand]]</f>
        <v>39</v>
      </c>
      <c r="AC34" s="3">
        <f>Tabel24256789[[#This Row],[Verbruik Stand Latte Macchiato Plantaardig deze maand]]+Tabel24256789[[#This Row],[Verbruik  Cappucino Plantaardig deze maand]]+Tabel24256789[[#This Row],[Verbruik Cappucino deze maand]]+Tabel24256789[[#This Row],[Verbruik Hot Water deze maand]]+Tabel24256789[[#This Row],[Verbruik Coffee Latte deze maand]]+Tabel24256789[[#This Row],[Verbruik Latte Macchiato deze maand]]+Tabel24256789[[#This Row],[Verbruik Espresso deze maand]]+Tabel24256789[[#This Row],[Verbruik Coffee deze maand]]</f>
        <v>623</v>
      </c>
      <c r="AD34" s="11">
        <v>64.3</v>
      </c>
      <c r="AE34" s="11">
        <v>58.5</v>
      </c>
      <c r="AF34">
        <f>Tabel24256789[[#This Row],[Stand Kamertemp liter einde maand]]-Tabel24256789[[#This Row],[Stand Kamertemp liter vorige maand]]</f>
        <v>5.7999999999999972</v>
      </c>
      <c r="AG34" s="2">
        <f>Tabel24256789[[#This Row],[Verbruik Kamertemp liter deze maand]]/0.15</f>
        <v>38.66666666666665</v>
      </c>
      <c r="AH34" s="11">
        <v>327.60000000000002</v>
      </c>
      <c r="AI34" s="11">
        <v>287.10000000000002</v>
      </c>
      <c r="AJ34">
        <f>Tabel24256789[[#This Row],[Stand Gekoeld liter einde maand]]-Tabel24256789[[#This Row],[Stand Gekoeld liter vorige maand]]</f>
        <v>40.5</v>
      </c>
      <c r="AK34" s="2">
        <f>Tabel24256789[[#This Row],[Verbruik Gekoeld liter deze maand]]/0.15</f>
        <v>270</v>
      </c>
      <c r="AL34" s="11">
        <v>223.4</v>
      </c>
      <c r="AM34" s="11">
        <v>202.3</v>
      </c>
      <c r="AN34">
        <f>Tabel24256789[[#This Row],[Stand Bruisend liter einde maand]]-Tabel24256789[[#This Row],[Stand Bruisend liter vorige maand]]</f>
        <v>21.099999999999994</v>
      </c>
      <c r="AO34" s="2">
        <f>Tabel24256789[[#This Row],[Verbruik Bruisend liter deze maand]]/0.15</f>
        <v>140.66666666666663</v>
      </c>
      <c r="AP34" s="11">
        <v>98.7</v>
      </c>
      <c r="AQ34" s="11">
        <v>92.4</v>
      </c>
      <c r="AR34">
        <f>Tabel24256789[[#This Row],[Stand licht bruisend liter einde maand]]-Tabel24256789[[#This Row],[Stand licht bruisend liter vorige maand]]</f>
        <v>6.2999999999999972</v>
      </c>
      <c r="AS34" s="2">
        <f>Tabel24256789[[#This Row],[Verbruik licht bruisend liter deze maand]]/0.15</f>
        <v>41.999999999999986</v>
      </c>
      <c r="AT34" s="11">
        <v>1661.4</v>
      </c>
      <c r="AU34" s="11">
        <v>1566.6</v>
      </c>
      <c r="AV34">
        <f>Tabel24256789[[#This Row],[Stand heet water liter einde maand]]-Tabel24256789[[#This Row],[Stand heet water liter vorige maand]]</f>
        <v>94.800000000000182</v>
      </c>
      <c r="AW34" s="20">
        <f>Tabel24256789[[#This Row],[Verbruik heet Water liter deze maand ]]/0.15</f>
        <v>632.00000000000125</v>
      </c>
      <c r="AX34" s="4">
        <f>Tabel24256789[[#This Row],[Aantal consumpties heet water deze maand]]+Tabel24256789[[#This Row],[Aantal consumpties licht bruisend water deze maand]]+Tabel24256789[[#This Row],[aantal consumpties Bruisend water deze maand]]+Tabel24256789[[#This Row],[Aantal consumpties gekoeld water deze maand]]+Tabel24256789[[#This Row],[Aantal consumpties Kamertemp deze maand]]</f>
        <v>1123.3333333333346</v>
      </c>
      <c r="AY34" s="4">
        <f>Tabel24256789[[#This Row],[Subtotaal waterbar in consumpties]]+Tabel24256789[[#This Row],[Subtotaal koffieautomaten]]</f>
        <v>1746.3333333333346</v>
      </c>
    </row>
    <row r="35" spans="1:51" x14ac:dyDescent="0.25">
      <c r="A35" t="s">
        <v>54</v>
      </c>
      <c r="B35" t="s">
        <v>84</v>
      </c>
      <c r="C35" t="s">
        <v>31</v>
      </c>
      <c r="E35" s="11">
        <v>2555</v>
      </c>
      <c r="F35" s="11">
        <v>2286</v>
      </c>
      <c r="G35" s="12">
        <f>Tabel24256789[[#This Row],[Stand Coffee einde maand]]-Tabel24256789[[#This Row],[Coffee vorige maand]]</f>
        <v>269</v>
      </c>
      <c r="H35" s="11">
        <v>494</v>
      </c>
      <c r="I35" s="11">
        <v>416</v>
      </c>
      <c r="J35" s="12">
        <f>Tabel24256789[[#This Row],[Stand Espresso Einde maand]]-Tabel24256789[[#This Row],[Espresso vorige maand]]</f>
        <v>78</v>
      </c>
      <c r="K35" s="11">
        <v>279</v>
      </c>
      <c r="L35" s="11">
        <v>258</v>
      </c>
      <c r="M35">
        <f>Tabel24256789[[#This Row],[Stand Latte Macchiato einde maand]]-Tabel24256789[[#This Row],[Latte Macchiato vorige maand]]</f>
        <v>21</v>
      </c>
      <c r="N35" s="11">
        <v>92</v>
      </c>
      <c r="O35" s="11">
        <v>83</v>
      </c>
      <c r="P35">
        <f>Tabel24256789[[#This Row],[Stand Coffee Latte einde maand]]-Tabel24256789[[#This Row],[Coffee Latte vorige maand]]</f>
        <v>9</v>
      </c>
      <c r="Q35" s="11">
        <v>4133</v>
      </c>
      <c r="R35" s="11">
        <v>3514</v>
      </c>
      <c r="S35">
        <f>Tabel24256789[[#This Row],[Stand Hot Water einde maand]]-Tabel24256789[[#This Row],[Hot Water vorige maand]]</f>
        <v>619</v>
      </c>
      <c r="T35" s="11">
        <v>926</v>
      </c>
      <c r="U35" s="11">
        <v>833</v>
      </c>
      <c r="V35">
        <f>Tabel24256789[[#This Row],[Stand Cappucino einde maand]]-Tabel24256789[[#This Row],[Stand Cappucino vorige maand]]</f>
        <v>93</v>
      </c>
      <c r="W35" s="11">
        <v>122</v>
      </c>
      <c r="X35" s="11">
        <v>113</v>
      </c>
      <c r="Y35">
        <f>Tabel24256789[[#This Row],[Stand Cappucino Plantaardig einde maand]]-Tabel24256789[[#This Row],[Stand Cappucino Plantaardig vorige maand]]</f>
        <v>9</v>
      </c>
      <c r="Z35" s="11">
        <v>220</v>
      </c>
      <c r="AA35" s="11">
        <v>193</v>
      </c>
      <c r="AB35" s="12">
        <f>Tabel24256789[[#This Row],[Stand Latte Macchiato Plantaardig einde maand]]-Tabel24256789[[#This Row],[Stand Latte Macchiato Plantaardig vorige maand]]</f>
        <v>27</v>
      </c>
      <c r="AC35" s="3">
        <f>Tabel24256789[[#This Row],[Verbruik Stand Latte Macchiato Plantaardig deze maand]]+Tabel24256789[[#This Row],[Verbruik  Cappucino Plantaardig deze maand]]+Tabel24256789[[#This Row],[Verbruik Cappucino deze maand]]+Tabel24256789[[#This Row],[Verbruik Hot Water deze maand]]+Tabel24256789[[#This Row],[Verbruik Coffee Latte deze maand]]+Tabel24256789[[#This Row],[Verbruik Latte Macchiato deze maand]]+Tabel24256789[[#This Row],[Verbruik Espresso deze maand]]+Tabel24256789[[#This Row],[Verbruik Coffee deze maand]]</f>
        <v>1125</v>
      </c>
      <c r="AD35" s="26"/>
      <c r="AE35" s="26"/>
      <c r="AF35" s="5"/>
      <c r="AG35" s="5"/>
      <c r="AH35" s="26"/>
      <c r="AI35" s="26"/>
      <c r="AJ35" s="5"/>
      <c r="AK35" s="5"/>
      <c r="AL35" s="26"/>
      <c r="AM35" s="26"/>
      <c r="AN35" s="5"/>
      <c r="AO35" s="7"/>
      <c r="AP35" s="26"/>
      <c r="AQ35" s="26"/>
      <c r="AR35" s="5"/>
      <c r="AS35" s="7"/>
      <c r="AT35" s="26"/>
      <c r="AU35" s="26"/>
      <c r="AV35" s="5"/>
      <c r="AW35" s="21"/>
      <c r="AX35" s="8"/>
      <c r="AY35" s="4">
        <f>Tabel24256789[[#This Row],[Subtotaal waterbar in consumpties]]+Tabel24256789[[#This Row],[Subtotaal koffieautomaten]]</f>
        <v>1125</v>
      </c>
    </row>
    <row r="36" spans="1:51" x14ac:dyDescent="0.25">
      <c r="A36" t="s">
        <v>56</v>
      </c>
      <c r="B36" t="s">
        <v>85</v>
      </c>
      <c r="C36" t="s">
        <v>36</v>
      </c>
      <c r="E36" s="42"/>
      <c r="F36" s="43"/>
      <c r="G36" s="43"/>
      <c r="H36" s="42"/>
      <c r="I36" s="43"/>
      <c r="J36" s="43"/>
      <c r="K36" s="42"/>
      <c r="L36" s="43"/>
      <c r="M36" s="43"/>
      <c r="N36" s="42"/>
      <c r="O36" s="43"/>
      <c r="P36" s="43"/>
      <c r="Q36" s="42"/>
      <c r="R36" s="43"/>
      <c r="S36" s="43"/>
      <c r="T36" s="42"/>
      <c r="U36" s="43"/>
      <c r="V36" s="43"/>
      <c r="W36" s="42"/>
      <c r="X36" s="43"/>
      <c r="Y36" s="43"/>
      <c r="Z36" s="42"/>
      <c r="AA36" s="43"/>
      <c r="AB36" s="43"/>
      <c r="AC36" s="43"/>
      <c r="AD36" s="11">
        <v>35.299999999999997</v>
      </c>
      <c r="AE36" s="11">
        <v>32.200000000000003</v>
      </c>
      <c r="AF36">
        <f>Tabel24256789[[#This Row],[Stand Kamertemp liter einde maand]]-Tabel24256789[[#This Row],[Stand Kamertemp liter vorige maand]]</f>
        <v>3.0999999999999943</v>
      </c>
      <c r="AG36" s="2">
        <f>Tabel24256789[[#This Row],[Verbruik Kamertemp liter deze maand]]/0.15</f>
        <v>20.666666666666629</v>
      </c>
      <c r="AH36" s="11">
        <v>408.5</v>
      </c>
      <c r="AI36" s="11">
        <v>378.6</v>
      </c>
      <c r="AJ36">
        <f>Tabel24256789[[#This Row],[Stand Gekoeld liter einde maand]]-Tabel24256789[[#This Row],[Stand Gekoeld liter vorige maand]]</f>
        <v>29.899999999999977</v>
      </c>
      <c r="AK36" s="2">
        <f>Tabel24256789[[#This Row],[Verbruik Gekoeld liter deze maand]]/0.15</f>
        <v>199.3333333333332</v>
      </c>
      <c r="AL36" s="11">
        <v>182.5</v>
      </c>
      <c r="AM36" s="11">
        <v>161.4</v>
      </c>
      <c r="AN36">
        <f>Tabel24256789[[#This Row],[Stand Bruisend liter einde maand]]-Tabel24256789[[#This Row],[Stand Bruisend liter vorige maand]]</f>
        <v>21.099999999999994</v>
      </c>
      <c r="AO36" s="2">
        <f>Tabel24256789[[#This Row],[Verbruik Bruisend liter deze maand]]/0.15</f>
        <v>140.66666666666663</v>
      </c>
      <c r="AP36" s="11">
        <v>159.69999999999999</v>
      </c>
      <c r="AQ36" s="11">
        <v>150.69999999999999</v>
      </c>
      <c r="AR36">
        <f>Tabel24256789[[#This Row],[Stand licht bruisend liter einde maand]]-Tabel24256789[[#This Row],[Stand licht bruisend liter vorige maand]]</f>
        <v>9</v>
      </c>
      <c r="AS36" s="2">
        <f>Tabel24256789[[#This Row],[Verbruik licht bruisend liter deze maand]]/0.15</f>
        <v>60</v>
      </c>
      <c r="AT36" s="11">
        <v>1296.5999999999999</v>
      </c>
      <c r="AU36" s="11">
        <v>1199.9000000000001</v>
      </c>
      <c r="AV36">
        <f>Tabel24256789[[#This Row],[Stand heet water liter einde maand]]-Tabel24256789[[#This Row],[Stand heet water liter vorige maand]]</f>
        <v>96.699999999999818</v>
      </c>
      <c r="AW36" s="20">
        <f>Tabel24256789[[#This Row],[Verbruik heet Water liter deze maand ]]/0.15</f>
        <v>644.66666666666549</v>
      </c>
      <c r="AX36" s="4">
        <f>Tabel24256789[[#This Row],[Aantal consumpties heet water deze maand]]+Tabel24256789[[#This Row],[Aantal consumpties licht bruisend water deze maand]]+Tabel24256789[[#This Row],[aantal consumpties Bruisend water deze maand]]+Tabel24256789[[#This Row],[Aantal consumpties gekoeld water deze maand]]+Tabel24256789[[#This Row],[Aantal consumpties Kamertemp deze maand]]</f>
        <v>1065.3333333333321</v>
      </c>
      <c r="AY36" s="4">
        <f>Tabel24256789[[#This Row],[Subtotaal waterbar in consumpties]]+Tabel24256789[[#This Row],[Subtotaal koffieautomaten]]</f>
        <v>1065.3333333333321</v>
      </c>
    </row>
    <row r="37" spans="1:51" x14ac:dyDescent="0.25">
      <c r="A37" t="s">
        <v>58</v>
      </c>
      <c r="B37" t="s">
        <v>86</v>
      </c>
      <c r="C37" t="s">
        <v>47</v>
      </c>
      <c r="E37" s="11">
        <v>3584</v>
      </c>
      <c r="F37" s="11">
        <v>3162</v>
      </c>
      <c r="G37" s="12">
        <f>Tabel24256789[[#This Row],[Stand Coffee einde maand]]-Tabel24256789[[#This Row],[Coffee vorige maand]]</f>
        <v>422</v>
      </c>
      <c r="H37" s="11">
        <v>1030</v>
      </c>
      <c r="I37" s="11">
        <v>834</v>
      </c>
      <c r="J37" s="12">
        <f>Tabel24256789[[#This Row],[Stand Espresso Einde maand]]-Tabel24256789[[#This Row],[Espresso vorige maand]]</f>
        <v>196</v>
      </c>
      <c r="K37" s="11">
        <v>352</v>
      </c>
      <c r="L37" s="11">
        <v>326</v>
      </c>
      <c r="M37">
        <f>Tabel24256789[[#This Row],[Stand Latte Macchiato einde maand]]-Tabel24256789[[#This Row],[Latte Macchiato vorige maand]]</f>
        <v>26</v>
      </c>
      <c r="N37" s="11">
        <v>229</v>
      </c>
      <c r="O37" s="11">
        <v>194</v>
      </c>
      <c r="P37">
        <f>Tabel24256789[[#This Row],[Stand Coffee Latte einde maand]]-Tabel24256789[[#This Row],[Coffee Latte vorige maand]]</f>
        <v>35</v>
      </c>
      <c r="Q37" s="11">
        <v>1</v>
      </c>
      <c r="R37" s="11">
        <v>1</v>
      </c>
      <c r="S37">
        <f>Tabel24256789[[#This Row],[Stand Hot Water einde maand]]-Tabel24256789[[#This Row],[Hot Water vorige maand]]</f>
        <v>0</v>
      </c>
      <c r="T37" s="11">
        <v>1898</v>
      </c>
      <c r="U37" s="11">
        <v>1628</v>
      </c>
      <c r="V37">
        <f>Tabel24256789[[#This Row],[Stand Cappucino einde maand]]-Tabel24256789[[#This Row],[Stand Cappucino vorige maand]]</f>
        <v>270</v>
      </c>
      <c r="W37" s="11">
        <v>307</v>
      </c>
      <c r="X37" s="11">
        <v>194</v>
      </c>
      <c r="Y37">
        <f>Tabel24256789[[#This Row],[Stand Cappucino Plantaardig einde maand]]-Tabel24256789[[#This Row],[Stand Cappucino Plantaardig vorige maand]]</f>
        <v>113</v>
      </c>
      <c r="Z37" s="11">
        <v>253</v>
      </c>
      <c r="AA37" s="11">
        <v>199</v>
      </c>
      <c r="AB37" s="12">
        <f>Tabel24256789[[#This Row],[Stand Latte Macchiato Plantaardig einde maand]]-Tabel24256789[[#This Row],[Stand Latte Macchiato Plantaardig vorige maand]]</f>
        <v>54</v>
      </c>
      <c r="AC37" s="3">
        <f>Tabel24256789[[#This Row],[Verbruik Stand Latte Macchiato Plantaardig deze maand]]+Tabel24256789[[#This Row],[Verbruik  Cappucino Plantaardig deze maand]]+Tabel24256789[[#This Row],[Verbruik Cappucino deze maand]]+Tabel24256789[[#This Row],[Verbruik Hot Water deze maand]]+Tabel24256789[[#This Row],[Verbruik Coffee Latte deze maand]]+Tabel24256789[[#This Row],[Verbruik Latte Macchiato deze maand]]+Tabel24256789[[#This Row],[Verbruik Espresso deze maand]]+Tabel24256789[[#This Row],[Verbruik Coffee deze maand]]</f>
        <v>1116</v>
      </c>
      <c r="AD37" s="11">
        <v>85.1</v>
      </c>
      <c r="AE37" s="11">
        <v>78.099999999999994</v>
      </c>
      <c r="AF37">
        <f>Tabel24256789[[#This Row],[Stand Kamertemp liter einde maand]]-Tabel24256789[[#This Row],[Stand Kamertemp liter vorige maand]]</f>
        <v>7</v>
      </c>
      <c r="AG37" s="2">
        <f>Tabel24256789[[#This Row],[Verbruik Kamertemp liter deze maand]]/0.15</f>
        <v>46.666666666666671</v>
      </c>
      <c r="AH37" s="11">
        <v>515.5</v>
      </c>
      <c r="AI37" s="11">
        <v>462.3</v>
      </c>
      <c r="AJ37">
        <f>Tabel24256789[[#This Row],[Stand Gekoeld liter einde maand]]-Tabel24256789[[#This Row],[Stand Gekoeld liter vorige maand]]</f>
        <v>53.199999999999989</v>
      </c>
      <c r="AK37" s="2">
        <f>Tabel24256789[[#This Row],[Verbruik Gekoeld liter deze maand]]/0.15</f>
        <v>354.66666666666663</v>
      </c>
      <c r="AL37" s="11">
        <v>242.5</v>
      </c>
      <c r="AM37" s="11">
        <v>216.5</v>
      </c>
      <c r="AN37">
        <f>Tabel24256789[[#This Row],[Stand Bruisend liter einde maand]]-Tabel24256789[[#This Row],[Stand Bruisend liter vorige maand]]</f>
        <v>26</v>
      </c>
      <c r="AO37" s="2">
        <f>Tabel24256789[[#This Row],[Verbruik Bruisend liter deze maand]]/0.15</f>
        <v>173.33333333333334</v>
      </c>
      <c r="AP37" s="11">
        <v>84.6</v>
      </c>
      <c r="AQ37" s="11">
        <v>81.7</v>
      </c>
      <c r="AR37">
        <f>Tabel24256789[[#This Row],[Stand licht bruisend liter einde maand]]-Tabel24256789[[#This Row],[Stand licht bruisend liter vorige maand]]</f>
        <v>2.8999999999999915</v>
      </c>
      <c r="AS37" s="2">
        <f>Tabel24256789[[#This Row],[Verbruik licht bruisend liter deze maand]]/0.15</f>
        <v>19.333333333333279</v>
      </c>
      <c r="AT37" s="11">
        <v>1361.4</v>
      </c>
      <c r="AU37" s="11">
        <v>1256.7</v>
      </c>
      <c r="AV37">
        <f>Tabel24256789[[#This Row],[Stand heet water liter einde maand]]-Tabel24256789[[#This Row],[Stand heet water liter vorige maand]]</f>
        <v>104.70000000000005</v>
      </c>
      <c r="AW37" s="20">
        <f>Tabel24256789[[#This Row],[Verbruik heet Water liter deze maand ]]/0.15</f>
        <v>698.00000000000034</v>
      </c>
      <c r="AX37" s="4">
        <f>Tabel24256789[[#This Row],[Aantal consumpties heet water deze maand]]+Tabel24256789[[#This Row],[Aantal consumpties licht bruisend water deze maand]]+Tabel24256789[[#This Row],[aantal consumpties Bruisend water deze maand]]+Tabel24256789[[#This Row],[Aantal consumpties gekoeld water deze maand]]+Tabel24256789[[#This Row],[Aantal consumpties Kamertemp deze maand]]</f>
        <v>1292.0000000000002</v>
      </c>
      <c r="AY37" s="4">
        <f>Tabel24256789[[#This Row],[Subtotaal waterbar in consumpties]]+Tabel24256789[[#This Row],[Subtotaal koffieautomaten]]</f>
        <v>2408</v>
      </c>
    </row>
    <row r="38" spans="1:51" x14ac:dyDescent="0.25">
      <c r="A38" t="s">
        <v>60</v>
      </c>
      <c r="B38" t="s">
        <v>87</v>
      </c>
      <c r="C38" t="s">
        <v>31</v>
      </c>
      <c r="E38" s="11">
        <v>1537</v>
      </c>
      <c r="F38" s="11">
        <v>1401</v>
      </c>
      <c r="G38" s="12">
        <f>Tabel24256789[[#This Row],[Stand Coffee einde maand]]-Tabel24256789[[#This Row],[Coffee vorige maand]]</f>
        <v>136</v>
      </c>
      <c r="H38" s="11">
        <v>327</v>
      </c>
      <c r="I38" s="11">
        <v>306</v>
      </c>
      <c r="J38" s="12">
        <f>Tabel24256789[[#This Row],[Stand Espresso Einde maand]]-Tabel24256789[[#This Row],[Espresso vorige maand]]</f>
        <v>21</v>
      </c>
      <c r="K38" s="11">
        <v>340</v>
      </c>
      <c r="L38" s="11">
        <v>306</v>
      </c>
      <c r="M38">
        <f>Tabel24256789[[#This Row],[Stand Latte Macchiato einde maand]]-Tabel24256789[[#This Row],[Latte Macchiato vorige maand]]</f>
        <v>34</v>
      </c>
      <c r="N38" s="11">
        <v>251</v>
      </c>
      <c r="O38" s="11">
        <v>232</v>
      </c>
      <c r="P38">
        <f>Tabel24256789[[#This Row],[Stand Coffee Latte einde maand]]-Tabel24256789[[#This Row],[Coffee Latte vorige maand]]</f>
        <v>19</v>
      </c>
      <c r="Q38" s="11">
        <v>6043</v>
      </c>
      <c r="R38" s="11">
        <v>5308</v>
      </c>
      <c r="S38">
        <f>Tabel24256789[[#This Row],[Stand Hot Water einde maand]]-Tabel24256789[[#This Row],[Hot Water vorige maand]]</f>
        <v>735</v>
      </c>
      <c r="T38" s="11">
        <v>1217</v>
      </c>
      <c r="U38" s="11">
        <v>1101</v>
      </c>
      <c r="V38">
        <f>Tabel24256789[[#This Row],[Stand Cappucino einde maand]]-Tabel24256789[[#This Row],[Stand Cappucino vorige maand]]</f>
        <v>116</v>
      </c>
      <c r="W38" s="11">
        <v>186</v>
      </c>
      <c r="X38" s="11">
        <v>183</v>
      </c>
      <c r="Y38">
        <f>Tabel24256789[[#This Row],[Stand Cappucino Plantaardig einde maand]]-Tabel24256789[[#This Row],[Stand Cappucino Plantaardig vorige maand]]</f>
        <v>3</v>
      </c>
      <c r="Z38" s="11">
        <v>120</v>
      </c>
      <c r="AA38" s="11">
        <v>118</v>
      </c>
      <c r="AB38" s="12">
        <f>Tabel24256789[[#This Row],[Stand Latte Macchiato Plantaardig einde maand]]-Tabel24256789[[#This Row],[Stand Latte Macchiato Plantaardig vorige maand]]</f>
        <v>2</v>
      </c>
      <c r="AC38" s="3">
        <f>Tabel24256789[[#This Row],[Verbruik Stand Latte Macchiato Plantaardig deze maand]]+Tabel24256789[[#This Row],[Verbruik  Cappucino Plantaardig deze maand]]+Tabel24256789[[#This Row],[Verbruik Cappucino deze maand]]+Tabel24256789[[#This Row],[Verbruik Hot Water deze maand]]+Tabel24256789[[#This Row],[Verbruik Coffee Latte deze maand]]+Tabel24256789[[#This Row],[Verbruik Latte Macchiato deze maand]]+Tabel24256789[[#This Row],[Verbruik Espresso deze maand]]+Tabel24256789[[#This Row],[Verbruik Coffee deze maand]]</f>
        <v>1066</v>
      </c>
      <c r="AD38" s="26"/>
      <c r="AE38" s="26"/>
      <c r="AF38" s="5"/>
      <c r="AG38" s="5"/>
      <c r="AH38" s="26"/>
      <c r="AI38" s="26"/>
      <c r="AJ38" s="5"/>
      <c r="AK38" s="5"/>
      <c r="AL38" s="26"/>
      <c r="AM38" s="26"/>
      <c r="AN38" s="5"/>
      <c r="AO38" s="5"/>
      <c r="AP38" s="26"/>
      <c r="AQ38" s="26"/>
      <c r="AR38" s="5"/>
      <c r="AS38" s="5"/>
      <c r="AT38" s="26"/>
      <c r="AU38" s="26"/>
      <c r="AV38" s="5"/>
      <c r="AW38" s="16"/>
      <c r="AX38" s="6"/>
      <c r="AY38" s="4">
        <f>Tabel24256789[[#This Row],[Subtotaal waterbar in consumpties]]+Tabel24256789[[#This Row],[Subtotaal koffieautomaten]]</f>
        <v>1066</v>
      </c>
    </row>
    <row r="39" spans="1:51" x14ac:dyDescent="0.25">
      <c r="A39" s="3" t="s">
        <v>88</v>
      </c>
      <c r="F39" s="11"/>
      <c r="H39" s="11"/>
      <c r="I39" s="11"/>
      <c r="J39" s="12"/>
      <c r="K39" s="11"/>
      <c r="L39" s="11"/>
      <c r="O39" s="11"/>
      <c r="R39" s="11"/>
      <c r="U39" s="11"/>
      <c r="X39" s="11"/>
      <c r="AA39" s="11"/>
      <c r="AC39" s="3">
        <f>Tabel24256789[[#This Row],[Verbruik Stand Latte Macchiato Plantaardig deze maand]]+Tabel24256789[[#This Row],[Verbruik  Cappucino Plantaardig deze maand]]+Tabel24256789[[#This Row],[Verbruik Cappucino deze maand]]+Tabel24256789[[#This Row],[Verbruik Hot Water deze maand]]+Tabel24256789[[#This Row],[Verbruik Coffee Latte deze maand]]+Tabel24256789[[#This Row],[Verbruik Latte Macchiato deze maand]]+Tabel24256789[[#This Row],[Verbruik Espresso deze maand]]+Tabel24256789[[#This Row],[Verbruik Coffee deze maand]]</f>
        <v>0</v>
      </c>
      <c r="AE39" s="11"/>
      <c r="AG39" s="2"/>
      <c r="AI39" s="11"/>
      <c r="AK39" s="2"/>
      <c r="AM39" s="11"/>
      <c r="AO39" s="2"/>
      <c r="AQ39" s="11"/>
      <c r="AS39" s="2"/>
      <c r="AU39" s="11"/>
      <c r="AW39" s="20"/>
      <c r="AX39" s="4"/>
      <c r="AY39" s="4">
        <f>Tabel24256789[[#This Row],[Subtotaal waterbar in consumpties]]+Tabel24256789[[#This Row],[Subtotaal koffieautomaten]]</f>
        <v>0</v>
      </c>
    </row>
    <row r="40" spans="1:51" x14ac:dyDescent="0.25">
      <c r="A40" t="s">
        <v>39</v>
      </c>
      <c r="B40" t="s">
        <v>89</v>
      </c>
      <c r="C40" t="s">
        <v>36</v>
      </c>
      <c r="E40" s="42"/>
      <c r="F40" s="43"/>
      <c r="G40" s="43"/>
      <c r="H40" s="42"/>
      <c r="I40" s="43"/>
      <c r="J40" s="43"/>
      <c r="K40" s="42"/>
      <c r="L40" s="43"/>
      <c r="M40" s="43"/>
      <c r="N40" s="42"/>
      <c r="O40" s="43"/>
      <c r="P40" s="43"/>
      <c r="Q40" s="42"/>
      <c r="R40" s="43"/>
      <c r="S40" s="43"/>
      <c r="T40" s="42"/>
      <c r="U40" s="43"/>
      <c r="V40" s="43"/>
      <c r="W40" s="42"/>
      <c r="X40" s="43"/>
      <c r="Y40" s="43"/>
      <c r="Z40" s="42"/>
      <c r="AA40" s="43"/>
      <c r="AB40" s="43"/>
      <c r="AC40" s="43"/>
      <c r="AD40" s="11">
        <v>111.1</v>
      </c>
      <c r="AE40" s="11">
        <v>103.1</v>
      </c>
      <c r="AF40">
        <f>Tabel24256789[[#This Row],[Stand Kamertemp liter einde maand]]-Tabel24256789[[#This Row],[Stand Kamertemp liter vorige maand]]</f>
        <v>8</v>
      </c>
      <c r="AG40" s="2">
        <f>Tabel24256789[[#This Row],[Verbruik Kamertemp liter deze maand]]/0.15</f>
        <v>53.333333333333336</v>
      </c>
      <c r="AH40" s="11">
        <v>1144.2</v>
      </c>
      <c r="AI40" s="11">
        <v>1063.7</v>
      </c>
      <c r="AJ40">
        <f>Tabel24256789[[#This Row],[Stand Gekoeld liter einde maand]]-Tabel24256789[[#This Row],[Stand Gekoeld liter vorige maand]]</f>
        <v>80.5</v>
      </c>
      <c r="AK40" s="2">
        <f>Tabel24256789[[#This Row],[Verbruik Gekoeld liter deze maand]]/0.15</f>
        <v>536.66666666666674</v>
      </c>
      <c r="AL40" s="11">
        <v>548.79999999999995</v>
      </c>
      <c r="AM40" s="11">
        <v>502.1</v>
      </c>
      <c r="AN40">
        <f>Tabel24256789[[#This Row],[Stand Bruisend liter einde maand]]-Tabel24256789[[#This Row],[Stand Bruisend liter vorige maand]]</f>
        <v>46.699999999999932</v>
      </c>
      <c r="AO40" s="2">
        <f>Tabel24256789[[#This Row],[Verbruik Bruisend liter deze maand]]/0.15</f>
        <v>311.33333333333292</v>
      </c>
      <c r="AP40" s="11">
        <v>177.4</v>
      </c>
      <c r="AQ40" s="11">
        <v>167.6</v>
      </c>
      <c r="AR40">
        <f>Tabel24256789[[#This Row],[Stand licht bruisend liter einde maand]]-Tabel24256789[[#This Row],[Stand licht bruisend liter vorige maand]]</f>
        <v>9.8000000000000114</v>
      </c>
      <c r="AS40" s="2">
        <f>Tabel24256789[[#This Row],[Verbruik licht bruisend liter deze maand]]/0.15</f>
        <v>65.333333333333414</v>
      </c>
      <c r="AT40" s="11">
        <v>874.5</v>
      </c>
      <c r="AU40" s="11">
        <v>814.5</v>
      </c>
      <c r="AV40">
        <f>Tabel24256789[[#This Row],[Stand heet water liter einde maand]]-Tabel24256789[[#This Row],[Stand heet water liter vorige maand]]</f>
        <v>60</v>
      </c>
      <c r="AW40" s="20">
        <f>Tabel24256789[[#This Row],[Verbruik heet Water liter deze maand ]]/0.15</f>
        <v>400</v>
      </c>
      <c r="AX40" s="4">
        <f>Tabel24256789[[#This Row],[Aantal consumpties heet water deze maand]]+Tabel24256789[[#This Row],[Aantal consumpties licht bruisend water deze maand]]+Tabel24256789[[#This Row],[aantal consumpties Bruisend water deze maand]]+Tabel24256789[[#This Row],[Aantal consumpties gekoeld water deze maand]]+Tabel24256789[[#This Row],[Aantal consumpties Kamertemp deze maand]]</f>
        <v>1366.6666666666663</v>
      </c>
      <c r="AY40" s="4">
        <f>Tabel24256789[[#This Row],[Subtotaal waterbar in consumpties]]+Tabel24256789[[#This Row],[Subtotaal koffieautomaten]]</f>
        <v>1366.6666666666663</v>
      </c>
    </row>
    <row r="41" spans="1:51" x14ac:dyDescent="0.25">
      <c r="A41" t="s">
        <v>41</v>
      </c>
      <c r="B41" t="s">
        <v>90</v>
      </c>
      <c r="C41" t="s">
        <v>31</v>
      </c>
      <c r="E41" s="11">
        <v>3300</v>
      </c>
      <c r="F41" s="11">
        <v>2844</v>
      </c>
      <c r="G41" s="12">
        <f>Tabel24256789[[#This Row],[Stand Coffee einde maand]]-Tabel24256789[[#This Row],[Coffee vorige maand]]</f>
        <v>456</v>
      </c>
      <c r="H41" s="11">
        <v>1168</v>
      </c>
      <c r="I41" s="11">
        <v>1025</v>
      </c>
      <c r="J41" s="12">
        <f>Tabel24256789[[#This Row],[Stand Espresso Einde maand]]-Tabel24256789[[#This Row],[Espresso vorige maand]]</f>
        <v>143</v>
      </c>
      <c r="K41" s="11">
        <v>474</v>
      </c>
      <c r="L41" s="11">
        <v>389</v>
      </c>
      <c r="M41">
        <f>Tabel24256789[[#This Row],[Stand Latte Macchiato einde maand]]-Tabel24256789[[#This Row],[Latte Macchiato vorige maand]]</f>
        <v>85</v>
      </c>
      <c r="N41" s="11">
        <v>469</v>
      </c>
      <c r="O41" s="11">
        <v>409</v>
      </c>
      <c r="P41">
        <f>Tabel24256789[[#This Row],[Stand Coffee Latte einde maand]]-Tabel24256789[[#This Row],[Coffee Latte vorige maand]]</f>
        <v>60</v>
      </c>
      <c r="Q41" s="11">
        <v>9278</v>
      </c>
      <c r="R41" s="11">
        <v>8142</v>
      </c>
      <c r="S41">
        <f>Tabel24256789[[#This Row],[Stand Hot Water einde maand]]-Tabel24256789[[#This Row],[Hot Water vorige maand]]</f>
        <v>1136</v>
      </c>
      <c r="T41" s="11">
        <v>1433</v>
      </c>
      <c r="U41" s="11">
        <v>1232</v>
      </c>
      <c r="V41">
        <f>Tabel24256789[[#This Row],[Stand Cappucino einde maand]]-Tabel24256789[[#This Row],[Stand Cappucino vorige maand]]</f>
        <v>201</v>
      </c>
      <c r="W41" s="11">
        <v>172</v>
      </c>
      <c r="X41" s="11">
        <v>159</v>
      </c>
      <c r="Y41">
        <f>Tabel24256789[[#This Row],[Stand Cappucino Plantaardig einde maand]]-Tabel24256789[[#This Row],[Stand Cappucino Plantaardig vorige maand]]</f>
        <v>13</v>
      </c>
      <c r="Z41" s="11">
        <v>59</v>
      </c>
      <c r="AA41" s="11">
        <v>55</v>
      </c>
      <c r="AB41" s="12">
        <f>Tabel24256789[[#This Row],[Stand Latte Macchiato Plantaardig einde maand]]-Tabel24256789[[#This Row],[Stand Latte Macchiato Plantaardig vorige maand]]</f>
        <v>4</v>
      </c>
      <c r="AC41" s="3">
        <f>Tabel24256789[[#This Row],[Verbruik Stand Latte Macchiato Plantaardig deze maand]]+Tabel24256789[[#This Row],[Verbruik  Cappucino Plantaardig deze maand]]+Tabel24256789[[#This Row],[Verbruik Cappucino deze maand]]+Tabel24256789[[#This Row],[Verbruik Hot Water deze maand]]+Tabel24256789[[#This Row],[Verbruik Coffee Latte deze maand]]+Tabel24256789[[#This Row],[Verbruik Latte Macchiato deze maand]]+Tabel24256789[[#This Row],[Verbruik Espresso deze maand]]+Tabel24256789[[#This Row],[Verbruik Coffee deze maand]]</f>
        <v>2098</v>
      </c>
      <c r="AD41" s="26"/>
      <c r="AE41" s="26"/>
      <c r="AF41" s="5"/>
      <c r="AG41" s="5"/>
      <c r="AH41" s="26"/>
      <c r="AI41" s="26"/>
      <c r="AJ41" s="5"/>
      <c r="AK41" s="5"/>
      <c r="AL41" s="26"/>
      <c r="AM41" s="26"/>
      <c r="AN41" s="5"/>
      <c r="AO41" s="5"/>
      <c r="AP41" s="26"/>
      <c r="AQ41" s="26"/>
      <c r="AR41" s="5"/>
      <c r="AS41" s="5"/>
      <c r="AT41" s="26"/>
      <c r="AU41" s="26"/>
      <c r="AV41" s="5"/>
      <c r="AW41" s="16"/>
      <c r="AX41" s="6"/>
      <c r="AY41" s="4">
        <f>Tabel24256789[[#This Row],[Subtotaal waterbar in consumpties]]+Tabel24256789[[#This Row],[Subtotaal koffieautomaten]]</f>
        <v>2098</v>
      </c>
    </row>
    <row r="42" spans="1:51" x14ac:dyDescent="0.25">
      <c r="A42" t="s">
        <v>43</v>
      </c>
      <c r="B42" t="s">
        <v>91</v>
      </c>
      <c r="C42" t="s">
        <v>47</v>
      </c>
      <c r="E42" s="11">
        <v>3999</v>
      </c>
      <c r="F42" s="11">
        <v>3505</v>
      </c>
      <c r="G42" s="12">
        <f>Tabel24256789[[#This Row],[Stand Coffee einde maand]]-Tabel24256789[[#This Row],[Coffee vorige maand]]</f>
        <v>494</v>
      </c>
      <c r="H42" s="11">
        <v>1090</v>
      </c>
      <c r="I42" s="11">
        <v>1006</v>
      </c>
      <c r="J42" s="12">
        <f>Tabel24256789[[#This Row],[Stand Espresso Einde maand]]-Tabel24256789[[#This Row],[Espresso vorige maand]]</f>
        <v>84</v>
      </c>
      <c r="K42" s="11">
        <v>224</v>
      </c>
      <c r="L42" s="11">
        <v>216</v>
      </c>
      <c r="M42">
        <f>Tabel24256789[[#This Row],[Stand Latte Macchiato einde maand]]-Tabel24256789[[#This Row],[Latte Macchiato vorige maand]]</f>
        <v>8</v>
      </c>
      <c r="N42" s="11">
        <v>211</v>
      </c>
      <c r="O42" s="11">
        <v>187</v>
      </c>
      <c r="P42">
        <f>Tabel24256789[[#This Row],[Stand Coffee Latte einde maand]]-Tabel24256789[[#This Row],[Coffee Latte vorige maand]]</f>
        <v>24</v>
      </c>
      <c r="Q42" s="11">
        <v>328</v>
      </c>
      <c r="R42" s="11">
        <v>262</v>
      </c>
      <c r="S42">
        <f>Tabel24256789[[#This Row],[Stand Hot Water einde maand]]-Tabel24256789[[#This Row],[Hot Water vorige maand]]</f>
        <v>66</v>
      </c>
      <c r="T42" s="11">
        <v>1461</v>
      </c>
      <c r="U42" s="11">
        <v>1294</v>
      </c>
      <c r="V42">
        <f>Tabel24256789[[#This Row],[Stand Cappucino einde maand]]-Tabel24256789[[#This Row],[Stand Cappucino vorige maand]]</f>
        <v>167</v>
      </c>
      <c r="W42" s="11">
        <v>1402</v>
      </c>
      <c r="X42" s="11">
        <v>1261</v>
      </c>
      <c r="Y42">
        <f>Tabel24256789[[#This Row],[Stand Cappucino Plantaardig einde maand]]-Tabel24256789[[#This Row],[Stand Cappucino Plantaardig vorige maand]]</f>
        <v>141</v>
      </c>
      <c r="Z42" s="11">
        <v>127</v>
      </c>
      <c r="AA42" s="11">
        <v>114</v>
      </c>
      <c r="AB42" s="12">
        <f>Tabel24256789[[#This Row],[Stand Latte Macchiato Plantaardig einde maand]]-Tabel24256789[[#This Row],[Stand Latte Macchiato Plantaardig vorige maand]]</f>
        <v>13</v>
      </c>
      <c r="AC42" s="3">
        <f>Tabel24256789[[#This Row],[Verbruik Stand Latte Macchiato Plantaardig deze maand]]+Tabel24256789[[#This Row],[Verbruik  Cappucino Plantaardig deze maand]]+Tabel24256789[[#This Row],[Verbruik Cappucino deze maand]]+Tabel24256789[[#This Row],[Verbruik Hot Water deze maand]]+Tabel24256789[[#This Row],[Verbruik Coffee Latte deze maand]]+Tabel24256789[[#This Row],[Verbruik Latte Macchiato deze maand]]+Tabel24256789[[#This Row],[Verbruik Espresso deze maand]]+Tabel24256789[[#This Row],[Verbruik Coffee deze maand]]</f>
        <v>997</v>
      </c>
      <c r="AD42" s="11">
        <v>60.3</v>
      </c>
      <c r="AE42" s="11">
        <v>48.4</v>
      </c>
      <c r="AF42">
        <f>Tabel24256789[[#This Row],[Stand Kamertemp liter einde maand]]-Tabel24256789[[#This Row],[Stand Kamertemp liter vorige maand]]</f>
        <v>11.899999999999999</v>
      </c>
      <c r="AG42" s="2">
        <f>Tabel24256789[[#This Row],[Verbruik Kamertemp liter deze maand]]/0.15</f>
        <v>79.333333333333329</v>
      </c>
      <c r="AH42" s="11">
        <v>795.6</v>
      </c>
      <c r="AI42" s="11">
        <v>715.2</v>
      </c>
      <c r="AJ42">
        <f>Tabel24256789[[#This Row],[Stand Gekoeld liter einde maand]]-Tabel24256789[[#This Row],[Stand Gekoeld liter vorige maand]]</f>
        <v>80.399999999999977</v>
      </c>
      <c r="AK42" s="2">
        <f>Tabel24256789[[#This Row],[Verbruik Gekoeld liter deze maand]]/0.15</f>
        <v>535.99999999999989</v>
      </c>
      <c r="AL42" s="11">
        <v>1086.2</v>
      </c>
      <c r="AM42" s="11">
        <v>984.8</v>
      </c>
      <c r="AN42">
        <f>Tabel24256789[[#This Row],[Stand Bruisend liter einde maand]]-Tabel24256789[[#This Row],[Stand Bruisend liter vorige maand]]</f>
        <v>101.40000000000009</v>
      </c>
      <c r="AO42" s="2">
        <f>Tabel24256789[[#This Row],[Verbruik Bruisend liter deze maand]]/0.15</f>
        <v>676.00000000000068</v>
      </c>
      <c r="AP42" s="11">
        <v>629.29999999999995</v>
      </c>
      <c r="AQ42" s="11">
        <v>590.1</v>
      </c>
      <c r="AR42">
        <f>Tabel24256789[[#This Row],[Stand licht bruisend liter einde maand]]-Tabel24256789[[#This Row],[Stand licht bruisend liter vorige maand]]</f>
        <v>39.199999999999932</v>
      </c>
      <c r="AS42" s="2">
        <f>Tabel24256789[[#This Row],[Verbruik licht bruisend liter deze maand]]/0.15</f>
        <v>261.33333333333292</v>
      </c>
      <c r="AT42" s="11">
        <v>3292.9</v>
      </c>
      <c r="AU42" s="11">
        <v>3031.4</v>
      </c>
      <c r="AV42">
        <f>Tabel24256789[[#This Row],[Stand heet water liter einde maand]]-Tabel24256789[[#This Row],[Stand heet water liter vorige maand]]</f>
        <v>261.5</v>
      </c>
      <c r="AW42" s="20">
        <f>Tabel24256789[[#This Row],[Verbruik heet Water liter deze maand ]]/0.15</f>
        <v>1743.3333333333335</v>
      </c>
      <c r="AX42" s="4">
        <f>Tabel24256789[[#This Row],[Aantal consumpties heet water deze maand]]+Tabel24256789[[#This Row],[Aantal consumpties licht bruisend water deze maand]]+Tabel24256789[[#This Row],[aantal consumpties Bruisend water deze maand]]+Tabel24256789[[#This Row],[Aantal consumpties gekoeld water deze maand]]+Tabel24256789[[#This Row],[Aantal consumpties Kamertemp deze maand]]</f>
        <v>3296.0000000000005</v>
      </c>
      <c r="AY42" s="4">
        <f>Tabel24256789[[#This Row],[Subtotaal waterbar in consumpties]]+Tabel24256789[[#This Row],[Subtotaal koffieautomaten]]</f>
        <v>4293</v>
      </c>
    </row>
    <row r="43" spans="1:51" x14ac:dyDescent="0.25">
      <c r="A43" t="s">
        <v>45</v>
      </c>
      <c r="B43" t="s">
        <v>92</v>
      </c>
      <c r="C43" t="s">
        <v>36</v>
      </c>
      <c r="E43" s="42"/>
      <c r="F43" s="43"/>
      <c r="G43" s="43"/>
      <c r="H43" s="42"/>
      <c r="I43" s="43"/>
      <c r="J43" s="43"/>
      <c r="K43" s="42"/>
      <c r="L43" s="43"/>
      <c r="M43" s="43"/>
      <c r="N43" s="42"/>
      <c r="O43" s="43"/>
      <c r="P43" s="43"/>
      <c r="Q43" s="42"/>
      <c r="R43" s="43"/>
      <c r="S43" s="43"/>
      <c r="T43" s="42"/>
      <c r="U43" s="43"/>
      <c r="V43" s="43"/>
      <c r="W43" s="42"/>
      <c r="X43" s="43"/>
      <c r="Y43" s="43"/>
      <c r="Z43" s="42"/>
      <c r="AA43" s="43"/>
      <c r="AB43" s="43"/>
      <c r="AC43" s="43"/>
      <c r="AD43" s="11">
        <v>49.2</v>
      </c>
      <c r="AE43" s="11">
        <v>46.7</v>
      </c>
      <c r="AF43">
        <f>Tabel24256789[[#This Row],[Stand Kamertemp liter einde maand]]-Tabel24256789[[#This Row],[Stand Kamertemp liter vorige maand]]</f>
        <v>2.5</v>
      </c>
      <c r="AG43" s="2">
        <f>Tabel24256789[[#This Row],[Verbruik Kamertemp liter deze maand]]/0.15</f>
        <v>16.666666666666668</v>
      </c>
      <c r="AH43" s="11">
        <v>410</v>
      </c>
      <c r="AI43" s="11">
        <v>371.3</v>
      </c>
      <c r="AJ43">
        <f>Tabel24256789[[#This Row],[Stand Gekoeld liter einde maand]]-Tabel24256789[[#This Row],[Stand Gekoeld liter vorige maand]]</f>
        <v>38.699999999999989</v>
      </c>
      <c r="AK43" s="2">
        <f>Tabel24256789[[#This Row],[Verbruik Gekoeld liter deze maand]]/0.15</f>
        <v>257.99999999999994</v>
      </c>
      <c r="AL43" s="11">
        <v>351.5</v>
      </c>
      <c r="AM43" s="11">
        <v>316.60000000000002</v>
      </c>
      <c r="AN43">
        <f>Tabel24256789[[#This Row],[Stand Bruisend liter einde maand]]-Tabel24256789[[#This Row],[Stand Bruisend liter vorige maand]]</f>
        <v>34.899999999999977</v>
      </c>
      <c r="AO43" s="2">
        <f>Tabel24256789[[#This Row],[Verbruik Bruisend liter deze maand]]/0.15</f>
        <v>232.66666666666652</v>
      </c>
      <c r="AP43" s="11">
        <v>88.5</v>
      </c>
      <c r="AQ43" s="11">
        <v>81.900000000000006</v>
      </c>
      <c r="AR43">
        <f>Tabel24256789[[#This Row],[Stand licht bruisend liter einde maand]]-Tabel24256789[[#This Row],[Stand licht bruisend liter vorige maand]]</f>
        <v>6.5999999999999943</v>
      </c>
      <c r="AS43" s="2">
        <f>Tabel24256789[[#This Row],[Verbruik licht bruisend liter deze maand]]/0.15</f>
        <v>43.999999999999964</v>
      </c>
      <c r="AT43" s="11">
        <v>1250.0999999999999</v>
      </c>
      <c r="AU43" s="11">
        <v>1131.5999999999999</v>
      </c>
      <c r="AV43">
        <f>Tabel24256789[[#This Row],[Stand heet water liter einde maand]]-Tabel24256789[[#This Row],[Stand heet water liter vorige maand]]</f>
        <v>118.5</v>
      </c>
      <c r="AW43" s="20">
        <f>Tabel24256789[[#This Row],[Verbruik heet Water liter deze maand ]]/0.15</f>
        <v>790</v>
      </c>
      <c r="AX43" s="4">
        <f>Tabel24256789[[#This Row],[Aantal consumpties heet water deze maand]]+Tabel24256789[[#This Row],[Aantal consumpties licht bruisend water deze maand]]+Tabel24256789[[#This Row],[aantal consumpties Bruisend water deze maand]]+Tabel24256789[[#This Row],[Aantal consumpties gekoeld water deze maand]]+Tabel24256789[[#This Row],[Aantal consumpties Kamertemp deze maand]]</f>
        <v>1341.3333333333333</v>
      </c>
      <c r="AY43" s="4">
        <f>Tabel24256789[[#This Row],[Subtotaal waterbar in consumpties]]+Tabel24256789[[#This Row],[Subtotaal koffieautomaten]]</f>
        <v>1341.3333333333333</v>
      </c>
    </row>
    <row r="44" spans="1:51" x14ac:dyDescent="0.25">
      <c r="A44" t="s">
        <v>48</v>
      </c>
      <c r="B44" t="s">
        <v>158</v>
      </c>
      <c r="C44" t="s">
        <v>31</v>
      </c>
      <c r="E44" s="11">
        <v>5355</v>
      </c>
      <c r="F44" s="11">
        <v>4631</v>
      </c>
      <c r="G44" s="12">
        <f>Tabel24256789[[#This Row],[Stand Coffee einde maand]]-Tabel24256789[[#This Row],[Coffee vorige maand]]</f>
        <v>724</v>
      </c>
      <c r="H44" s="11">
        <v>1346</v>
      </c>
      <c r="I44" s="11">
        <v>1194</v>
      </c>
      <c r="J44" s="12">
        <f>Tabel24256789[[#This Row],[Stand Espresso Einde maand]]-Tabel24256789[[#This Row],[Espresso vorige maand]]</f>
        <v>152</v>
      </c>
      <c r="K44" s="11">
        <v>689</v>
      </c>
      <c r="L44" s="11">
        <v>594</v>
      </c>
      <c r="M44">
        <f>Tabel24256789[[#This Row],[Stand Latte Macchiato einde maand]]-Tabel24256789[[#This Row],[Latte Macchiato vorige maand]]</f>
        <v>95</v>
      </c>
      <c r="N44" s="11">
        <v>168</v>
      </c>
      <c r="O44" s="11">
        <v>157</v>
      </c>
      <c r="P44">
        <f>Tabel24256789[[#This Row],[Stand Coffee Latte einde maand]]-Tabel24256789[[#This Row],[Coffee Latte vorige maand]]</f>
        <v>11</v>
      </c>
      <c r="Q44" s="11">
        <v>5559</v>
      </c>
      <c r="R44" s="11">
        <v>4751</v>
      </c>
      <c r="S44">
        <f>Tabel24256789[[#This Row],[Stand Hot Water einde maand]]-Tabel24256789[[#This Row],[Hot Water vorige maand]]</f>
        <v>808</v>
      </c>
      <c r="T44" s="11">
        <v>2210</v>
      </c>
      <c r="U44" s="11">
        <v>1898</v>
      </c>
      <c r="V44">
        <f>Tabel24256789[[#This Row],[Stand Cappucino einde maand]]-Tabel24256789[[#This Row],[Stand Cappucino vorige maand]]</f>
        <v>312</v>
      </c>
      <c r="W44" s="11">
        <v>381</v>
      </c>
      <c r="X44" s="11">
        <v>349</v>
      </c>
      <c r="Y44">
        <f>Tabel24256789[[#This Row],[Stand Cappucino Plantaardig einde maand]]-Tabel24256789[[#This Row],[Stand Cappucino Plantaardig vorige maand]]</f>
        <v>32</v>
      </c>
      <c r="Z44" s="11">
        <v>306</v>
      </c>
      <c r="AA44" s="11">
        <v>284</v>
      </c>
      <c r="AB44" s="12">
        <f>Tabel24256789[[#This Row],[Stand Latte Macchiato Plantaardig einde maand]]-Tabel24256789[[#This Row],[Stand Latte Macchiato Plantaardig vorige maand]]</f>
        <v>22</v>
      </c>
      <c r="AC44" s="3">
        <f>Tabel24256789[[#This Row],[Verbruik Stand Latte Macchiato Plantaardig deze maand]]+Tabel24256789[[#This Row],[Verbruik  Cappucino Plantaardig deze maand]]+Tabel24256789[[#This Row],[Verbruik Cappucino deze maand]]+Tabel24256789[[#This Row],[Verbruik Hot Water deze maand]]+Tabel24256789[[#This Row],[Verbruik Coffee Latte deze maand]]+Tabel24256789[[#This Row],[Verbruik Latte Macchiato deze maand]]+Tabel24256789[[#This Row],[Verbruik Espresso deze maand]]+Tabel24256789[[#This Row],[Verbruik Coffee deze maand]]</f>
        <v>2156</v>
      </c>
      <c r="AD44" s="26"/>
      <c r="AE44" s="26"/>
      <c r="AF44" s="5"/>
      <c r="AG44" s="7"/>
      <c r="AH44" s="26"/>
      <c r="AI44" s="26"/>
      <c r="AJ44" s="5"/>
      <c r="AK44" s="7"/>
      <c r="AL44" s="26"/>
      <c r="AM44" s="26"/>
      <c r="AN44" s="5"/>
      <c r="AO44" s="7"/>
      <c r="AP44" s="26"/>
      <c r="AQ44" s="26"/>
      <c r="AR44" s="5"/>
      <c r="AS44" s="7"/>
      <c r="AT44" s="26"/>
      <c r="AU44" s="26"/>
      <c r="AV44" s="5"/>
      <c r="AW44" s="21"/>
      <c r="AX44" s="4">
        <f>Tabel24256789[[#This Row],[Aantal consumpties heet water deze maand]]+Tabel24256789[[#This Row],[Aantal consumpties licht bruisend water deze maand]]+Tabel24256789[[#This Row],[aantal consumpties Bruisend water deze maand]]+Tabel24256789[[#This Row],[Aantal consumpties gekoeld water deze maand]]+Tabel24256789[[#This Row],[Aantal consumpties Kamertemp deze maand]]</f>
        <v>0</v>
      </c>
      <c r="AY44" s="4">
        <f>Tabel24256789[[#This Row],[Subtotaal waterbar in consumpties]]+Tabel24256789[[#This Row],[Subtotaal koffieautomaten]]</f>
        <v>2156</v>
      </c>
    </row>
    <row r="45" spans="1:51" x14ac:dyDescent="0.25">
      <c r="A45" t="s">
        <v>50</v>
      </c>
      <c r="B45" t="s">
        <v>93</v>
      </c>
      <c r="C45" t="s">
        <v>36</v>
      </c>
      <c r="E45" s="42"/>
      <c r="F45" s="43"/>
      <c r="G45" s="43"/>
      <c r="H45" s="42"/>
      <c r="I45" s="43"/>
      <c r="J45" s="43"/>
      <c r="K45" s="42"/>
      <c r="L45" s="43"/>
      <c r="M45" s="43"/>
      <c r="N45" s="42"/>
      <c r="O45" s="43"/>
      <c r="P45" s="43"/>
      <c r="Q45" s="42"/>
      <c r="R45" s="43"/>
      <c r="S45" s="43"/>
      <c r="T45" s="42"/>
      <c r="U45" s="43"/>
      <c r="V45" s="43"/>
      <c r="W45" s="42"/>
      <c r="X45" s="43"/>
      <c r="Y45" s="43"/>
      <c r="Z45" s="42"/>
      <c r="AA45" s="43"/>
      <c r="AB45" s="43"/>
      <c r="AC45" s="43"/>
      <c r="AD45" s="11">
        <v>56.4</v>
      </c>
      <c r="AE45" s="11">
        <v>51.1</v>
      </c>
      <c r="AF45">
        <f>Tabel24256789[[#This Row],[Stand Kamertemp liter einde maand]]-Tabel24256789[[#This Row],[Stand Kamertemp liter vorige maand]]</f>
        <v>5.2999999999999972</v>
      </c>
      <c r="AG45" s="2">
        <f>Tabel24256789[[#This Row],[Verbruik Kamertemp liter deze maand]]/0.15</f>
        <v>35.333333333333314</v>
      </c>
      <c r="AH45" s="25">
        <v>479.4</v>
      </c>
      <c r="AI45" s="25">
        <v>432.2</v>
      </c>
      <c r="AJ45">
        <f>Tabel24256789[[#This Row],[Stand Gekoeld liter einde maand]]-Tabel24256789[[#This Row],[Stand Gekoeld liter vorige maand]]</f>
        <v>47.199999999999989</v>
      </c>
      <c r="AK45" s="2">
        <f>Tabel24256789[[#This Row],[Verbruik Gekoeld liter deze maand]]/0.15</f>
        <v>314.66666666666663</v>
      </c>
      <c r="AL45" s="25">
        <v>417.7</v>
      </c>
      <c r="AM45" s="25">
        <v>375.1</v>
      </c>
      <c r="AN45">
        <f>Tabel24256789[[#This Row],[Stand Bruisend liter einde maand]]-Tabel24256789[[#This Row],[Stand Bruisend liter vorige maand]]</f>
        <v>42.599999999999966</v>
      </c>
      <c r="AO45" s="2">
        <f>Tabel24256789[[#This Row],[Verbruik Bruisend liter deze maand]]/0.15</f>
        <v>283.99999999999977</v>
      </c>
      <c r="AP45" s="25">
        <v>199.6</v>
      </c>
      <c r="AQ45" s="25">
        <v>187.5</v>
      </c>
      <c r="AR45">
        <f>Tabel24256789[[#This Row],[Stand licht bruisend liter einde maand]]-Tabel24256789[[#This Row],[Stand licht bruisend liter vorige maand]]</f>
        <v>12.099999999999994</v>
      </c>
      <c r="AS45" s="2">
        <f>Tabel24256789[[#This Row],[Verbruik licht bruisend liter deze maand]]/0.15</f>
        <v>80.666666666666629</v>
      </c>
      <c r="AT45" s="25">
        <v>1426.9</v>
      </c>
      <c r="AU45" s="25">
        <v>1323.6</v>
      </c>
      <c r="AV45">
        <f>Tabel24256789[[#This Row],[Stand heet water liter einde maand]]-Tabel24256789[[#This Row],[Stand heet water liter vorige maand]]</f>
        <v>103.30000000000018</v>
      </c>
      <c r="AW45" s="20">
        <f>Tabel24256789[[#This Row],[Verbruik heet Water liter deze maand ]]/0.15</f>
        <v>688.66666666666788</v>
      </c>
      <c r="AX45" s="4">
        <f>Tabel24256789[[#This Row],[Aantal consumpties heet water deze maand]]+Tabel24256789[[#This Row],[Aantal consumpties licht bruisend water deze maand]]+Tabel24256789[[#This Row],[aantal consumpties Bruisend water deze maand]]+Tabel24256789[[#This Row],[Aantal consumpties gekoeld water deze maand]]+Tabel24256789[[#This Row],[Aantal consumpties Kamertemp deze maand]]</f>
        <v>1403.3333333333342</v>
      </c>
      <c r="AY45" s="4">
        <f>Tabel24256789[[#This Row],[Subtotaal waterbar in consumpties]]+Tabel24256789[[#This Row],[Subtotaal koffieautomaten]]</f>
        <v>1403.3333333333342</v>
      </c>
    </row>
    <row r="46" spans="1:51" x14ac:dyDescent="0.25">
      <c r="A46" t="s">
        <v>52</v>
      </c>
      <c r="B46" t="s">
        <v>94</v>
      </c>
      <c r="C46" t="s">
        <v>31</v>
      </c>
      <c r="E46" s="11">
        <v>2552</v>
      </c>
      <c r="F46" s="11">
        <v>2222</v>
      </c>
      <c r="G46" s="12">
        <f>Tabel24256789[[#This Row],[Stand Coffee einde maand]]-Tabel24256789[[#This Row],[Coffee vorige maand]]</f>
        <v>330</v>
      </c>
      <c r="H46" s="11">
        <v>1512</v>
      </c>
      <c r="I46" s="11">
        <v>1343</v>
      </c>
      <c r="J46" s="12">
        <f>Tabel24256789[[#This Row],[Stand Espresso Einde maand]]-Tabel24256789[[#This Row],[Espresso vorige maand]]</f>
        <v>169</v>
      </c>
      <c r="K46" s="11">
        <v>370</v>
      </c>
      <c r="L46" s="11">
        <v>327</v>
      </c>
      <c r="M46">
        <f>Tabel24256789[[#This Row],[Stand Latte Macchiato einde maand]]-Tabel24256789[[#This Row],[Latte Macchiato vorige maand]]</f>
        <v>43</v>
      </c>
      <c r="N46" s="11">
        <v>213</v>
      </c>
      <c r="O46" s="11">
        <v>202</v>
      </c>
      <c r="P46">
        <f>Tabel24256789[[#This Row],[Stand Coffee Latte einde maand]]-Tabel24256789[[#This Row],[Coffee Latte vorige maand]]</f>
        <v>11</v>
      </c>
      <c r="Q46" s="11">
        <v>4749</v>
      </c>
      <c r="R46" s="11">
        <v>4272</v>
      </c>
      <c r="S46">
        <f>Tabel24256789[[#This Row],[Stand Hot Water einde maand]]-Tabel24256789[[#This Row],[Hot Water vorige maand]]</f>
        <v>477</v>
      </c>
      <c r="T46" s="11">
        <v>2313</v>
      </c>
      <c r="U46" s="11">
        <v>2044</v>
      </c>
      <c r="V46">
        <f>Tabel24256789[[#This Row],[Stand Cappucino einde maand]]-Tabel24256789[[#This Row],[Stand Cappucino vorige maand]]</f>
        <v>269</v>
      </c>
      <c r="W46" s="11">
        <v>289</v>
      </c>
      <c r="X46" s="11">
        <v>244</v>
      </c>
      <c r="Y46">
        <f>Tabel24256789[[#This Row],[Stand Cappucino Plantaardig einde maand]]-Tabel24256789[[#This Row],[Stand Cappucino Plantaardig vorige maand]]</f>
        <v>45</v>
      </c>
      <c r="Z46" s="11">
        <v>57</v>
      </c>
      <c r="AA46" s="11">
        <v>54</v>
      </c>
      <c r="AB46" s="12">
        <f>Tabel24256789[[#This Row],[Stand Latte Macchiato Plantaardig einde maand]]-Tabel24256789[[#This Row],[Stand Latte Macchiato Plantaardig vorige maand]]</f>
        <v>3</v>
      </c>
      <c r="AC46" s="3">
        <f>Tabel24256789[[#This Row],[Verbruik Stand Latte Macchiato Plantaardig deze maand]]+Tabel24256789[[#This Row],[Verbruik  Cappucino Plantaardig deze maand]]+Tabel24256789[[#This Row],[Verbruik Cappucino deze maand]]+Tabel24256789[[#This Row],[Verbruik Hot Water deze maand]]+Tabel24256789[[#This Row],[Verbruik Coffee Latte deze maand]]+Tabel24256789[[#This Row],[Verbruik Latte Macchiato deze maand]]+Tabel24256789[[#This Row],[Verbruik Espresso deze maand]]+Tabel24256789[[#This Row],[Verbruik Coffee deze maand]]</f>
        <v>1347</v>
      </c>
      <c r="AD46" s="26"/>
      <c r="AE46" s="26"/>
      <c r="AF46" s="5"/>
      <c r="AG46" s="7"/>
      <c r="AH46" s="26"/>
      <c r="AI46" s="26"/>
      <c r="AJ46" s="5"/>
      <c r="AK46" s="7"/>
      <c r="AL46" s="26"/>
      <c r="AM46" s="26"/>
      <c r="AN46" s="5"/>
      <c r="AO46" s="7"/>
      <c r="AP46" s="26"/>
      <c r="AQ46" s="26"/>
      <c r="AR46" s="5"/>
      <c r="AS46" s="7"/>
      <c r="AT46" s="26"/>
      <c r="AU46" s="26"/>
      <c r="AV46" s="5"/>
      <c r="AW46" s="21"/>
      <c r="AX46" s="8">
        <f>Tabel24256789[[#This Row],[Aantal consumpties heet water deze maand]]+Tabel24256789[[#This Row],[Aantal consumpties licht bruisend water deze maand]]+Tabel24256789[[#This Row],[aantal consumpties Bruisend water deze maand]]+Tabel24256789[[#This Row],[Aantal consumpties gekoeld water deze maand]]+Tabel24256789[[#This Row],[Aantal consumpties Kamertemp deze maand]]</f>
        <v>0</v>
      </c>
      <c r="AY46" s="4">
        <f>Tabel24256789[[#This Row],[Subtotaal waterbar in consumpties]]+Tabel24256789[[#This Row],[Subtotaal koffieautomaten]]</f>
        <v>1347</v>
      </c>
    </row>
    <row r="47" spans="1:51" x14ac:dyDescent="0.25">
      <c r="A47" t="s">
        <v>54</v>
      </c>
      <c r="B47" t="s">
        <v>95</v>
      </c>
      <c r="C47" t="s">
        <v>47</v>
      </c>
      <c r="E47" s="11">
        <v>3541</v>
      </c>
      <c r="F47" s="11">
        <v>3160</v>
      </c>
      <c r="G47" s="12">
        <f>Tabel24256789[[#This Row],[Stand Coffee einde maand]]-Tabel24256789[[#This Row],[Coffee vorige maand]]</f>
        <v>381</v>
      </c>
      <c r="H47" s="11">
        <v>1034</v>
      </c>
      <c r="I47" s="11">
        <v>884</v>
      </c>
      <c r="J47" s="12">
        <f>Tabel24256789[[#This Row],[Stand Espresso Einde maand]]-Tabel24256789[[#This Row],[Espresso vorige maand]]</f>
        <v>150</v>
      </c>
      <c r="K47" s="11">
        <v>328</v>
      </c>
      <c r="L47" s="11">
        <v>305</v>
      </c>
      <c r="M47">
        <f>Tabel24256789[[#This Row],[Stand Latte Macchiato einde maand]]-Tabel24256789[[#This Row],[Latte Macchiato vorige maand]]</f>
        <v>23</v>
      </c>
      <c r="N47" s="11">
        <v>206</v>
      </c>
      <c r="O47" s="11">
        <v>192</v>
      </c>
      <c r="P47">
        <f>Tabel24256789[[#This Row],[Stand Coffee Latte einde maand]]-Tabel24256789[[#This Row],[Coffee Latte vorige maand]]</f>
        <v>14</v>
      </c>
      <c r="Q47" s="11">
        <v>0</v>
      </c>
      <c r="R47" s="11">
        <v>0</v>
      </c>
      <c r="S47">
        <f>Tabel24256789[[#This Row],[Stand Hot Water einde maand]]-Tabel24256789[[#This Row],[Hot Water vorige maand]]</f>
        <v>0</v>
      </c>
      <c r="T47" s="11">
        <v>1607</v>
      </c>
      <c r="U47" s="11">
        <v>1422</v>
      </c>
      <c r="V47">
        <f>Tabel24256789[[#This Row],[Stand Cappucino einde maand]]-Tabel24256789[[#This Row],[Stand Cappucino vorige maand]]</f>
        <v>185</v>
      </c>
      <c r="W47" s="11">
        <v>553</v>
      </c>
      <c r="X47" s="11">
        <v>495</v>
      </c>
      <c r="Y47">
        <f>Tabel24256789[[#This Row],[Stand Cappucino Plantaardig einde maand]]-Tabel24256789[[#This Row],[Stand Cappucino Plantaardig vorige maand]]</f>
        <v>58</v>
      </c>
      <c r="Z47" s="11">
        <v>305</v>
      </c>
      <c r="AA47" s="11">
        <v>287</v>
      </c>
      <c r="AB47" s="12">
        <f>Tabel24256789[[#This Row],[Stand Latte Macchiato Plantaardig einde maand]]-Tabel24256789[[#This Row],[Stand Latte Macchiato Plantaardig vorige maand]]</f>
        <v>18</v>
      </c>
      <c r="AC47" s="3">
        <f>Tabel24256789[[#This Row],[Verbruik Stand Latte Macchiato Plantaardig deze maand]]+Tabel24256789[[#This Row],[Verbruik  Cappucino Plantaardig deze maand]]+Tabel24256789[[#This Row],[Verbruik Cappucino deze maand]]+Tabel24256789[[#This Row],[Verbruik Hot Water deze maand]]+Tabel24256789[[#This Row],[Verbruik Coffee Latte deze maand]]+Tabel24256789[[#This Row],[Verbruik Latte Macchiato deze maand]]+Tabel24256789[[#This Row],[Verbruik Espresso deze maand]]+Tabel24256789[[#This Row],[Verbruik Coffee deze maand]]</f>
        <v>829</v>
      </c>
      <c r="AD47" s="11">
        <v>140.30000000000001</v>
      </c>
      <c r="AE47" s="11">
        <v>126.9</v>
      </c>
      <c r="AF47">
        <f>Tabel24256789[[#This Row],[Stand Kamertemp liter einde maand]]-Tabel24256789[[#This Row],[Stand Kamertemp liter vorige maand]]</f>
        <v>13.400000000000006</v>
      </c>
      <c r="AG47" s="2">
        <f>Tabel24256789[[#This Row],[Verbruik Kamertemp liter deze maand]]/0.15</f>
        <v>89.333333333333371</v>
      </c>
      <c r="AH47" s="11">
        <v>607.1</v>
      </c>
      <c r="AI47" s="11">
        <v>528.70000000000005</v>
      </c>
      <c r="AJ47">
        <f>Tabel24256789[[#This Row],[Stand Gekoeld liter einde maand]]-Tabel24256789[[#This Row],[Stand Gekoeld liter vorige maand]]</f>
        <v>78.399999999999977</v>
      </c>
      <c r="AK47" s="2">
        <f>Tabel24256789[[#This Row],[Verbruik Gekoeld liter deze maand]]/0.15</f>
        <v>522.66666666666652</v>
      </c>
      <c r="AL47" s="11">
        <v>471.7</v>
      </c>
      <c r="AM47" s="11">
        <v>435.2</v>
      </c>
      <c r="AN47">
        <f>Tabel24256789[[#This Row],[Stand Bruisend liter einde maand]]-Tabel24256789[[#This Row],[Stand Bruisend liter vorige maand]]</f>
        <v>36.5</v>
      </c>
      <c r="AO47" s="2">
        <f>Tabel24256789[[#This Row],[Verbruik Bruisend liter deze maand]]/0.15</f>
        <v>243.33333333333334</v>
      </c>
      <c r="AP47" s="11">
        <v>213.4</v>
      </c>
      <c r="AQ47" s="11">
        <v>191.2</v>
      </c>
      <c r="AR47">
        <f>Tabel24256789[[#This Row],[Stand licht bruisend liter einde maand]]-Tabel24256789[[#This Row],[Stand licht bruisend liter vorige maand]]</f>
        <v>22.200000000000017</v>
      </c>
      <c r="AS47" s="2">
        <f>Tabel24256789[[#This Row],[Verbruik licht bruisend liter deze maand]]/0.15</f>
        <v>148.00000000000011</v>
      </c>
      <c r="AT47" s="11">
        <v>1730.6</v>
      </c>
      <c r="AU47" s="11">
        <v>1582.7</v>
      </c>
      <c r="AV47">
        <f>Tabel24256789[[#This Row],[Stand heet water liter einde maand]]-Tabel24256789[[#This Row],[Stand heet water liter vorige maand]]</f>
        <v>147.89999999999986</v>
      </c>
      <c r="AW47" s="20">
        <f>Tabel24256789[[#This Row],[Verbruik heet Water liter deze maand ]]/0.15</f>
        <v>985.99999999999909</v>
      </c>
      <c r="AX47" s="4">
        <f>Tabel24256789[[#This Row],[Aantal consumpties heet water deze maand]]+Tabel24256789[[#This Row],[Aantal consumpties licht bruisend water deze maand]]+Tabel24256789[[#This Row],[aantal consumpties Bruisend water deze maand]]+Tabel24256789[[#This Row],[Aantal consumpties gekoeld water deze maand]]+Tabel24256789[[#This Row],[Aantal consumpties Kamertemp deze maand]]</f>
        <v>1989.3333333333321</v>
      </c>
      <c r="AY47" s="4">
        <f>Tabel24256789[[#This Row],[Subtotaal waterbar in consumpties]]+Tabel24256789[[#This Row],[Subtotaal koffieautomaten]]</f>
        <v>2818.3333333333321</v>
      </c>
    </row>
    <row r="48" spans="1:51" x14ac:dyDescent="0.25">
      <c r="A48" t="s">
        <v>56</v>
      </c>
      <c r="B48" t="s">
        <v>96</v>
      </c>
      <c r="C48" t="s">
        <v>36</v>
      </c>
      <c r="E48" s="42"/>
      <c r="F48" s="43"/>
      <c r="G48" s="43"/>
      <c r="H48" s="42"/>
      <c r="I48" s="43"/>
      <c r="J48" s="43"/>
      <c r="K48" s="42"/>
      <c r="L48" s="43"/>
      <c r="M48" s="43"/>
      <c r="N48" s="42"/>
      <c r="O48" s="43"/>
      <c r="P48" s="43"/>
      <c r="Q48" s="42"/>
      <c r="R48" s="43"/>
      <c r="S48" s="43"/>
      <c r="T48" s="42"/>
      <c r="U48" s="43"/>
      <c r="V48" s="43"/>
      <c r="W48" s="42"/>
      <c r="X48" s="43"/>
      <c r="Y48" s="43"/>
      <c r="Z48" s="42"/>
      <c r="AA48" s="43"/>
      <c r="AB48" s="43"/>
      <c r="AC48" s="43"/>
      <c r="AD48" s="11">
        <v>137.5</v>
      </c>
      <c r="AE48" s="11">
        <v>126.5</v>
      </c>
      <c r="AF48">
        <f>Tabel24256789[[#This Row],[Stand Kamertemp liter einde maand]]-Tabel24256789[[#This Row],[Stand Kamertemp liter vorige maand]]</f>
        <v>11</v>
      </c>
      <c r="AG48" s="2">
        <f>Tabel24256789[[#This Row],[Verbruik Kamertemp liter deze maand]]/0.15</f>
        <v>73.333333333333343</v>
      </c>
      <c r="AH48" s="11">
        <v>888.5</v>
      </c>
      <c r="AI48" s="11">
        <v>786.7</v>
      </c>
      <c r="AJ48">
        <f>Tabel24256789[[#This Row],[Stand Gekoeld liter einde maand]]-Tabel24256789[[#This Row],[Stand Gekoeld liter vorige maand]]</f>
        <v>101.79999999999995</v>
      </c>
      <c r="AK48" s="2">
        <f>Tabel24256789[[#This Row],[Verbruik Gekoeld liter deze maand]]/0.15</f>
        <v>678.6666666666664</v>
      </c>
      <c r="AL48" s="11">
        <v>366.1</v>
      </c>
      <c r="AM48" s="11">
        <v>346.5</v>
      </c>
      <c r="AN48">
        <f>Tabel24256789[[#This Row],[Stand Bruisend liter einde maand]]-Tabel24256789[[#This Row],[Stand Bruisend liter vorige maand]]</f>
        <v>19.600000000000023</v>
      </c>
      <c r="AO48" s="2">
        <f>Tabel24256789[[#This Row],[Verbruik Bruisend liter deze maand]]/0.15</f>
        <v>130.66666666666683</v>
      </c>
      <c r="AP48" s="11">
        <v>291.89999999999998</v>
      </c>
      <c r="AQ48" s="11">
        <v>273.2</v>
      </c>
      <c r="AR48">
        <f>Tabel24256789[[#This Row],[Stand licht bruisend liter einde maand]]-Tabel24256789[[#This Row],[Stand licht bruisend liter vorige maand]]</f>
        <v>18.699999999999989</v>
      </c>
      <c r="AS48" s="2">
        <f>Tabel24256789[[#This Row],[Verbruik licht bruisend liter deze maand]]/0.15</f>
        <v>124.6666666666666</v>
      </c>
      <c r="AT48" s="11">
        <v>2595.6</v>
      </c>
      <c r="AU48" s="11">
        <v>2448.1999999999998</v>
      </c>
      <c r="AV48">
        <f>Tabel24256789[[#This Row],[Stand heet water liter einde maand]]-Tabel24256789[[#This Row],[Stand heet water liter vorige maand]]</f>
        <v>147.40000000000009</v>
      </c>
      <c r="AW48" s="20">
        <f>Tabel24256789[[#This Row],[Verbruik heet Water liter deze maand ]]/0.15</f>
        <v>982.66666666666731</v>
      </c>
      <c r="AX48" s="4">
        <f>Tabel24256789[[#This Row],[Aantal consumpties heet water deze maand]]+Tabel24256789[[#This Row],[Aantal consumpties licht bruisend water deze maand]]+Tabel24256789[[#This Row],[aantal consumpties Bruisend water deze maand]]+Tabel24256789[[#This Row],[Aantal consumpties gekoeld water deze maand]]+Tabel24256789[[#This Row],[Aantal consumpties Kamertemp deze maand]]</f>
        <v>1990.0000000000002</v>
      </c>
      <c r="AY48" s="4">
        <f>Tabel24256789[[#This Row],[Subtotaal waterbar in consumpties]]+Tabel24256789[[#This Row],[Subtotaal koffieautomaten]]</f>
        <v>1990.0000000000002</v>
      </c>
    </row>
    <row r="49" spans="1:51" x14ac:dyDescent="0.25">
      <c r="A49" t="s">
        <v>58</v>
      </c>
      <c r="B49" t="s">
        <v>97</v>
      </c>
      <c r="C49" t="s">
        <v>31</v>
      </c>
      <c r="E49" s="11">
        <v>3412</v>
      </c>
      <c r="F49" s="11">
        <v>2951</v>
      </c>
      <c r="G49" s="12">
        <f>Tabel24256789[[#This Row],[Stand Coffee einde maand]]-Tabel24256789[[#This Row],[Coffee vorige maand]]</f>
        <v>461</v>
      </c>
      <c r="H49" s="11">
        <v>875</v>
      </c>
      <c r="I49" s="11">
        <v>735</v>
      </c>
      <c r="J49" s="12">
        <f>Tabel24256789[[#This Row],[Stand Espresso Einde maand]]-Tabel24256789[[#This Row],[Espresso vorige maand]]</f>
        <v>140</v>
      </c>
      <c r="K49" s="11">
        <v>437</v>
      </c>
      <c r="L49" s="11">
        <v>356</v>
      </c>
      <c r="M49">
        <f>Tabel24256789[[#This Row],[Stand Latte Macchiato einde maand]]-Tabel24256789[[#This Row],[Latte Macchiato vorige maand]]</f>
        <v>81</v>
      </c>
      <c r="N49" s="11">
        <v>437</v>
      </c>
      <c r="O49" s="11">
        <v>362</v>
      </c>
      <c r="P49">
        <f>Tabel24256789[[#This Row],[Stand Coffee Latte einde maand]]-Tabel24256789[[#This Row],[Coffee Latte vorige maand]]</f>
        <v>75</v>
      </c>
      <c r="Q49" s="11">
        <v>3439</v>
      </c>
      <c r="R49" s="11">
        <v>3015</v>
      </c>
      <c r="S49">
        <f>Tabel24256789[[#This Row],[Stand Hot Water einde maand]]-Tabel24256789[[#This Row],[Hot Water vorige maand]]</f>
        <v>424</v>
      </c>
      <c r="T49" s="11">
        <v>2038</v>
      </c>
      <c r="U49" s="11">
        <v>1759</v>
      </c>
      <c r="V49">
        <f>Tabel24256789[[#This Row],[Stand Cappucino einde maand]]-Tabel24256789[[#This Row],[Stand Cappucino vorige maand]]</f>
        <v>279</v>
      </c>
      <c r="W49" s="11">
        <v>711</v>
      </c>
      <c r="X49" s="11">
        <v>651</v>
      </c>
      <c r="Y49">
        <f>Tabel24256789[[#This Row],[Stand Cappucino Plantaardig einde maand]]-Tabel24256789[[#This Row],[Stand Cappucino Plantaardig vorige maand]]</f>
        <v>60</v>
      </c>
      <c r="Z49" s="11">
        <v>127</v>
      </c>
      <c r="AA49" s="11">
        <v>119</v>
      </c>
      <c r="AB49" s="12">
        <f>Tabel24256789[[#This Row],[Stand Latte Macchiato Plantaardig einde maand]]-Tabel24256789[[#This Row],[Stand Latte Macchiato Plantaardig vorige maand]]</f>
        <v>8</v>
      </c>
      <c r="AC49" s="3">
        <f>Tabel24256789[[#This Row],[Verbruik Stand Latte Macchiato Plantaardig deze maand]]+Tabel24256789[[#This Row],[Verbruik  Cappucino Plantaardig deze maand]]+Tabel24256789[[#This Row],[Verbruik Cappucino deze maand]]+Tabel24256789[[#This Row],[Verbruik Hot Water deze maand]]+Tabel24256789[[#This Row],[Verbruik Coffee Latte deze maand]]+Tabel24256789[[#This Row],[Verbruik Latte Macchiato deze maand]]+Tabel24256789[[#This Row],[Verbruik Espresso deze maand]]+Tabel24256789[[#This Row],[Verbruik Coffee deze maand]]</f>
        <v>1528</v>
      </c>
      <c r="AD49" s="26"/>
      <c r="AE49" s="26"/>
      <c r="AF49" s="5"/>
      <c r="AG49" s="7"/>
      <c r="AH49" s="26"/>
      <c r="AI49" s="26"/>
      <c r="AJ49" s="5"/>
      <c r="AK49" s="7"/>
      <c r="AL49" s="26"/>
      <c r="AM49" s="26"/>
      <c r="AN49" s="5"/>
      <c r="AO49" s="7"/>
      <c r="AP49" s="26"/>
      <c r="AQ49" s="26"/>
      <c r="AR49" s="5"/>
      <c r="AS49" s="7"/>
      <c r="AT49" s="26"/>
      <c r="AU49" s="26"/>
      <c r="AV49" s="5"/>
      <c r="AW49" s="21"/>
      <c r="AX49" s="8">
        <f>Tabel24256789[[#This Row],[Aantal consumpties heet water deze maand]]+Tabel24256789[[#This Row],[Aantal consumpties licht bruisend water deze maand]]+Tabel24256789[[#This Row],[aantal consumpties Bruisend water deze maand]]+Tabel24256789[[#This Row],[Aantal consumpties gekoeld water deze maand]]+Tabel24256789[[#This Row],[Aantal consumpties Kamertemp deze maand]]</f>
        <v>0</v>
      </c>
      <c r="AY49" s="4">
        <f>Tabel24256789[[#This Row],[Subtotaal waterbar in consumpties]]+Tabel24256789[[#This Row],[Subtotaal koffieautomaten]]</f>
        <v>1528</v>
      </c>
    </row>
    <row r="50" spans="1:51" x14ac:dyDescent="0.25">
      <c r="A50" t="s">
        <v>60</v>
      </c>
      <c r="B50" t="s">
        <v>98</v>
      </c>
      <c r="C50" t="s">
        <v>47</v>
      </c>
      <c r="E50" s="11">
        <v>1583</v>
      </c>
      <c r="F50" s="11">
        <v>1425</v>
      </c>
      <c r="G50" s="12">
        <f>Tabel24256789[[#This Row],[Stand Coffee einde maand]]-Tabel24256789[[#This Row],[Coffee vorige maand]]</f>
        <v>158</v>
      </c>
      <c r="H50" s="11">
        <v>491</v>
      </c>
      <c r="I50" s="11">
        <v>434</v>
      </c>
      <c r="J50" s="12">
        <f>Tabel24256789[[#This Row],[Stand Espresso Einde maand]]-Tabel24256789[[#This Row],[Espresso vorige maand]]</f>
        <v>57</v>
      </c>
      <c r="K50" s="11">
        <v>338</v>
      </c>
      <c r="L50" s="11">
        <v>312</v>
      </c>
      <c r="M50">
        <f>Tabel24256789[[#This Row],[Stand Latte Macchiato einde maand]]-Tabel24256789[[#This Row],[Latte Macchiato vorige maand]]</f>
        <v>26</v>
      </c>
      <c r="N50" s="11">
        <v>193</v>
      </c>
      <c r="O50" s="11">
        <v>165</v>
      </c>
      <c r="P50">
        <f>Tabel24256789[[#This Row],[Stand Coffee Latte einde maand]]-Tabel24256789[[#This Row],[Coffee Latte vorige maand]]</f>
        <v>28</v>
      </c>
      <c r="Q50" s="11">
        <v>1</v>
      </c>
      <c r="R50" s="11">
        <v>1</v>
      </c>
      <c r="S50">
        <f>Tabel24256789[[#This Row],[Stand Hot Water einde maand]]-Tabel24256789[[#This Row],[Hot Water vorige maand]]</f>
        <v>0</v>
      </c>
      <c r="T50" s="11">
        <v>1078</v>
      </c>
      <c r="U50" s="11">
        <v>923</v>
      </c>
      <c r="V50">
        <f>Tabel24256789[[#This Row],[Stand Cappucino einde maand]]-Tabel24256789[[#This Row],[Stand Cappucino vorige maand]]</f>
        <v>155</v>
      </c>
      <c r="W50" s="11">
        <v>277</v>
      </c>
      <c r="X50" s="11">
        <v>246</v>
      </c>
      <c r="Y50">
        <f>Tabel24256789[[#This Row],[Stand Cappucino Plantaardig einde maand]]-Tabel24256789[[#This Row],[Stand Cappucino Plantaardig vorige maand]]</f>
        <v>31</v>
      </c>
      <c r="Z50" s="11">
        <v>84</v>
      </c>
      <c r="AA50" s="11">
        <v>79</v>
      </c>
      <c r="AB50" s="12">
        <f>Tabel24256789[[#This Row],[Stand Latte Macchiato Plantaardig einde maand]]-Tabel24256789[[#This Row],[Stand Latte Macchiato Plantaardig vorige maand]]</f>
        <v>5</v>
      </c>
      <c r="AC50" s="3">
        <f>Tabel24256789[[#This Row],[Verbruik Stand Latte Macchiato Plantaardig deze maand]]+Tabel24256789[[#This Row],[Verbruik  Cappucino Plantaardig deze maand]]+Tabel24256789[[#This Row],[Verbruik Cappucino deze maand]]+Tabel24256789[[#This Row],[Verbruik Hot Water deze maand]]+Tabel24256789[[#This Row],[Verbruik Coffee Latte deze maand]]+Tabel24256789[[#This Row],[Verbruik Latte Macchiato deze maand]]+Tabel24256789[[#This Row],[Verbruik Espresso deze maand]]+Tabel24256789[[#This Row],[Verbruik Coffee deze maand]]</f>
        <v>460</v>
      </c>
      <c r="AD50" s="11">
        <v>94.6</v>
      </c>
      <c r="AE50" s="11">
        <v>90.7</v>
      </c>
      <c r="AF50">
        <f>Tabel24256789[[#This Row],[Stand Kamertemp liter einde maand]]-Tabel24256789[[#This Row],[Stand Kamertemp liter vorige maand]]</f>
        <v>3.8999999999999915</v>
      </c>
      <c r="AG50" s="2">
        <f>Tabel24256789[[#This Row],[Verbruik Kamertemp liter deze maand]]/0.15</f>
        <v>25.999999999999943</v>
      </c>
      <c r="AH50" s="11">
        <v>521.9</v>
      </c>
      <c r="AI50" s="11">
        <v>466.6</v>
      </c>
      <c r="AJ50">
        <f>Tabel24256789[[#This Row],[Stand Gekoeld liter einde maand]]-Tabel24256789[[#This Row],[Stand Gekoeld liter vorige maand]]</f>
        <v>55.299999999999955</v>
      </c>
      <c r="AK50" s="2">
        <f>Tabel24256789[[#This Row],[Verbruik Gekoeld liter deze maand]]/0.15</f>
        <v>368.6666666666664</v>
      </c>
      <c r="AL50" s="11">
        <v>272.89999999999998</v>
      </c>
      <c r="AM50" s="11">
        <v>260</v>
      </c>
      <c r="AN50">
        <f>Tabel24256789[[#This Row],[Stand Bruisend liter einde maand]]-Tabel24256789[[#This Row],[Stand Bruisend liter vorige maand]]</f>
        <v>12.899999999999977</v>
      </c>
      <c r="AO50" s="2">
        <f>Tabel24256789[[#This Row],[Verbruik Bruisend liter deze maand]]/0.15</f>
        <v>85.999999999999858</v>
      </c>
      <c r="AP50" s="11">
        <v>115.4</v>
      </c>
      <c r="AQ50" s="11">
        <v>98.2</v>
      </c>
      <c r="AR50">
        <f>Tabel24256789[[#This Row],[Stand licht bruisend liter einde maand]]-Tabel24256789[[#This Row],[Stand licht bruisend liter vorige maand]]</f>
        <v>17.200000000000003</v>
      </c>
      <c r="AS50" s="2">
        <f>Tabel24256789[[#This Row],[Verbruik licht bruisend liter deze maand]]/0.15</f>
        <v>114.66666666666669</v>
      </c>
      <c r="AT50" s="11">
        <v>1520.9</v>
      </c>
      <c r="AU50" s="11">
        <v>1407.3</v>
      </c>
      <c r="AV50">
        <f>Tabel24256789[[#This Row],[Stand heet water liter einde maand]]-Tabel24256789[[#This Row],[Stand heet water liter vorige maand]]</f>
        <v>113.60000000000014</v>
      </c>
      <c r="AW50" s="20">
        <f>Tabel24256789[[#This Row],[Verbruik heet Water liter deze maand ]]/0.15</f>
        <v>757.33333333333428</v>
      </c>
      <c r="AX50" s="4">
        <f>Tabel24256789[[#This Row],[Aantal consumpties heet water deze maand]]+Tabel24256789[[#This Row],[Aantal consumpties licht bruisend water deze maand]]+Tabel24256789[[#This Row],[aantal consumpties Bruisend water deze maand]]+Tabel24256789[[#This Row],[Aantal consumpties gekoeld water deze maand]]+Tabel24256789[[#This Row],[Aantal consumpties Kamertemp deze maand]]</f>
        <v>1352.6666666666672</v>
      </c>
      <c r="AY50" s="4">
        <f>Tabel24256789[[#This Row],[Subtotaal waterbar in consumpties]]+Tabel24256789[[#This Row],[Subtotaal koffieautomaten]]</f>
        <v>1812.6666666666672</v>
      </c>
    </row>
    <row r="51" spans="1:51" x14ac:dyDescent="0.25">
      <c r="A51" s="3" t="s">
        <v>99</v>
      </c>
      <c r="F51" s="11"/>
      <c r="H51" s="11"/>
      <c r="I51" s="11"/>
      <c r="J51" s="12"/>
      <c r="K51" s="11"/>
      <c r="L51" s="11"/>
      <c r="O51" s="11"/>
      <c r="R51" s="11"/>
      <c r="U51" s="11"/>
      <c r="X51" s="11"/>
      <c r="AA51" s="11"/>
      <c r="AC51" s="3">
        <f>Tabel24256789[[#This Row],[Verbruik Stand Latte Macchiato Plantaardig deze maand]]+Tabel24256789[[#This Row],[Verbruik  Cappucino Plantaardig deze maand]]+Tabel24256789[[#This Row],[Verbruik Cappucino deze maand]]+Tabel24256789[[#This Row],[Verbruik Hot Water deze maand]]+Tabel24256789[[#This Row],[Verbruik Coffee Latte deze maand]]+Tabel24256789[[#This Row],[Verbruik Latte Macchiato deze maand]]+Tabel24256789[[#This Row],[Verbruik Espresso deze maand]]+Tabel24256789[[#This Row],[Verbruik Coffee deze maand]]</f>
        <v>0</v>
      </c>
      <c r="AE51" s="11"/>
      <c r="AG51" s="2"/>
      <c r="AI51" s="11"/>
      <c r="AK51" s="2"/>
      <c r="AM51" s="11"/>
      <c r="AO51" s="2"/>
      <c r="AQ51" s="11"/>
      <c r="AS51" s="2"/>
      <c r="AU51" s="11"/>
      <c r="AV51">
        <f>Tabel24256789[[#This Row],[Stand heet water liter einde maand]]-Tabel24256789[[#This Row],[Stand heet water liter vorige maand]]</f>
        <v>0</v>
      </c>
      <c r="AW51" s="20">
        <f>Tabel24256789[[#This Row],[Verbruik heet Water liter deze maand ]]/0.15</f>
        <v>0</v>
      </c>
      <c r="AX51" s="4"/>
      <c r="AY51" s="4">
        <f>Tabel24256789[[#This Row],[Subtotaal waterbar in consumpties]]+Tabel24256789[[#This Row],[Subtotaal koffieautomaten]]</f>
        <v>0</v>
      </c>
    </row>
    <row r="52" spans="1:51" x14ac:dyDescent="0.25">
      <c r="A52" t="s">
        <v>43</v>
      </c>
      <c r="B52" t="s">
        <v>100</v>
      </c>
      <c r="C52" t="s">
        <v>31</v>
      </c>
      <c r="E52" s="11">
        <v>2890</v>
      </c>
      <c r="F52" s="11">
        <v>2475</v>
      </c>
      <c r="G52" s="12">
        <f>Tabel24256789[[#This Row],[Stand Coffee einde maand]]-Tabel24256789[[#This Row],[Coffee vorige maand]]</f>
        <v>415</v>
      </c>
      <c r="H52" s="11">
        <v>824</v>
      </c>
      <c r="I52" s="11">
        <v>794</v>
      </c>
      <c r="J52" s="12">
        <f>Tabel24256789[[#This Row],[Stand Espresso Einde maand]]-Tabel24256789[[#This Row],[Espresso vorige maand]]</f>
        <v>30</v>
      </c>
      <c r="K52" s="11">
        <v>411</v>
      </c>
      <c r="L52" s="11">
        <v>364</v>
      </c>
      <c r="M52">
        <f>Tabel24256789[[#This Row],[Stand Latte Macchiato einde maand]]-Tabel24256789[[#This Row],[Latte Macchiato vorige maand]]</f>
        <v>47</v>
      </c>
      <c r="N52" s="11">
        <v>225</v>
      </c>
      <c r="O52" s="11">
        <v>205</v>
      </c>
      <c r="P52">
        <f>Tabel24256789[[#This Row],[Stand Coffee Latte einde maand]]-Tabel24256789[[#This Row],[Coffee Latte vorige maand]]</f>
        <v>20</v>
      </c>
      <c r="Q52" s="11">
        <v>7577</v>
      </c>
      <c r="R52" s="11">
        <v>6449</v>
      </c>
      <c r="S52">
        <f>Tabel24256789[[#This Row],[Stand Hot Water einde maand]]-Tabel24256789[[#This Row],[Hot Water vorige maand]]</f>
        <v>1128</v>
      </c>
      <c r="T52" s="11">
        <v>932</v>
      </c>
      <c r="U52" s="11">
        <v>781</v>
      </c>
      <c r="V52">
        <f>Tabel24256789[[#This Row],[Stand Cappucino einde maand]]-Tabel24256789[[#This Row],[Stand Cappucino vorige maand]]</f>
        <v>151</v>
      </c>
      <c r="W52" s="11">
        <v>221</v>
      </c>
      <c r="X52" s="11">
        <v>189</v>
      </c>
      <c r="Y52">
        <f>Tabel24256789[[#This Row],[Stand Cappucino Plantaardig einde maand]]-Tabel24256789[[#This Row],[Stand Cappucino Plantaardig vorige maand]]</f>
        <v>32</v>
      </c>
      <c r="Z52" s="11">
        <v>90</v>
      </c>
      <c r="AA52" s="11">
        <v>87</v>
      </c>
      <c r="AB52" s="12">
        <f>Tabel24256789[[#This Row],[Stand Latte Macchiato Plantaardig einde maand]]-Tabel24256789[[#This Row],[Stand Latte Macchiato Plantaardig vorige maand]]</f>
        <v>3</v>
      </c>
      <c r="AC52" s="3">
        <f>Tabel24256789[[#This Row],[Verbruik Stand Latte Macchiato Plantaardig deze maand]]+Tabel24256789[[#This Row],[Verbruik  Cappucino Plantaardig deze maand]]+Tabel24256789[[#This Row],[Verbruik Cappucino deze maand]]+Tabel24256789[[#This Row],[Verbruik Hot Water deze maand]]+Tabel24256789[[#This Row],[Verbruik Coffee Latte deze maand]]+Tabel24256789[[#This Row],[Verbruik Latte Macchiato deze maand]]+Tabel24256789[[#This Row],[Verbruik Espresso deze maand]]+Tabel24256789[[#This Row],[Verbruik Coffee deze maand]]</f>
        <v>1826</v>
      </c>
      <c r="AD52" s="26"/>
      <c r="AE52" s="26"/>
      <c r="AF52" s="5"/>
      <c r="AG52" s="7"/>
      <c r="AH52" s="26"/>
      <c r="AI52" s="26"/>
      <c r="AJ52" s="5"/>
      <c r="AK52" s="7"/>
      <c r="AL52" s="26"/>
      <c r="AM52" s="26"/>
      <c r="AN52" s="5"/>
      <c r="AO52" s="7"/>
      <c r="AP52" s="26"/>
      <c r="AQ52" s="26"/>
      <c r="AR52" s="5"/>
      <c r="AS52" s="7"/>
      <c r="AT52" s="26"/>
      <c r="AU52" s="26"/>
      <c r="AV52" s="5"/>
      <c r="AW52" s="21"/>
      <c r="AX52" s="8"/>
      <c r="AY52" s="4">
        <f>Tabel24256789[[#This Row],[Subtotaal waterbar in consumpties]]+Tabel24256789[[#This Row],[Subtotaal koffieautomaten]]</f>
        <v>1826</v>
      </c>
    </row>
    <row r="53" spans="1:51" x14ac:dyDescent="0.25">
      <c r="A53" t="s">
        <v>45</v>
      </c>
      <c r="B53" t="s">
        <v>101</v>
      </c>
      <c r="C53" t="s">
        <v>47</v>
      </c>
      <c r="E53" s="11">
        <v>2783</v>
      </c>
      <c r="F53" s="11">
        <v>2489</v>
      </c>
      <c r="G53" s="12">
        <f>Tabel24256789[[#This Row],[Stand Coffee einde maand]]-Tabel24256789[[#This Row],[Coffee vorige maand]]</f>
        <v>294</v>
      </c>
      <c r="H53" s="11">
        <v>982</v>
      </c>
      <c r="I53" s="11">
        <v>869</v>
      </c>
      <c r="J53" s="12">
        <f>Tabel24256789[[#This Row],[Stand Espresso Einde maand]]-Tabel24256789[[#This Row],[Espresso vorige maand]]</f>
        <v>113</v>
      </c>
      <c r="K53" s="11">
        <v>240</v>
      </c>
      <c r="L53" s="11">
        <v>207</v>
      </c>
      <c r="M53">
        <f>Tabel24256789[[#This Row],[Stand Latte Macchiato einde maand]]-Tabel24256789[[#This Row],[Latte Macchiato vorige maand]]</f>
        <v>33</v>
      </c>
      <c r="N53" s="11">
        <v>242</v>
      </c>
      <c r="O53" s="11">
        <v>218</v>
      </c>
      <c r="P53">
        <f>Tabel24256789[[#This Row],[Stand Coffee Latte einde maand]]-Tabel24256789[[#This Row],[Coffee Latte vorige maand]]</f>
        <v>24</v>
      </c>
      <c r="Q53" s="11">
        <v>1</v>
      </c>
      <c r="R53" s="11">
        <v>1</v>
      </c>
      <c r="S53">
        <f>Tabel24256789[[#This Row],[Stand Hot Water einde maand]]-Tabel24256789[[#This Row],[Hot Water vorige maand]]</f>
        <v>0</v>
      </c>
      <c r="T53" s="11">
        <v>1303</v>
      </c>
      <c r="U53" s="11">
        <v>1118</v>
      </c>
      <c r="V53">
        <f>Tabel24256789[[#This Row],[Stand Cappucino einde maand]]-Tabel24256789[[#This Row],[Stand Cappucino vorige maand]]</f>
        <v>185</v>
      </c>
      <c r="W53" s="11">
        <v>312</v>
      </c>
      <c r="X53" s="11">
        <v>277</v>
      </c>
      <c r="Y53">
        <f>Tabel24256789[[#This Row],[Stand Cappucino Plantaardig einde maand]]-Tabel24256789[[#This Row],[Stand Cappucino Plantaardig vorige maand]]</f>
        <v>35</v>
      </c>
      <c r="Z53" s="11">
        <v>115</v>
      </c>
      <c r="AA53" s="11">
        <v>101</v>
      </c>
      <c r="AB53" s="12">
        <f>Tabel24256789[[#This Row],[Stand Latte Macchiato Plantaardig einde maand]]-Tabel24256789[[#This Row],[Stand Latte Macchiato Plantaardig vorige maand]]</f>
        <v>14</v>
      </c>
      <c r="AC53" s="3">
        <f>Tabel24256789[[#This Row],[Verbruik Stand Latte Macchiato Plantaardig deze maand]]+Tabel24256789[[#This Row],[Verbruik  Cappucino Plantaardig deze maand]]+Tabel24256789[[#This Row],[Verbruik Cappucino deze maand]]+Tabel24256789[[#This Row],[Verbruik Hot Water deze maand]]+Tabel24256789[[#This Row],[Verbruik Coffee Latte deze maand]]+Tabel24256789[[#This Row],[Verbruik Latte Macchiato deze maand]]+Tabel24256789[[#This Row],[Verbruik Espresso deze maand]]+Tabel24256789[[#This Row],[Verbruik Coffee deze maand]]</f>
        <v>698</v>
      </c>
      <c r="AD53" s="11">
        <v>149.1</v>
      </c>
      <c r="AE53" s="11">
        <v>139.6</v>
      </c>
      <c r="AF53">
        <f>Tabel24256789[[#This Row],[Stand Kamertemp liter einde maand]]-Tabel24256789[[#This Row],[Stand Kamertemp liter vorige maand]]</f>
        <v>9.5</v>
      </c>
      <c r="AG53" s="2">
        <f>Tabel24256789[[#This Row],[Verbruik Kamertemp liter deze maand]]/0.15</f>
        <v>63.333333333333336</v>
      </c>
      <c r="AH53" s="11">
        <v>696</v>
      </c>
      <c r="AI53" s="11">
        <v>631</v>
      </c>
      <c r="AJ53">
        <f>Tabel24256789[[#This Row],[Stand Gekoeld liter einde maand]]-Tabel24256789[[#This Row],[Stand Gekoeld liter vorige maand]]</f>
        <v>65</v>
      </c>
      <c r="AK53" s="2">
        <f>Tabel24256789[[#This Row],[Verbruik Gekoeld liter deze maand]]/0.15</f>
        <v>433.33333333333337</v>
      </c>
      <c r="AL53" s="11">
        <v>951</v>
      </c>
      <c r="AM53" s="11">
        <v>868.2</v>
      </c>
      <c r="AN53">
        <f>Tabel24256789[[#This Row],[Stand Bruisend liter einde maand]]-Tabel24256789[[#This Row],[Stand Bruisend liter vorige maand]]</f>
        <v>82.799999999999955</v>
      </c>
      <c r="AO53" s="2">
        <f>Tabel24256789[[#This Row],[Verbruik Bruisend liter deze maand]]/0.15</f>
        <v>551.99999999999977</v>
      </c>
      <c r="AP53" s="11">
        <v>341.8</v>
      </c>
      <c r="AQ53" s="11">
        <v>311.3</v>
      </c>
      <c r="AR53">
        <f>Tabel24256789[[#This Row],[Stand licht bruisend liter einde maand]]-Tabel24256789[[#This Row],[Stand licht bruisend liter vorige maand]]</f>
        <v>30.5</v>
      </c>
      <c r="AS53" s="2">
        <f>Tabel24256789[[#This Row],[Verbruik licht bruisend liter deze maand]]/0.15</f>
        <v>203.33333333333334</v>
      </c>
      <c r="AT53" s="11">
        <v>2112</v>
      </c>
      <c r="AU53" s="11">
        <v>1958.5</v>
      </c>
      <c r="AV53">
        <f>Tabel24256789[[#This Row],[Stand heet water liter einde maand]]-Tabel24256789[[#This Row],[Stand heet water liter vorige maand]]</f>
        <v>153.5</v>
      </c>
      <c r="AW53" s="20">
        <f>Tabel24256789[[#This Row],[Verbruik heet Water liter deze maand ]]/0.15</f>
        <v>1023.3333333333334</v>
      </c>
      <c r="AX53" s="4">
        <f>Tabel24256789[[#This Row],[Aantal consumpties heet water deze maand]]+Tabel24256789[[#This Row],[Aantal consumpties licht bruisend water deze maand]]+Tabel24256789[[#This Row],[aantal consumpties Bruisend water deze maand]]+Tabel24256789[[#This Row],[Aantal consumpties gekoeld water deze maand]]+Tabel24256789[[#This Row],[Aantal consumpties Kamertemp deze maand]]</f>
        <v>2275.3333333333335</v>
      </c>
      <c r="AY53" s="4">
        <f>Tabel24256789[[#This Row],[Subtotaal waterbar in consumpties]]+Tabel24256789[[#This Row],[Subtotaal koffieautomaten]]</f>
        <v>2973.3333333333335</v>
      </c>
    </row>
    <row r="54" spans="1:51" x14ac:dyDescent="0.25">
      <c r="A54" t="s">
        <v>48</v>
      </c>
      <c r="B54" t="s">
        <v>102</v>
      </c>
      <c r="C54" t="s">
        <v>31</v>
      </c>
      <c r="E54" s="11">
        <v>1956</v>
      </c>
      <c r="F54" s="11">
        <v>1634</v>
      </c>
      <c r="G54" s="12">
        <f>Tabel24256789[[#This Row],[Stand Coffee einde maand]]-Tabel24256789[[#This Row],[Coffee vorige maand]]</f>
        <v>322</v>
      </c>
      <c r="H54" s="11">
        <v>388</v>
      </c>
      <c r="I54" s="11">
        <v>233</v>
      </c>
      <c r="J54" s="12">
        <f>Tabel24256789[[#This Row],[Stand Espresso Einde maand]]-Tabel24256789[[#This Row],[Espresso vorige maand]]</f>
        <v>155</v>
      </c>
      <c r="K54" s="11">
        <v>83</v>
      </c>
      <c r="L54" s="11">
        <v>75</v>
      </c>
      <c r="M54">
        <f>Tabel24256789[[#This Row],[Stand Latte Macchiato einde maand]]-Tabel24256789[[#This Row],[Latte Macchiato vorige maand]]</f>
        <v>8</v>
      </c>
      <c r="N54" s="11">
        <v>144</v>
      </c>
      <c r="O54" s="11">
        <v>121</v>
      </c>
      <c r="P54">
        <f>Tabel24256789[[#This Row],[Stand Coffee Latte einde maand]]-Tabel24256789[[#This Row],[Coffee Latte vorige maand]]</f>
        <v>23</v>
      </c>
      <c r="Q54" s="11">
        <v>4509</v>
      </c>
      <c r="R54" s="11">
        <v>3821</v>
      </c>
      <c r="S54">
        <f>Tabel24256789[[#This Row],[Stand Hot Water einde maand]]-Tabel24256789[[#This Row],[Hot Water vorige maand]]</f>
        <v>688</v>
      </c>
      <c r="T54" s="11">
        <v>877</v>
      </c>
      <c r="U54" s="11">
        <v>740</v>
      </c>
      <c r="V54">
        <f>Tabel24256789[[#This Row],[Stand Cappucino einde maand]]-Tabel24256789[[#This Row],[Stand Cappucino vorige maand]]</f>
        <v>137</v>
      </c>
      <c r="W54" s="11">
        <v>708</v>
      </c>
      <c r="X54" s="11">
        <v>599</v>
      </c>
      <c r="Y54">
        <f>Tabel24256789[[#This Row],[Stand Cappucino Plantaardig einde maand]]-Tabel24256789[[#This Row],[Stand Cappucino Plantaardig vorige maand]]</f>
        <v>109</v>
      </c>
      <c r="Z54" s="11">
        <v>63</v>
      </c>
      <c r="AA54" s="11">
        <v>59</v>
      </c>
      <c r="AB54" s="12">
        <f>Tabel24256789[[#This Row],[Stand Latte Macchiato Plantaardig einde maand]]-Tabel24256789[[#This Row],[Stand Latte Macchiato Plantaardig vorige maand]]</f>
        <v>4</v>
      </c>
      <c r="AC54" s="3">
        <f>Tabel24256789[[#This Row],[Verbruik Stand Latte Macchiato Plantaardig deze maand]]+Tabel24256789[[#This Row],[Verbruik  Cappucino Plantaardig deze maand]]+Tabel24256789[[#This Row],[Verbruik Cappucino deze maand]]+Tabel24256789[[#This Row],[Verbruik Hot Water deze maand]]+Tabel24256789[[#This Row],[Verbruik Coffee Latte deze maand]]+Tabel24256789[[#This Row],[Verbruik Latte Macchiato deze maand]]+Tabel24256789[[#This Row],[Verbruik Espresso deze maand]]+Tabel24256789[[#This Row],[Verbruik Coffee deze maand]]</f>
        <v>1446</v>
      </c>
      <c r="AD54" s="26"/>
      <c r="AE54" s="26"/>
      <c r="AF54" s="5"/>
      <c r="AG54" s="7"/>
      <c r="AH54" s="26"/>
      <c r="AI54" s="26"/>
      <c r="AJ54" s="5"/>
      <c r="AK54" s="7"/>
      <c r="AL54" s="26"/>
      <c r="AM54" s="26"/>
      <c r="AN54" s="5"/>
      <c r="AO54" s="7"/>
      <c r="AP54" s="26"/>
      <c r="AQ54" s="26"/>
      <c r="AR54" s="5"/>
      <c r="AS54" s="7"/>
      <c r="AT54" s="26"/>
      <c r="AU54" s="26"/>
      <c r="AV54" s="5"/>
      <c r="AW54" s="21"/>
      <c r="AX54" s="8"/>
      <c r="AY54" s="4">
        <f>Tabel24256789[[#This Row],[Subtotaal waterbar in consumpties]]+Tabel24256789[[#This Row],[Subtotaal koffieautomaten]]</f>
        <v>1446</v>
      </c>
    </row>
    <row r="55" spans="1:51" x14ac:dyDescent="0.25">
      <c r="A55" t="s">
        <v>50</v>
      </c>
      <c r="B55" t="s">
        <v>103</v>
      </c>
      <c r="C55" t="s">
        <v>47</v>
      </c>
      <c r="E55" s="11">
        <v>3210</v>
      </c>
      <c r="F55" s="11">
        <v>2835</v>
      </c>
      <c r="G55" s="12">
        <f>Tabel24256789[[#This Row],[Stand Coffee einde maand]]-Tabel24256789[[#This Row],[Coffee vorige maand]]</f>
        <v>375</v>
      </c>
      <c r="H55" s="11">
        <v>1598</v>
      </c>
      <c r="I55" s="11">
        <v>1510</v>
      </c>
      <c r="J55" s="12">
        <f>Tabel24256789[[#This Row],[Stand Espresso Einde maand]]-Tabel24256789[[#This Row],[Espresso vorige maand]]</f>
        <v>88</v>
      </c>
      <c r="K55" s="11">
        <v>154</v>
      </c>
      <c r="L55" s="11">
        <v>137</v>
      </c>
      <c r="M55">
        <f>Tabel24256789[[#This Row],[Stand Latte Macchiato einde maand]]-Tabel24256789[[#This Row],[Latte Macchiato vorige maand]]</f>
        <v>17</v>
      </c>
      <c r="N55" s="11">
        <v>49</v>
      </c>
      <c r="O55" s="11">
        <v>45</v>
      </c>
      <c r="P55">
        <f>Tabel24256789[[#This Row],[Stand Coffee Latte einde maand]]-Tabel24256789[[#This Row],[Coffee Latte vorige maand]]</f>
        <v>4</v>
      </c>
      <c r="Q55" s="11">
        <v>1</v>
      </c>
      <c r="R55" s="11">
        <v>1</v>
      </c>
      <c r="S55">
        <f>Tabel24256789[[#This Row],[Stand Hot Water einde maand]]-Tabel24256789[[#This Row],[Hot Water vorige maand]]</f>
        <v>0</v>
      </c>
      <c r="T55" s="11">
        <v>3131</v>
      </c>
      <c r="U55" s="11">
        <v>2783</v>
      </c>
      <c r="V55">
        <f>Tabel24256789[[#This Row],[Stand Cappucino einde maand]]-Tabel24256789[[#This Row],[Stand Cappucino vorige maand]]</f>
        <v>348</v>
      </c>
      <c r="W55" s="11">
        <v>261</v>
      </c>
      <c r="X55" s="11">
        <v>241</v>
      </c>
      <c r="Y55">
        <f>Tabel24256789[[#This Row],[Stand Cappucino Plantaardig einde maand]]-Tabel24256789[[#This Row],[Stand Cappucino Plantaardig vorige maand]]</f>
        <v>20</v>
      </c>
      <c r="Z55" s="11">
        <v>62</v>
      </c>
      <c r="AA55" s="11">
        <v>50</v>
      </c>
      <c r="AB55" s="12">
        <f>Tabel24256789[[#This Row],[Stand Latte Macchiato Plantaardig einde maand]]-Tabel24256789[[#This Row],[Stand Latte Macchiato Plantaardig vorige maand]]</f>
        <v>12</v>
      </c>
      <c r="AC55" s="3">
        <f>Tabel24256789[[#This Row],[Verbruik Stand Latte Macchiato Plantaardig deze maand]]+Tabel24256789[[#This Row],[Verbruik  Cappucino Plantaardig deze maand]]+Tabel24256789[[#This Row],[Verbruik Cappucino deze maand]]+Tabel24256789[[#This Row],[Verbruik Hot Water deze maand]]+Tabel24256789[[#This Row],[Verbruik Coffee Latte deze maand]]+Tabel24256789[[#This Row],[Verbruik Latte Macchiato deze maand]]+Tabel24256789[[#This Row],[Verbruik Espresso deze maand]]+Tabel24256789[[#This Row],[Verbruik Coffee deze maand]]</f>
        <v>864</v>
      </c>
      <c r="AD55" s="11">
        <v>122.4</v>
      </c>
      <c r="AE55" s="11">
        <v>116.4</v>
      </c>
      <c r="AF55">
        <f>Tabel24256789[[#This Row],[Stand Kamertemp liter einde maand]]-Tabel24256789[[#This Row],[Stand Kamertemp liter vorige maand]]</f>
        <v>6</v>
      </c>
      <c r="AG55" s="2">
        <f>Tabel24256789[[#This Row],[Verbruik Kamertemp liter deze maand]]/0.15</f>
        <v>40</v>
      </c>
      <c r="AH55" s="11">
        <v>362.5</v>
      </c>
      <c r="AI55" s="11">
        <v>329.6</v>
      </c>
      <c r="AJ55">
        <f>Tabel24256789[[#This Row],[Stand Gekoeld liter einde maand]]-Tabel24256789[[#This Row],[Stand Gekoeld liter vorige maand]]</f>
        <v>32.899999999999977</v>
      </c>
      <c r="AK55" s="2">
        <f>Tabel24256789[[#This Row],[Verbruik Gekoeld liter deze maand]]/0.15</f>
        <v>219.3333333333332</v>
      </c>
      <c r="AL55" s="11">
        <v>759.3</v>
      </c>
      <c r="AM55" s="11">
        <v>673.7</v>
      </c>
      <c r="AN55">
        <f>Tabel24256789[[#This Row],[Stand Bruisend liter einde maand]]-Tabel24256789[[#This Row],[Stand Bruisend liter vorige maand]]</f>
        <v>85.599999999999909</v>
      </c>
      <c r="AO55" s="2">
        <f>Tabel24256789[[#This Row],[Verbruik Bruisend liter deze maand]]/0.15</f>
        <v>570.66666666666606</v>
      </c>
      <c r="AP55" s="11">
        <v>272.39999999999998</v>
      </c>
      <c r="AQ55" s="11">
        <v>245.4</v>
      </c>
      <c r="AR55">
        <f>Tabel24256789[[#This Row],[Stand licht bruisend liter einde maand]]-Tabel24256789[[#This Row],[Stand licht bruisend liter vorige maand]]</f>
        <v>26.999999999999972</v>
      </c>
      <c r="AS55" s="2">
        <f>Tabel24256789[[#This Row],[Verbruik licht bruisend liter deze maand]]/0.15</f>
        <v>179.99999999999983</v>
      </c>
      <c r="AT55" s="11">
        <v>1822.1</v>
      </c>
      <c r="AU55" s="11">
        <v>1654.8</v>
      </c>
      <c r="AV55">
        <f>Tabel24256789[[#This Row],[Stand heet water liter einde maand]]-Tabel24256789[[#This Row],[Stand heet water liter vorige maand]]</f>
        <v>167.29999999999995</v>
      </c>
      <c r="AW55" s="20">
        <f>Tabel24256789[[#This Row],[Verbruik heet Water liter deze maand ]]/0.15</f>
        <v>1115.333333333333</v>
      </c>
      <c r="AX55" s="4">
        <f>Tabel24256789[[#This Row],[Aantal consumpties heet water deze maand]]+Tabel24256789[[#This Row],[Aantal consumpties licht bruisend water deze maand]]+Tabel24256789[[#This Row],[aantal consumpties Bruisend water deze maand]]+Tabel24256789[[#This Row],[Aantal consumpties gekoeld water deze maand]]+Tabel24256789[[#This Row],[Aantal consumpties Kamertemp deze maand]]</f>
        <v>2125.3333333333321</v>
      </c>
      <c r="AY55" s="4">
        <f>Tabel24256789[[#This Row],[Subtotaal waterbar in consumpties]]+Tabel24256789[[#This Row],[Subtotaal koffieautomaten]]</f>
        <v>2989.3333333333321</v>
      </c>
    </row>
    <row r="56" spans="1:51" x14ac:dyDescent="0.25">
      <c r="A56" t="s">
        <v>52</v>
      </c>
      <c r="B56" t="s">
        <v>104</v>
      </c>
      <c r="C56" t="s">
        <v>36</v>
      </c>
      <c r="E56" s="42"/>
      <c r="F56" s="43"/>
      <c r="G56" s="43"/>
      <c r="H56" s="42"/>
      <c r="I56" s="43"/>
      <c r="J56" s="43"/>
      <c r="K56" s="42"/>
      <c r="L56" s="43"/>
      <c r="M56" s="43"/>
      <c r="N56" s="42"/>
      <c r="O56" s="43"/>
      <c r="P56" s="43"/>
      <c r="Q56" s="42"/>
      <c r="R56" s="43"/>
      <c r="S56" s="43"/>
      <c r="T56" s="42"/>
      <c r="U56" s="43"/>
      <c r="V56" s="43"/>
      <c r="W56" s="42"/>
      <c r="X56" s="43"/>
      <c r="Y56" s="43"/>
      <c r="Z56" s="42"/>
      <c r="AA56" s="43"/>
      <c r="AB56" s="43"/>
      <c r="AC56" s="43"/>
      <c r="AD56" s="11">
        <v>60.3</v>
      </c>
      <c r="AE56" s="11">
        <v>58.9</v>
      </c>
      <c r="AF56">
        <f>Tabel24256789[[#This Row],[Stand Kamertemp liter einde maand]]-Tabel24256789[[#This Row],[Stand Kamertemp liter vorige maand]]</f>
        <v>1.3999999999999986</v>
      </c>
      <c r="AG56" s="2">
        <f>Tabel24256789[[#This Row],[Verbruik Kamertemp liter deze maand]]/0.15</f>
        <v>9.333333333333325</v>
      </c>
      <c r="AH56" s="11">
        <v>419</v>
      </c>
      <c r="AI56" s="11">
        <v>356.2</v>
      </c>
      <c r="AJ56">
        <f>Tabel24256789[[#This Row],[Stand Gekoeld liter einde maand]]-Tabel24256789[[#This Row],[Stand Gekoeld liter vorige maand]]</f>
        <v>62.800000000000011</v>
      </c>
      <c r="AK56" s="2">
        <f>Tabel24256789[[#This Row],[Verbruik Gekoeld liter deze maand]]/0.15</f>
        <v>418.66666666666674</v>
      </c>
      <c r="AL56" s="11">
        <v>492.4</v>
      </c>
      <c r="AM56" s="11">
        <v>462.6</v>
      </c>
      <c r="AN56">
        <f>Tabel24256789[[#This Row],[Stand Bruisend liter einde maand]]-Tabel24256789[[#This Row],[Stand Bruisend liter vorige maand]]</f>
        <v>29.799999999999955</v>
      </c>
      <c r="AO56" s="2">
        <f>Tabel24256789[[#This Row],[Verbruik Bruisend liter deze maand]]/0.15</f>
        <v>198.66666666666637</v>
      </c>
      <c r="AP56" s="11">
        <v>469.9</v>
      </c>
      <c r="AQ56" s="11">
        <v>439</v>
      </c>
      <c r="AR56">
        <f>Tabel24256789[[#This Row],[Stand licht bruisend liter einde maand]]-Tabel24256789[[#This Row],[Stand licht bruisend liter vorige maand]]</f>
        <v>30.899999999999977</v>
      </c>
      <c r="AS56" s="2">
        <f>Tabel24256789[[#This Row],[Verbruik licht bruisend liter deze maand]]/0.15</f>
        <v>205.99999999999986</v>
      </c>
      <c r="AT56" s="11">
        <v>2467.3000000000002</v>
      </c>
      <c r="AU56" s="11">
        <v>2316.1</v>
      </c>
      <c r="AV56">
        <f>Tabel24256789[[#This Row],[Stand heet water liter einde maand]]-Tabel24256789[[#This Row],[Stand heet water liter vorige maand]]</f>
        <v>151.20000000000027</v>
      </c>
      <c r="AW56" s="20">
        <f>Tabel24256789[[#This Row],[Verbruik heet Water liter deze maand ]]/0.15</f>
        <v>1008.0000000000018</v>
      </c>
      <c r="AX56" s="4">
        <f>Tabel24256789[[#This Row],[Aantal consumpties heet water deze maand]]+Tabel24256789[[#This Row],[Aantal consumpties licht bruisend water deze maand]]+Tabel24256789[[#This Row],[aantal consumpties Bruisend water deze maand]]+Tabel24256789[[#This Row],[Aantal consumpties gekoeld water deze maand]]+Tabel24256789[[#This Row],[Aantal consumpties Kamertemp deze maand]]</f>
        <v>1840.6666666666679</v>
      </c>
      <c r="AY56" s="4">
        <f>Tabel24256789[[#This Row],[Subtotaal waterbar in consumpties]]+Tabel24256789[[#This Row],[Subtotaal koffieautomaten]]</f>
        <v>1840.6666666666679</v>
      </c>
    </row>
    <row r="57" spans="1:51" x14ac:dyDescent="0.25">
      <c r="A57" t="s">
        <v>54</v>
      </c>
      <c r="B57" t="s">
        <v>105</v>
      </c>
      <c r="C57" t="s">
        <v>31</v>
      </c>
      <c r="E57" s="11">
        <v>2395</v>
      </c>
      <c r="F57" s="11">
        <v>2154</v>
      </c>
      <c r="G57" s="12">
        <f>Tabel24256789[[#This Row],[Stand Coffee einde maand]]-Tabel24256789[[#This Row],[Coffee vorige maand]]</f>
        <v>241</v>
      </c>
      <c r="H57" s="11">
        <v>1333</v>
      </c>
      <c r="I57" s="11">
        <v>1169</v>
      </c>
      <c r="J57" s="12">
        <f>Tabel24256789[[#This Row],[Stand Espresso Einde maand]]-Tabel24256789[[#This Row],[Espresso vorige maand]]</f>
        <v>164</v>
      </c>
      <c r="K57" s="11">
        <v>757</v>
      </c>
      <c r="L57" s="11">
        <v>673</v>
      </c>
      <c r="M57">
        <f>Tabel24256789[[#This Row],[Stand Latte Macchiato einde maand]]-Tabel24256789[[#This Row],[Latte Macchiato vorige maand]]</f>
        <v>84</v>
      </c>
      <c r="N57" s="11">
        <v>108</v>
      </c>
      <c r="O57" s="11">
        <v>108</v>
      </c>
      <c r="P57">
        <f>Tabel24256789[[#This Row],[Stand Coffee Latte einde maand]]-Tabel24256789[[#This Row],[Coffee Latte vorige maand]]</f>
        <v>0</v>
      </c>
      <c r="Q57" s="11">
        <v>8123</v>
      </c>
      <c r="R57" s="11">
        <v>7281</v>
      </c>
      <c r="S57">
        <f>Tabel24256789[[#This Row],[Stand Hot Water einde maand]]-Tabel24256789[[#This Row],[Hot Water vorige maand]]</f>
        <v>842</v>
      </c>
      <c r="T57" s="11">
        <v>2032</v>
      </c>
      <c r="U57" s="11">
        <v>1792</v>
      </c>
      <c r="V57">
        <f>Tabel24256789[[#This Row],[Stand Cappucino einde maand]]-Tabel24256789[[#This Row],[Stand Cappucino vorige maand]]</f>
        <v>240</v>
      </c>
      <c r="W57" s="11">
        <v>451</v>
      </c>
      <c r="X57" s="11">
        <v>394</v>
      </c>
      <c r="Y57">
        <f>Tabel24256789[[#This Row],[Stand Cappucino Plantaardig einde maand]]-Tabel24256789[[#This Row],[Stand Cappucino Plantaardig vorige maand]]</f>
        <v>57</v>
      </c>
      <c r="Z57" s="11">
        <v>49</v>
      </c>
      <c r="AA57" s="11">
        <v>44</v>
      </c>
      <c r="AB57" s="12">
        <f>Tabel24256789[[#This Row],[Stand Latte Macchiato Plantaardig einde maand]]-Tabel24256789[[#This Row],[Stand Latte Macchiato Plantaardig vorige maand]]</f>
        <v>5</v>
      </c>
      <c r="AC57" s="3">
        <f>Tabel24256789[[#This Row],[Verbruik Stand Latte Macchiato Plantaardig deze maand]]+Tabel24256789[[#This Row],[Verbruik  Cappucino Plantaardig deze maand]]+Tabel24256789[[#This Row],[Verbruik Cappucino deze maand]]+Tabel24256789[[#This Row],[Verbruik Hot Water deze maand]]+Tabel24256789[[#This Row],[Verbruik Coffee Latte deze maand]]+Tabel24256789[[#This Row],[Verbruik Latte Macchiato deze maand]]+Tabel24256789[[#This Row],[Verbruik Espresso deze maand]]+Tabel24256789[[#This Row],[Verbruik Coffee deze maand]]</f>
        <v>1633</v>
      </c>
      <c r="AD57" s="26"/>
      <c r="AE57" s="26"/>
      <c r="AF57" s="5"/>
      <c r="AG57" s="7"/>
      <c r="AH57" s="26"/>
      <c r="AI57" s="26"/>
      <c r="AJ57" s="5"/>
      <c r="AK57" s="7"/>
      <c r="AL57" s="26"/>
      <c r="AM57" s="26"/>
      <c r="AN57" s="5"/>
      <c r="AO57" s="7"/>
      <c r="AP57" s="26"/>
      <c r="AQ57" s="26"/>
      <c r="AR57" s="5"/>
      <c r="AS57" s="7"/>
      <c r="AT57" s="26"/>
      <c r="AU57" s="26"/>
      <c r="AV57" s="5"/>
      <c r="AW57" s="21"/>
      <c r="AX57" s="8"/>
      <c r="AY57" s="4">
        <f>Tabel24256789[[#This Row],[Subtotaal waterbar in consumpties]]+Tabel24256789[[#This Row],[Subtotaal koffieautomaten]]</f>
        <v>1633</v>
      </c>
    </row>
    <row r="58" spans="1:51" x14ac:dyDescent="0.25">
      <c r="A58" t="s">
        <v>56</v>
      </c>
      <c r="B58" t="s">
        <v>106</v>
      </c>
      <c r="C58" t="s">
        <v>47</v>
      </c>
      <c r="E58" s="11">
        <v>3331</v>
      </c>
      <c r="F58" s="11">
        <v>2974</v>
      </c>
      <c r="G58" s="12">
        <f>Tabel24256789[[#This Row],[Stand Coffee einde maand]]-Tabel24256789[[#This Row],[Coffee vorige maand]]</f>
        <v>357</v>
      </c>
      <c r="H58" s="11">
        <v>943</v>
      </c>
      <c r="I58" s="11">
        <v>807</v>
      </c>
      <c r="J58" s="12">
        <f>Tabel24256789[[#This Row],[Stand Espresso Einde maand]]-Tabel24256789[[#This Row],[Espresso vorige maand]]</f>
        <v>136</v>
      </c>
      <c r="K58" s="11">
        <v>1138</v>
      </c>
      <c r="L58" s="11">
        <v>1044</v>
      </c>
      <c r="M58">
        <f>Tabel24256789[[#This Row],[Stand Latte Macchiato einde maand]]-Tabel24256789[[#This Row],[Latte Macchiato vorige maand]]</f>
        <v>94</v>
      </c>
      <c r="N58" s="11">
        <v>102</v>
      </c>
      <c r="O58" s="11">
        <v>101</v>
      </c>
      <c r="P58">
        <f>Tabel24256789[[#This Row],[Stand Coffee Latte einde maand]]-Tabel24256789[[#This Row],[Coffee Latte vorige maand]]</f>
        <v>1</v>
      </c>
      <c r="Q58" s="11">
        <v>1</v>
      </c>
      <c r="R58" s="11">
        <v>1</v>
      </c>
      <c r="S58">
        <f>Tabel24256789[[#This Row],[Stand Hot Water einde maand]]-Tabel24256789[[#This Row],[Hot Water vorige maand]]</f>
        <v>0</v>
      </c>
      <c r="T58" s="11">
        <v>1910</v>
      </c>
      <c r="U58" s="11">
        <v>1670</v>
      </c>
      <c r="V58">
        <f>Tabel24256789[[#This Row],[Stand Cappucino einde maand]]-Tabel24256789[[#This Row],[Stand Cappucino vorige maand]]</f>
        <v>240</v>
      </c>
      <c r="W58" s="11">
        <v>591</v>
      </c>
      <c r="X58" s="11">
        <v>544</v>
      </c>
      <c r="Y58">
        <f>Tabel24256789[[#This Row],[Stand Cappucino Plantaardig einde maand]]-Tabel24256789[[#This Row],[Stand Cappucino Plantaardig vorige maand]]</f>
        <v>47</v>
      </c>
      <c r="Z58" s="11">
        <v>71</v>
      </c>
      <c r="AA58" s="11">
        <v>66</v>
      </c>
      <c r="AB58" s="12">
        <f>Tabel24256789[[#This Row],[Stand Latte Macchiato Plantaardig einde maand]]-Tabel24256789[[#This Row],[Stand Latte Macchiato Plantaardig vorige maand]]</f>
        <v>5</v>
      </c>
      <c r="AC58" s="3">
        <f>Tabel24256789[[#This Row],[Verbruik Stand Latte Macchiato Plantaardig deze maand]]+Tabel24256789[[#This Row],[Verbruik  Cappucino Plantaardig deze maand]]+Tabel24256789[[#This Row],[Verbruik Cappucino deze maand]]+Tabel24256789[[#This Row],[Verbruik Hot Water deze maand]]+Tabel24256789[[#This Row],[Verbruik Coffee Latte deze maand]]+Tabel24256789[[#This Row],[Verbruik Latte Macchiato deze maand]]+Tabel24256789[[#This Row],[Verbruik Espresso deze maand]]+Tabel24256789[[#This Row],[Verbruik Coffee deze maand]]</f>
        <v>880</v>
      </c>
      <c r="AD58" s="11">
        <v>64.7</v>
      </c>
      <c r="AE58" s="11">
        <v>59.1</v>
      </c>
      <c r="AF58">
        <f>Tabel24256789[[#This Row],[Stand Kamertemp liter einde maand]]-Tabel24256789[[#This Row],[Stand Kamertemp liter vorige maand]]</f>
        <v>5.6000000000000014</v>
      </c>
      <c r="AG58" s="2">
        <f>Tabel24256789[[#This Row],[Verbruik Kamertemp liter deze maand]]/0.15</f>
        <v>37.333333333333343</v>
      </c>
      <c r="AH58" s="11">
        <v>627.9</v>
      </c>
      <c r="AI58" s="11">
        <v>561.6</v>
      </c>
      <c r="AJ58">
        <f>Tabel24256789[[#This Row],[Stand Gekoeld liter einde maand]]-Tabel24256789[[#This Row],[Stand Gekoeld liter vorige maand]]</f>
        <v>66.299999999999955</v>
      </c>
      <c r="AK58" s="2">
        <f>Tabel24256789[[#This Row],[Verbruik Gekoeld liter deze maand]]/0.15</f>
        <v>441.99999999999972</v>
      </c>
      <c r="AL58" s="11">
        <v>610.9</v>
      </c>
      <c r="AM58" s="11">
        <v>544</v>
      </c>
      <c r="AN58">
        <f>Tabel24256789[[#This Row],[Stand Bruisend liter einde maand]]-Tabel24256789[[#This Row],[Stand Bruisend liter vorige maand]]</f>
        <v>66.899999999999977</v>
      </c>
      <c r="AO58" s="2">
        <f>Tabel24256789[[#This Row],[Verbruik Bruisend liter deze maand]]/0.15</f>
        <v>445.99999999999989</v>
      </c>
      <c r="AP58" s="11">
        <v>307.8</v>
      </c>
      <c r="AQ58" s="11">
        <v>271.89999999999998</v>
      </c>
      <c r="AR58">
        <f>Tabel24256789[[#This Row],[Stand licht bruisend liter einde maand]]-Tabel24256789[[#This Row],[Stand licht bruisend liter vorige maand]]</f>
        <v>35.900000000000034</v>
      </c>
      <c r="AS58" s="2">
        <f>Tabel24256789[[#This Row],[Verbruik licht bruisend liter deze maand]]/0.15</f>
        <v>239.33333333333357</v>
      </c>
      <c r="AT58" s="11">
        <v>2434.4</v>
      </c>
      <c r="AU58" s="11">
        <v>2293.1</v>
      </c>
      <c r="AV58">
        <f>Tabel24256789[[#This Row],[Stand heet water liter einde maand]]-Tabel24256789[[#This Row],[Stand heet water liter vorige maand]]</f>
        <v>141.30000000000018</v>
      </c>
      <c r="AW58" s="20">
        <f>Tabel24256789[[#This Row],[Verbruik heet Water liter deze maand ]]/0.15</f>
        <v>942.00000000000125</v>
      </c>
      <c r="AX58" s="4">
        <f>Tabel24256789[[#This Row],[Aantal consumpties heet water deze maand]]+Tabel24256789[[#This Row],[Aantal consumpties licht bruisend water deze maand]]+Tabel24256789[[#This Row],[aantal consumpties Bruisend water deze maand]]+Tabel24256789[[#This Row],[Aantal consumpties gekoeld water deze maand]]+Tabel24256789[[#This Row],[Aantal consumpties Kamertemp deze maand]]</f>
        <v>2106.6666666666679</v>
      </c>
      <c r="AY58" s="4">
        <f>Tabel24256789[[#This Row],[Subtotaal waterbar in consumpties]]+Tabel24256789[[#This Row],[Subtotaal koffieautomaten]]</f>
        <v>2986.6666666666679</v>
      </c>
    </row>
    <row r="59" spans="1:51" x14ac:dyDescent="0.25">
      <c r="A59" t="s">
        <v>58</v>
      </c>
      <c r="B59" t="s">
        <v>107</v>
      </c>
      <c r="C59" t="s">
        <v>31</v>
      </c>
      <c r="E59" s="11">
        <v>2349</v>
      </c>
      <c r="F59" s="11">
        <v>2061</v>
      </c>
      <c r="G59" s="12">
        <f>Tabel24256789[[#This Row],[Stand Coffee einde maand]]-Tabel24256789[[#This Row],[Coffee vorige maand]]</f>
        <v>288</v>
      </c>
      <c r="H59" s="11">
        <v>515</v>
      </c>
      <c r="I59" s="11">
        <v>440</v>
      </c>
      <c r="J59" s="12">
        <f>Tabel24256789[[#This Row],[Stand Espresso Einde maand]]-Tabel24256789[[#This Row],[Espresso vorige maand]]</f>
        <v>75</v>
      </c>
      <c r="K59" s="11">
        <v>165</v>
      </c>
      <c r="L59" s="11">
        <v>100</v>
      </c>
      <c r="M59">
        <f>Tabel24256789[[#This Row],[Stand Latte Macchiato einde maand]]-Tabel24256789[[#This Row],[Latte Macchiato vorige maand]]</f>
        <v>65</v>
      </c>
      <c r="N59" s="11">
        <v>104</v>
      </c>
      <c r="O59" s="11">
        <v>95</v>
      </c>
      <c r="P59">
        <f>Tabel24256789[[#This Row],[Stand Coffee Latte einde maand]]-Tabel24256789[[#This Row],[Coffee Latte vorige maand]]</f>
        <v>9</v>
      </c>
      <c r="Q59" s="11">
        <v>5546</v>
      </c>
      <c r="R59" s="11">
        <v>4984</v>
      </c>
      <c r="S59">
        <f>Tabel24256789[[#This Row],[Stand Hot Water einde maand]]-Tabel24256789[[#This Row],[Hot Water vorige maand]]</f>
        <v>562</v>
      </c>
      <c r="T59" s="11">
        <v>766</v>
      </c>
      <c r="U59" s="11">
        <v>672</v>
      </c>
      <c r="V59">
        <f>Tabel24256789[[#This Row],[Stand Cappucino einde maand]]-Tabel24256789[[#This Row],[Stand Cappucino vorige maand]]</f>
        <v>94</v>
      </c>
      <c r="W59" s="11">
        <v>529</v>
      </c>
      <c r="X59" s="11">
        <v>496</v>
      </c>
      <c r="Y59">
        <f>Tabel24256789[[#This Row],[Stand Cappucino Plantaardig einde maand]]-Tabel24256789[[#This Row],[Stand Cappucino Plantaardig vorige maand]]</f>
        <v>33</v>
      </c>
      <c r="Z59" s="11">
        <v>299</v>
      </c>
      <c r="AA59" s="11">
        <v>288</v>
      </c>
      <c r="AB59" s="12">
        <f>Tabel24256789[[#This Row],[Stand Latte Macchiato Plantaardig einde maand]]-Tabel24256789[[#This Row],[Stand Latte Macchiato Plantaardig vorige maand]]</f>
        <v>11</v>
      </c>
      <c r="AC59" s="3">
        <f>Tabel24256789[[#This Row],[Verbruik Stand Latte Macchiato Plantaardig deze maand]]+Tabel24256789[[#This Row],[Verbruik  Cappucino Plantaardig deze maand]]+Tabel24256789[[#This Row],[Verbruik Cappucino deze maand]]+Tabel24256789[[#This Row],[Verbruik Hot Water deze maand]]+Tabel24256789[[#This Row],[Verbruik Coffee Latte deze maand]]+Tabel24256789[[#This Row],[Verbruik Latte Macchiato deze maand]]+Tabel24256789[[#This Row],[Verbruik Espresso deze maand]]+Tabel24256789[[#This Row],[Verbruik Coffee deze maand]]</f>
        <v>1137</v>
      </c>
      <c r="AD59" s="26" t="s">
        <v>159</v>
      </c>
      <c r="AE59" s="26" t="s">
        <v>159</v>
      </c>
      <c r="AF59" s="5"/>
      <c r="AG59" s="7"/>
      <c r="AH59" s="26"/>
      <c r="AI59" s="26"/>
      <c r="AJ59" s="5"/>
      <c r="AK59" s="7"/>
      <c r="AL59" s="26"/>
      <c r="AM59" s="26"/>
      <c r="AN59" s="5"/>
      <c r="AO59" s="7"/>
      <c r="AP59" s="26"/>
      <c r="AQ59" s="26"/>
      <c r="AR59" s="5"/>
      <c r="AS59" s="7"/>
      <c r="AT59" s="26"/>
      <c r="AU59" s="26"/>
      <c r="AV59" s="5"/>
      <c r="AW59" s="21"/>
      <c r="AX59" s="8"/>
      <c r="AY59" s="4">
        <f>Tabel24256789[[#This Row],[Subtotaal waterbar in consumpties]]+Tabel24256789[[#This Row],[Subtotaal koffieautomaten]]</f>
        <v>1137</v>
      </c>
    </row>
    <row r="60" spans="1:51" x14ac:dyDescent="0.25">
      <c r="A60" t="s">
        <v>60</v>
      </c>
      <c r="B60" t="s">
        <v>108</v>
      </c>
      <c r="C60" t="s">
        <v>36</v>
      </c>
      <c r="E60" s="42"/>
      <c r="F60" s="43"/>
      <c r="G60" s="43"/>
      <c r="H60" s="42"/>
      <c r="I60" s="43"/>
      <c r="J60" s="43"/>
      <c r="K60" s="42"/>
      <c r="L60" s="43"/>
      <c r="M60" s="43"/>
      <c r="N60" s="42"/>
      <c r="O60" s="43"/>
      <c r="P60" s="43"/>
      <c r="Q60" s="42"/>
      <c r="R60" s="43"/>
      <c r="S60" s="43"/>
      <c r="T60" s="42"/>
      <c r="U60" s="43"/>
      <c r="V60" s="43"/>
      <c r="W60" s="42"/>
      <c r="X60" s="43"/>
      <c r="Y60" s="43"/>
      <c r="Z60" s="42"/>
      <c r="AA60" s="43"/>
      <c r="AB60" s="43"/>
      <c r="AC60" s="43"/>
      <c r="AD60" s="11">
        <v>104.4</v>
      </c>
      <c r="AE60" s="11">
        <v>96.8</v>
      </c>
      <c r="AF60">
        <f>Tabel24256789[[#This Row],[Stand Kamertemp liter einde maand]]-Tabel24256789[[#This Row],[Stand Kamertemp liter vorige maand]]</f>
        <v>7.6000000000000085</v>
      </c>
      <c r="AG60" s="2">
        <f>Tabel24256789[[#This Row],[Verbruik Kamertemp liter deze maand]]/0.15</f>
        <v>50.666666666666728</v>
      </c>
      <c r="AH60" s="11">
        <v>432.2</v>
      </c>
      <c r="AI60" s="11">
        <v>405.9</v>
      </c>
      <c r="AJ60">
        <f>Tabel24256789[[#This Row],[Stand Gekoeld liter einde maand]]-Tabel24256789[[#This Row],[Stand Gekoeld liter vorige maand]]</f>
        <v>26.300000000000011</v>
      </c>
      <c r="AK60" s="2">
        <f>Tabel24256789[[#This Row],[Verbruik Gekoeld liter deze maand]]/0.15</f>
        <v>175.33333333333343</v>
      </c>
      <c r="AL60" s="11">
        <v>301.8</v>
      </c>
      <c r="AM60" s="11">
        <v>284.7</v>
      </c>
      <c r="AN60">
        <f>Tabel24256789[[#This Row],[Stand Bruisend liter einde maand]]-Tabel24256789[[#This Row],[Stand Bruisend liter vorige maand]]</f>
        <v>17.100000000000023</v>
      </c>
      <c r="AO60" s="2">
        <f>Tabel24256789[[#This Row],[Verbruik Bruisend liter deze maand]]/0.15</f>
        <v>114.00000000000016</v>
      </c>
      <c r="AP60" s="11">
        <v>275.89999999999998</v>
      </c>
      <c r="AQ60" s="11">
        <v>242.7</v>
      </c>
      <c r="AR60">
        <f>Tabel24256789[[#This Row],[Stand licht bruisend liter einde maand]]-Tabel24256789[[#This Row],[Stand licht bruisend liter vorige maand]]</f>
        <v>33.199999999999989</v>
      </c>
      <c r="AS60" s="2">
        <f>Tabel24256789[[#This Row],[Verbruik licht bruisend liter deze maand]]/0.15</f>
        <v>221.33333333333326</v>
      </c>
      <c r="AT60" s="11">
        <v>1121.5999999999999</v>
      </c>
      <c r="AU60" s="11">
        <v>1075.3</v>
      </c>
      <c r="AV60">
        <f>Tabel24256789[[#This Row],[Stand heet water liter einde maand]]-Tabel24256789[[#This Row],[Stand heet water liter vorige maand]]</f>
        <v>46.299999999999955</v>
      </c>
      <c r="AW60" s="20">
        <f>Tabel24256789[[#This Row],[Verbruik heet Water liter deze maand ]]/0.15</f>
        <v>308.6666666666664</v>
      </c>
      <c r="AX60" s="4">
        <v>2235.8000000000002</v>
      </c>
      <c r="AY60" s="4">
        <f>Tabel24256789[[#This Row],[Subtotaal waterbar in consumpties]]+Tabel24256789[[#This Row],[Subtotaal koffieautomaten]]</f>
        <v>2235.8000000000002</v>
      </c>
    </row>
    <row r="61" spans="1:51" x14ac:dyDescent="0.25">
      <c r="A61" s="3" t="s">
        <v>109</v>
      </c>
      <c r="F61" s="11"/>
      <c r="H61" s="11"/>
      <c r="I61" s="11"/>
      <c r="J61" s="12"/>
      <c r="K61" s="11"/>
      <c r="L61" s="11"/>
      <c r="O61" s="11"/>
      <c r="R61" s="11"/>
      <c r="U61" s="11"/>
      <c r="X61" s="11"/>
      <c r="AA61" s="11"/>
      <c r="AC61" s="3">
        <f>Tabel24256789[[#This Row],[Verbruik Stand Latte Macchiato Plantaardig deze maand]]+Tabel24256789[[#This Row],[Verbruik  Cappucino Plantaardig deze maand]]+Tabel24256789[[#This Row],[Verbruik Cappucino deze maand]]+Tabel24256789[[#This Row],[Verbruik Hot Water deze maand]]+Tabel24256789[[#This Row],[Verbruik Coffee Latte deze maand]]+Tabel24256789[[#This Row],[Verbruik Latte Macchiato deze maand]]+Tabel24256789[[#This Row],[Verbruik Espresso deze maand]]+Tabel24256789[[#This Row],[Verbruik Coffee deze maand]]</f>
        <v>0</v>
      </c>
      <c r="AD61" s="25"/>
      <c r="AE61" s="25"/>
      <c r="AG61" s="2"/>
      <c r="AH61" s="25"/>
      <c r="AI61" s="25"/>
      <c r="AK61" s="2"/>
      <c r="AL61" s="25"/>
      <c r="AM61" s="25"/>
      <c r="AO61" s="2"/>
      <c r="AP61" s="25"/>
      <c r="AQ61" s="25"/>
      <c r="AS61" s="2"/>
      <c r="AT61" s="25"/>
      <c r="AU61" s="25"/>
      <c r="AW61" s="20"/>
      <c r="AX61" s="4"/>
      <c r="AY61" s="4">
        <f>Tabel24256789[[#This Row],[Subtotaal waterbar in consumpties]]+Tabel24256789[[#This Row],[Subtotaal koffieautomaten]]</f>
        <v>0</v>
      </c>
    </row>
    <row r="62" spans="1:51" x14ac:dyDescent="0.25">
      <c r="A62">
        <v>1</v>
      </c>
      <c r="B62" t="s">
        <v>110</v>
      </c>
      <c r="C62" t="s">
        <v>31</v>
      </c>
      <c r="E62" s="11">
        <v>3571</v>
      </c>
      <c r="F62" s="11">
        <v>3405</v>
      </c>
      <c r="G62" s="12">
        <f>Tabel24256789[[#This Row],[Stand Coffee einde maand]]-Tabel24256789[[#This Row],[Coffee vorige maand]]</f>
        <v>166</v>
      </c>
      <c r="H62" s="11">
        <v>315</v>
      </c>
      <c r="I62" s="11">
        <v>295</v>
      </c>
      <c r="J62" s="12">
        <f>Tabel24256789[[#This Row],[Stand Espresso Einde maand]]-Tabel24256789[[#This Row],[Espresso vorige maand]]</f>
        <v>20</v>
      </c>
      <c r="K62" s="11">
        <v>423</v>
      </c>
      <c r="L62" s="11">
        <v>396</v>
      </c>
      <c r="M62">
        <f>Tabel24256789[[#This Row],[Stand Latte Macchiato einde maand]]-Tabel24256789[[#This Row],[Latte Macchiato vorige maand]]</f>
        <v>27</v>
      </c>
      <c r="N62" s="11">
        <v>281</v>
      </c>
      <c r="O62" s="11">
        <v>257</v>
      </c>
      <c r="P62">
        <f>Tabel24256789[[#This Row],[Stand Coffee Latte einde maand]]-Tabel24256789[[#This Row],[Coffee Latte vorige maand]]</f>
        <v>24</v>
      </c>
      <c r="Q62" s="11">
        <v>1983</v>
      </c>
      <c r="R62" s="11">
        <v>1908</v>
      </c>
      <c r="S62">
        <f>Tabel24256789[[#This Row],[Stand Hot Water einde maand]]-Tabel24256789[[#This Row],[Hot Water vorige maand]]</f>
        <v>75</v>
      </c>
      <c r="T62" s="11">
        <v>981</v>
      </c>
      <c r="U62" s="11">
        <v>937</v>
      </c>
      <c r="V62">
        <f>Tabel24256789[[#This Row],[Stand Cappucino einde maand]]-Tabel24256789[[#This Row],[Stand Cappucino vorige maand]]</f>
        <v>44</v>
      </c>
      <c r="W62" s="11">
        <v>25</v>
      </c>
      <c r="X62" s="11">
        <v>20</v>
      </c>
      <c r="Y62">
        <f>Tabel24256789[[#This Row],[Stand Cappucino Plantaardig einde maand]]-Tabel24256789[[#This Row],[Stand Cappucino Plantaardig vorige maand]]</f>
        <v>5</v>
      </c>
      <c r="Z62" s="11">
        <v>133</v>
      </c>
      <c r="AA62" s="11">
        <v>130</v>
      </c>
      <c r="AB62" s="12">
        <f>Tabel24256789[[#This Row],[Stand Latte Macchiato Plantaardig einde maand]]-Tabel24256789[[#This Row],[Stand Latte Macchiato Plantaardig vorige maand]]</f>
        <v>3</v>
      </c>
      <c r="AC62" s="3">
        <f>Tabel24256789[[#This Row],[Verbruik Stand Latte Macchiato Plantaardig deze maand]]+Tabel24256789[[#This Row],[Verbruik  Cappucino Plantaardig deze maand]]+Tabel24256789[[#This Row],[Verbruik Cappucino deze maand]]+Tabel24256789[[#This Row],[Verbruik Hot Water deze maand]]+Tabel24256789[[#This Row],[Verbruik Coffee Latte deze maand]]+Tabel24256789[[#This Row],[Verbruik Latte Macchiato deze maand]]+Tabel24256789[[#This Row],[Verbruik Espresso deze maand]]+Tabel24256789[[#This Row],[Verbruik Coffee deze maand]]</f>
        <v>364</v>
      </c>
      <c r="AD62" s="26"/>
      <c r="AE62" s="26"/>
      <c r="AF62" s="5"/>
      <c r="AG62" s="5"/>
      <c r="AH62" s="26"/>
      <c r="AI62" s="26"/>
      <c r="AJ62" s="5"/>
      <c r="AK62" s="5"/>
      <c r="AL62" s="26"/>
      <c r="AM62" s="26"/>
      <c r="AN62" s="5"/>
      <c r="AO62" s="5"/>
      <c r="AP62" s="26"/>
      <c r="AQ62" s="26"/>
      <c r="AR62" s="5"/>
      <c r="AS62" s="5"/>
      <c r="AT62" s="26"/>
      <c r="AU62" s="26"/>
      <c r="AV62" s="5"/>
      <c r="AW62" s="21"/>
      <c r="AX62" s="8"/>
      <c r="AY62" s="4">
        <f>Tabel24256789[[#This Row],[Subtotaal waterbar in consumpties]]+Tabel24256789[[#This Row],[Subtotaal koffieautomaten]]</f>
        <v>364</v>
      </c>
    </row>
    <row r="63" spans="1:51" x14ac:dyDescent="0.25">
      <c r="A63">
        <v>1</v>
      </c>
      <c r="B63" t="s">
        <v>111</v>
      </c>
      <c r="C63" t="s">
        <v>31</v>
      </c>
      <c r="E63" s="11">
        <v>3392</v>
      </c>
      <c r="F63" s="11">
        <v>3064</v>
      </c>
      <c r="G63" s="12">
        <f>Tabel24256789[[#This Row],[Stand Coffee einde maand]]-Tabel24256789[[#This Row],[Coffee vorige maand]]</f>
        <v>328</v>
      </c>
      <c r="H63" s="11">
        <v>203</v>
      </c>
      <c r="I63" s="11">
        <v>198</v>
      </c>
      <c r="J63" s="12">
        <f>Tabel24256789[[#This Row],[Stand Espresso Einde maand]]-Tabel24256789[[#This Row],[Espresso vorige maand]]</f>
        <v>5</v>
      </c>
      <c r="K63" s="11">
        <v>813</v>
      </c>
      <c r="L63" s="11">
        <v>763</v>
      </c>
      <c r="M63">
        <f>Tabel24256789[[#This Row],[Stand Latte Macchiato einde maand]]-Tabel24256789[[#This Row],[Latte Macchiato vorige maand]]</f>
        <v>50</v>
      </c>
      <c r="N63" s="11">
        <v>559</v>
      </c>
      <c r="O63" s="11">
        <v>505</v>
      </c>
      <c r="P63">
        <f>Tabel24256789[[#This Row],[Stand Coffee Latte einde maand]]-Tabel24256789[[#This Row],[Coffee Latte vorige maand]]</f>
        <v>54</v>
      </c>
      <c r="Q63" s="11">
        <v>2625</v>
      </c>
      <c r="R63" s="11">
        <v>2451</v>
      </c>
      <c r="S63">
        <f>Tabel24256789[[#This Row],[Stand Hot Water einde maand]]-Tabel24256789[[#This Row],[Hot Water vorige maand]]</f>
        <v>174</v>
      </c>
      <c r="T63" s="11">
        <v>786</v>
      </c>
      <c r="U63" s="11">
        <v>722</v>
      </c>
      <c r="V63">
        <f>Tabel24256789[[#This Row],[Stand Cappucino einde maand]]-Tabel24256789[[#This Row],[Stand Cappucino vorige maand]]</f>
        <v>64</v>
      </c>
      <c r="W63" s="11">
        <v>98</v>
      </c>
      <c r="X63" s="11">
        <v>91</v>
      </c>
      <c r="Y63">
        <f>Tabel24256789[[#This Row],[Stand Cappucino Plantaardig einde maand]]-Tabel24256789[[#This Row],[Stand Cappucino Plantaardig vorige maand]]</f>
        <v>7</v>
      </c>
      <c r="Z63" s="11">
        <v>238</v>
      </c>
      <c r="AA63" s="11">
        <v>235</v>
      </c>
      <c r="AB63" s="12">
        <f>Tabel24256789[[#This Row],[Stand Latte Macchiato Plantaardig einde maand]]-Tabel24256789[[#This Row],[Stand Latte Macchiato Plantaardig vorige maand]]</f>
        <v>3</v>
      </c>
      <c r="AC63" s="3">
        <f>Tabel24256789[[#This Row],[Verbruik Stand Latte Macchiato Plantaardig deze maand]]+Tabel24256789[[#This Row],[Verbruik  Cappucino Plantaardig deze maand]]+Tabel24256789[[#This Row],[Verbruik Cappucino deze maand]]+Tabel24256789[[#This Row],[Verbruik Hot Water deze maand]]+Tabel24256789[[#This Row],[Verbruik Coffee Latte deze maand]]+Tabel24256789[[#This Row],[Verbruik Latte Macchiato deze maand]]+Tabel24256789[[#This Row],[Verbruik Espresso deze maand]]+Tabel24256789[[#This Row],[Verbruik Coffee deze maand]]</f>
        <v>685</v>
      </c>
      <c r="AD63" s="26"/>
      <c r="AE63" s="26"/>
      <c r="AF63" s="5"/>
      <c r="AG63" s="5"/>
      <c r="AH63" s="26"/>
      <c r="AI63" s="26"/>
      <c r="AJ63" s="5"/>
      <c r="AK63" s="5"/>
      <c r="AL63" s="26"/>
      <c r="AM63" s="26"/>
      <c r="AN63" s="5"/>
      <c r="AO63" s="5"/>
      <c r="AP63" s="26"/>
      <c r="AQ63" s="26"/>
      <c r="AR63" s="5"/>
      <c r="AS63" s="5"/>
      <c r="AT63" s="26"/>
      <c r="AU63" s="26"/>
      <c r="AV63" s="5"/>
      <c r="AW63" s="21"/>
      <c r="AX63" s="8"/>
      <c r="AY63" s="4">
        <f>Tabel24256789[[#This Row],[Subtotaal waterbar in consumpties]]+Tabel24256789[[#This Row],[Subtotaal koffieautomaten]]</f>
        <v>685</v>
      </c>
    </row>
    <row r="64" spans="1:51" x14ac:dyDescent="0.25">
      <c r="A64" s="3" t="s">
        <v>112</v>
      </c>
      <c r="F64" s="24">
        <f>SUM(E3:E63)</f>
        <v>175606</v>
      </c>
      <c r="G64" s="24">
        <f t="shared" ref="G64" si="0">SUM(G3:G63)</f>
        <v>21258</v>
      </c>
      <c r="H64" s="11"/>
      <c r="I64" s="24">
        <f>SUM(H3:H63)</f>
        <v>43796</v>
      </c>
      <c r="J64" s="24">
        <f t="shared" ref="J64" si="1">SUM(J3:J63)</f>
        <v>5105</v>
      </c>
      <c r="K64" s="11"/>
      <c r="L64" s="24">
        <f>SUM(K3:K63)</f>
        <v>22890</v>
      </c>
      <c r="M64" s="24">
        <f t="shared" ref="M64" si="2">SUM(M3:M63)</f>
        <v>2715</v>
      </c>
      <c r="O64" s="24">
        <f>SUM(N3:N63)</f>
        <v>12894</v>
      </c>
      <c r="P64" s="24">
        <f t="shared" ref="P64" si="3">SUM(P3:P63)</f>
        <v>1580</v>
      </c>
      <c r="R64" s="24">
        <f>SUM(Q3:Q63)</f>
        <v>199847</v>
      </c>
      <c r="S64" s="24">
        <f t="shared" ref="S64" si="4">SUM(S3:S63)</f>
        <v>24527</v>
      </c>
      <c r="U64" s="24">
        <f>SUM(T3:T63)</f>
        <v>100106</v>
      </c>
      <c r="V64" s="24">
        <f t="shared" ref="V64" si="5">SUM(V3:V63)</f>
        <v>12603</v>
      </c>
      <c r="X64" s="24">
        <f>SUM(W3:W63)</f>
        <v>23646</v>
      </c>
      <c r="Y64" s="24">
        <f t="shared" ref="Y64" si="6">SUM(Y3:Y63)</f>
        <v>2402</v>
      </c>
      <c r="AA64" s="24">
        <f>SUM(Z3:Z63)</f>
        <v>8363</v>
      </c>
      <c r="AB64" s="24">
        <f t="shared" ref="AB64" si="7">SUM(AB3:AB63)</f>
        <v>767</v>
      </c>
      <c r="AC64" s="3">
        <f>SUM(AC3:AC63)</f>
        <v>70957</v>
      </c>
      <c r="AD64" s="24">
        <f>SUM(AD3:AD63)</f>
        <v>2781.6</v>
      </c>
      <c r="AE64" s="24">
        <f>SUM(AE3:AE63)</f>
        <v>2551.6999999999998</v>
      </c>
      <c r="AF64" s="4">
        <f t="shared" ref="AF64:AW64" si="8">SUM(AF3:AF63)</f>
        <v>229.90000000000003</v>
      </c>
      <c r="AG64" s="4">
        <f>SUM(AG3:AG63)</f>
        <v>1532.6666666666667</v>
      </c>
      <c r="AH64" s="23">
        <f t="shared" si="8"/>
        <v>18568.700000000004</v>
      </c>
      <c r="AI64" s="23">
        <f t="shared" ref="AI64" si="9">SUM(AI3:AI63)</f>
        <v>16650.300000000007</v>
      </c>
      <c r="AJ64" s="4">
        <f t="shared" si="8"/>
        <v>1918.3999999999999</v>
      </c>
      <c r="AK64" s="4">
        <f t="shared" si="8"/>
        <v>12789.333333333334</v>
      </c>
      <c r="AL64" s="23">
        <f t="shared" si="8"/>
        <v>17042</v>
      </c>
      <c r="AM64" s="23">
        <f t="shared" ref="AM64" si="10">SUM(AM3:AM63)</f>
        <v>15484.300000000003</v>
      </c>
      <c r="AN64" s="4">
        <f t="shared" si="8"/>
        <v>1557.6999999999998</v>
      </c>
      <c r="AO64" s="4">
        <f t="shared" si="8"/>
        <v>10384.666666666668</v>
      </c>
      <c r="AP64" s="23">
        <f t="shared" si="8"/>
        <v>8137.5999999999985</v>
      </c>
      <c r="AQ64" s="23">
        <f t="shared" ref="AQ64" si="11">SUM(AQ3:AQ63)</f>
        <v>7506.2999999999984</v>
      </c>
      <c r="AR64" s="3">
        <f>SUM(AR4:AR63)</f>
        <v>631.29999999999995</v>
      </c>
      <c r="AS64" s="4">
        <f t="shared" si="8"/>
        <v>4208.6666666666661</v>
      </c>
      <c r="AT64" s="23">
        <f t="shared" si="8"/>
        <v>49744.5</v>
      </c>
      <c r="AU64" s="23">
        <f t="shared" ref="AU64" si="12">SUM(AU3:AU63)</f>
        <v>46226.799999999996</v>
      </c>
      <c r="AV64" s="3">
        <f>SUM(AV4:AV63)</f>
        <v>3517.7000000000007</v>
      </c>
      <c r="AW64" s="22">
        <f t="shared" si="8"/>
        <v>23451.333333333339</v>
      </c>
      <c r="AX64" s="4">
        <f>SUM(AX3:AX63)</f>
        <v>53732.466666666689</v>
      </c>
      <c r="AY64" s="4">
        <f>Tabel24256789[[#This Row],[Subtotaal waterbar in consumpties]]+Tabel24256789[[#This Row],[Subtotaal koffieautomaten]]</f>
        <v>124689.46666666669</v>
      </c>
    </row>
    <row r="65" spans="8:53" x14ac:dyDescent="0.25">
      <c r="H65" s="13"/>
      <c r="I65" s="14"/>
      <c r="J65" s="15"/>
      <c r="K65" s="13"/>
      <c r="L65" s="14"/>
      <c r="M65" s="14"/>
      <c r="AQ65" s="11"/>
      <c r="AU65" s="11"/>
      <c r="AX65" s="3"/>
      <c r="AY65" s="3"/>
    </row>
    <row r="67" spans="8:53" x14ac:dyDescent="0.25">
      <c r="AY67" s="2"/>
    </row>
    <row r="68" spans="8:53" x14ac:dyDescent="0.25">
      <c r="AY68" s="2"/>
      <c r="BA68" s="2">
        <f>AY64-AG64-AK64</f>
        <v>110367.46666666669</v>
      </c>
    </row>
    <row r="71" spans="8:53" x14ac:dyDescent="0.25">
      <c r="AY71" s="2"/>
    </row>
  </sheetData>
  <mergeCells count="3">
    <mergeCell ref="A1:D1"/>
    <mergeCell ref="E1:AC1"/>
    <mergeCell ref="AD1:AY1"/>
  </mergeCell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82939-E0DB-4E77-A0A7-DDB2EF81A753}">
  <dimension ref="A1:AZ71"/>
  <sheetViews>
    <sheetView topLeftCell="A52" workbookViewId="0">
      <pane xSplit="1" topLeftCell="AA1" activePane="topRight" state="frozen"/>
      <selection activeCell="G19" sqref="G19"/>
      <selection pane="topRight" activeCell="G19" sqref="G19"/>
    </sheetView>
  </sheetViews>
  <sheetFormatPr defaultRowHeight="15" x14ac:dyDescent="0.25"/>
  <cols>
    <col min="1" max="1" width="32.140625" bestFit="1" customWidth="1"/>
    <col min="2" max="2" width="21.42578125" bestFit="1" customWidth="1"/>
    <col min="3" max="3" width="25.42578125" bestFit="1" customWidth="1"/>
    <col min="4" max="4" width="18.5703125" customWidth="1"/>
    <col min="5" max="5" width="10.140625" style="11" customWidth="1"/>
    <col min="6" max="6" width="10.42578125" customWidth="1"/>
    <col min="7" max="7" width="10.5703125" style="12" customWidth="1"/>
    <col min="8" max="8" width="11.85546875" customWidth="1"/>
    <col min="9" max="9" width="11.7109375" customWidth="1"/>
    <col min="10" max="10" width="12.42578125" customWidth="1"/>
    <col min="11" max="11" width="17.140625" customWidth="1"/>
    <col min="12" max="12" width="13.5703125" customWidth="1"/>
    <col min="13" max="13" width="13.42578125" bestFit="1" customWidth="1"/>
    <col min="14" max="14" width="14" style="11" customWidth="1"/>
    <col min="15" max="16" width="14" customWidth="1"/>
    <col min="17" max="17" width="14.140625" style="11" customWidth="1"/>
    <col min="18" max="19" width="12.28515625" customWidth="1"/>
    <col min="20" max="20" width="12.42578125" style="11" customWidth="1"/>
    <col min="21" max="22" width="12.42578125" customWidth="1"/>
    <col min="23" max="23" width="17" style="11" customWidth="1"/>
    <col min="24" max="25" width="17" customWidth="1"/>
    <col min="26" max="26" width="20.7109375" style="11" customWidth="1"/>
    <col min="27" max="27" width="20.7109375" customWidth="1"/>
    <col min="28" max="28" width="20.7109375" style="12" customWidth="1"/>
    <col min="29" max="29" width="13.85546875" customWidth="1"/>
    <col min="30" max="30" width="17.5703125" style="11" customWidth="1"/>
    <col min="31" max="32" width="17.5703125" customWidth="1"/>
    <col min="33" max="33" width="20.28515625" customWidth="1"/>
    <col min="34" max="34" width="14.42578125" style="11" customWidth="1"/>
    <col min="35" max="36" width="14.42578125" customWidth="1"/>
    <col min="37" max="37" width="21.28515625" customWidth="1"/>
    <col min="38" max="38" width="15.140625" style="11" customWidth="1"/>
    <col min="39" max="40" width="15.140625" customWidth="1"/>
    <col min="41" max="41" width="21.28515625" customWidth="1"/>
    <col min="42" max="42" width="19.42578125" style="11" customWidth="1"/>
    <col min="43" max="44" width="19.42578125" customWidth="1"/>
    <col min="45" max="45" width="21.28515625" customWidth="1"/>
    <col min="46" max="46" width="17" style="11" customWidth="1"/>
    <col min="47" max="48" width="17" customWidth="1"/>
    <col min="49" max="49" width="21.28515625" style="12" customWidth="1"/>
    <col min="50" max="50" width="20" customWidth="1"/>
    <col min="51" max="51" width="14.140625" customWidth="1"/>
  </cols>
  <sheetData>
    <row r="1" spans="1:51" x14ac:dyDescent="0.25">
      <c r="A1" s="172" t="s">
        <v>0</v>
      </c>
      <c r="B1" s="172"/>
      <c r="C1" s="172"/>
      <c r="D1" s="172"/>
      <c r="E1" s="172" t="s">
        <v>1</v>
      </c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 t="s">
        <v>2</v>
      </c>
      <c r="AE1" s="172"/>
      <c r="AF1" s="172"/>
      <c r="AG1" s="172"/>
      <c r="AH1" s="172"/>
      <c r="AI1" s="172"/>
      <c r="AJ1" s="172"/>
      <c r="AK1" s="172"/>
      <c r="AL1" s="172"/>
      <c r="AM1" s="172"/>
      <c r="AN1" s="172"/>
      <c r="AO1" s="172"/>
      <c r="AP1" s="172"/>
      <c r="AQ1" s="172"/>
      <c r="AR1" s="172"/>
      <c r="AS1" s="172"/>
      <c r="AT1" s="172"/>
      <c r="AU1" s="172"/>
      <c r="AV1" s="172"/>
      <c r="AW1" s="172"/>
      <c r="AX1" s="172"/>
      <c r="AY1" s="172"/>
    </row>
    <row r="2" spans="1:51" ht="60" x14ac:dyDescent="0.25">
      <c r="A2" t="s">
        <v>3</v>
      </c>
      <c r="B2" t="s">
        <v>4</v>
      </c>
      <c r="C2" t="s">
        <v>5</v>
      </c>
      <c r="D2" t="s">
        <v>6</v>
      </c>
      <c r="E2" s="9" t="s">
        <v>113</v>
      </c>
      <c r="F2" s="1" t="s">
        <v>114</v>
      </c>
      <c r="G2" s="10" t="s">
        <v>115</v>
      </c>
      <c r="H2" s="1" t="s">
        <v>116</v>
      </c>
      <c r="I2" s="1" t="s">
        <v>117</v>
      </c>
      <c r="J2" s="1" t="s">
        <v>118</v>
      </c>
      <c r="K2" s="1" t="s">
        <v>119</v>
      </c>
      <c r="L2" s="1" t="s">
        <v>120</v>
      </c>
      <c r="M2" s="1" t="s">
        <v>121</v>
      </c>
      <c r="N2" s="9" t="s">
        <v>122</v>
      </c>
      <c r="O2" s="1" t="s">
        <v>123</v>
      </c>
      <c r="P2" s="1" t="s">
        <v>124</v>
      </c>
      <c r="Q2" s="9" t="s">
        <v>125</v>
      </c>
      <c r="R2" s="1" t="s">
        <v>126</v>
      </c>
      <c r="S2" s="1" t="s">
        <v>127</v>
      </c>
      <c r="T2" s="9" t="s">
        <v>128</v>
      </c>
      <c r="U2" s="1" t="s">
        <v>129</v>
      </c>
      <c r="V2" s="1" t="s">
        <v>130</v>
      </c>
      <c r="W2" s="9" t="s">
        <v>131</v>
      </c>
      <c r="X2" s="1" t="s">
        <v>132</v>
      </c>
      <c r="Y2" s="1" t="s">
        <v>133</v>
      </c>
      <c r="Z2" s="9" t="s">
        <v>134</v>
      </c>
      <c r="AA2" s="1" t="s">
        <v>135</v>
      </c>
      <c r="AB2" s="10" t="s">
        <v>136</v>
      </c>
      <c r="AC2" s="1" t="s">
        <v>15</v>
      </c>
      <c r="AD2" s="9" t="s">
        <v>137</v>
      </c>
      <c r="AE2" s="1" t="s">
        <v>138</v>
      </c>
      <c r="AF2" s="1" t="s">
        <v>139</v>
      </c>
      <c r="AG2" s="1" t="s">
        <v>140</v>
      </c>
      <c r="AH2" s="9" t="s">
        <v>141</v>
      </c>
      <c r="AI2" s="1" t="s">
        <v>142</v>
      </c>
      <c r="AJ2" s="1" t="s">
        <v>143</v>
      </c>
      <c r="AK2" s="1" t="s">
        <v>144</v>
      </c>
      <c r="AL2" s="9" t="s">
        <v>145</v>
      </c>
      <c r="AM2" s="1" t="s">
        <v>146</v>
      </c>
      <c r="AN2" s="1" t="s">
        <v>147</v>
      </c>
      <c r="AO2" s="1" t="s">
        <v>148</v>
      </c>
      <c r="AP2" s="9" t="s">
        <v>149</v>
      </c>
      <c r="AQ2" s="1" t="s">
        <v>150</v>
      </c>
      <c r="AR2" s="1" t="s">
        <v>151</v>
      </c>
      <c r="AS2" s="1" t="s">
        <v>152</v>
      </c>
      <c r="AT2" s="9" t="s">
        <v>153</v>
      </c>
      <c r="AU2" s="1" t="s">
        <v>154</v>
      </c>
      <c r="AV2" s="1" t="s">
        <v>155</v>
      </c>
      <c r="AW2" s="10" t="s">
        <v>156</v>
      </c>
      <c r="AX2" s="1" t="s">
        <v>157</v>
      </c>
      <c r="AY2" t="s">
        <v>27</v>
      </c>
    </row>
    <row r="3" spans="1:51" x14ac:dyDescent="0.25">
      <c r="A3" s="3" t="s">
        <v>28</v>
      </c>
      <c r="E3" s="25"/>
      <c r="H3" s="27"/>
      <c r="I3" s="18"/>
      <c r="J3" s="19"/>
      <c r="K3" s="27"/>
      <c r="L3" s="18"/>
      <c r="M3" s="18"/>
      <c r="N3" s="25"/>
      <c r="Q3" s="25"/>
      <c r="T3" s="25"/>
      <c r="W3" s="25"/>
      <c r="Z3" s="25"/>
      <c r="AC3" s="3"/>
      <c r="AG3" s="2"/>
      <c r="AH3" s="25"/>
      <c r="AK3" s="2"/>
      <c r="AL3" s="25"/>
      <c r="AO3" s="2"/>
      <c r="AP3" s="25"/>
      <c r="AS3" s="2"/>
      <c r="AT3" s="25"/>
      <c r="AW3" s="20"/>
      <c r="AX3" s="4"/>
      <c r="AY3" s="4">
        <f>Tabel2425678910[[#This Row],[Subtotaal waterbar in consumpties]]+Tabel2425678910[[#This Row],[Subtotaal koffieautomaten]]</f>
        <v>0</v>
      </c>
    </row>
    <row r="4" spans="1:51" x14ac:dyDescent="0.25">
      <c r="A4" t="s">
        <v>29</v>
      </c>
      <c r="B4" t="s">
        <v>30</v>
      </c>
      <c r="C4" t="s">
        <v>31</v>
      </c>
      <c r="E4" s="11">
        <v>1621</v>
      </c>
      <c r="F4" s="11">
        <v>1501</v>
      </c>
      <c r="G4" s="12">
        <f>Tabel2425678910[[#This Row],[Stand Coffee einde maand]]-Tabel2425678910[[#This Row],[Coffee vorige maand]]</f>
        <v>120</v>
      </c>
      <c r="H4" s="11">
        <v>602</v>
      </c>
      <c r="I4" s="11">
        <v>572</v>
      </c>
      <c r="J4" s="12">
        <f>Tabel2425678910[[#This Row],[Stand Espresso Einde maand]]-Tabel2425678910[[#This Row],[Espresso vorige maand]]</f>
        <v>30</v>
      </c>
      <c r="K4" s="11">
        <v>656</v>
      </c>
      <c r="L4" s="11">
        <v>583</v>
      </c>
      <c r="M4">
        <f>Tabel2425678910[[#This Row],[Stand Latte Macchiato einde maand]]-Tabel2425678910[[#This Row],[Latte Macchiato vorige maand]]</f>
        <v>73</v>
      </c>
      <c r="N4" s="11">
        <v>626</v>
      </c>
      <c r="O4" s="11">
        <v>603</v>
      </c>
      <c r="P4">
        <f>Tabel2425678910[[#This Row],[Stand Coffee Latte einde maand]]-Tabel2425678910[[#This Row],[Coffee Latte vorige maand]]</f>
        <v>23</v>
      </c>
      <c r="Q4" s="11">
        <v>2564</v>
      </c>
      <c r="R4" s="11">
        <v>2382</v>
      </c>
      <c r="S4">
        <f>Tabel2425678910[[#This Row],[Stand Hot Water einde maand]]-Tabel2425678910[[#This Row],[Hot Water vorige maand]]</f>
        <v>182</v>
      </c>
      <c r="T4" s="11">
        <v>2550</v>
      </c>
      <c r="U4" s="11">
        <v>2311</v>
      </c>
      <c r="V4">
        <f>Tabel2425678910[[#This Row],[Stand Cappucino einde maand]]-Tabel2425678910[[#This Row],[Stand Cappucino vorige maand]]</f>
        <v>239</v>
      </c>
      <c r="W4" s="11">
        <v>70</v>
      </c>
      <c r="X4" s="11">
        <v>62</v>
      </c>
      <c r="Y4">
        <f>Tabel2425678910[[#This Row],[Stand Cappucino Plantaardig einde maand]]-Tabel2425678910[[#This Row],[Stand Cappucino Plantaardig vorige maand]]</f>
        <v>8</v>
      </c>
      <c r="Z4" s="11">
        <v>79</v>
      </c>
      <c r="AA4" s="11">
        <v>77</v>
      </c>
      <c r="AB4" s="12">
        <f>Tabel2425678910[[#This Row],[Stand Latte Macchiato Plantaardig einde maand]]-Tabel2425678910[[#This Row],[Stand Latte Macchiato Plantaardig vorige maand]]</f>
        <v>2</v>
      </c>
      <c r="AC4" s="3">
        <f>Tabel2425678910[[#This Row],[Verbruik Stand Latte Macchiato Plantaardig deze maand]]+Tabel2425678910[[#This Row],[Verbruik  Cappucino Plantaardig deze maand]]+Tabel2425678910[[#This Row],[Verbruik Cappucino deze maand]]+Tabel2425678910[[#This Row],[Verbruik Hot Water deze maand]]+Tabel2425678910[[#This Row],[Verbruik Coffee Latte deze maand]]+Tabel2425678910[[#This Row],[Verbruik Latte Macchiato deze maand]]+Tabel2425678910[[#This Row],[Verbruik Espresso deze maand]]+Tabel2425678910[[#This Row],[Verbruik Coffee deze maand]]</f>
        <v>677</v>
      </c>
      <c r="AD4" s="26"/>
      <c r="AE4" s="26"/>
      <c r="AF4" s="5"/>
      <c r="AG4" s="5"/>
      <c r="AH4" s="26"/>
      <c r="AI4" s="26"/>
      <c r="AJ4" s="5"/>
      <c r="AK4" s="5"/>
      <c r="AL4" s="26"/>
      <c r="AM4" s="26"/>
      <c r="AN4" s="5"/>
      <c r="AO4" s="5"/>
      <c r="AP4" s="26"/>
      <c r="AQ4" s="26"/>
      <c r="AR4" s="5"/>
      <c r="AS4" s="5"/>
      <c r="AT4" s="26"/>
      <c r="AU4" s="26"/>
      <c r="AV4" s="5"/>
      <c r="AW4" s="21"/>
      <c r="AX4" s="8"/>
      <c r="AY4" s="4">
        <f>Tabel2425678910[[#This Row],[Subtotaal waterbar in consumpties]]+Tabel2425678910[[#This Row],[Subtotaal koffieautomaten]]</f>
        <v>677</v>
      </c>
    </row>
    <row r="5" spans="1:51" x14ac:dyDescent="0.25">
      <c r="A5" t="s">
        <v>32</v>
      </c>
      <c r="B5" t="s">
        <v>33</v>
      </c>
      <c r="C5" t="s">
        <v>31</v>
      </c>
      <c r="E5" s="11">
        <v>3264</v>
      </c>
      <c r="F5" s="11">
        <v>2902</v>
      </c>
      <c r="G5" s="12">
        <f>Tabel2425678910[[#This Row],[Stand Coffee einde maand]]-Tabel2425678910[[#This Row],[Coffee vorige maand]]</f>
        <v>362</v>
      </c>
      <c r="H5" s="11">
        <v>963</v>
      </c>
      <c r="I5" s="11">
        <v>810</v>
      </c>
      <c r="J5" s="12">
        <f>Tabel2425678910[[#This Row],[Stand Espresso Einde maand]]-Tabel2425678910[[#This Row],[Espresso vorige maand]]</f>
        <v>153</v>
      </c>
      <c r="K5" s="11">
        <v>812</v>
      </c>
      <c r="L5" s="11">
        <v>733</v>
      </c>
      <c r="M5">
        <f>Tabel2425678910[[#This Row],[Stand Latte Macchiato einde maand]]-Tabel2425678910[[#This Row],[Latte Macchiato vorige maand]]</f>
        <v>79</v>
      </c>
      <c r="N5" s="11">
        <v>890</v>
      </c>
      <c r="O5" s="11">
        <v>821</v>
      </c>
      <c r="P5">
        <f>Tabel2425678910[[#This Row],[Stand Coffee Latte einde maand]]-Tabel2425678910[[#This Row],[Coffee Latte vorige maand]]</f>
        <v>69</v>
      </c>
      <c r="Q5" s="11">
        <v>7692</v>
      </c>
      <c r="R5" s="11">
        <v>6919</v>
      </c>
      <c r="S5">
        <f>Tabel2425678910[[#This Row],[Stand Hot Water einde maand]]-Tabel2425678910[[#This Row],[Hot Water vorige maand]]</f>
        <v>773</v>
      </c>
      <c r="T5" s="11">
        <v>4547</v>
      </c>
      <c r="U5" s="11">
        <v>4070</v>
      </c>
      <c r="V5">
        <f>Tabel2425678910[[#This Row],[Stand Cappucino einde maand]]-Tabel2425678910[[#This Row],[Stand Cappucino vorige maand]]</f>
        <v>477</v>
      </c>
      <c r="W5" s="11">
        <v>604</v>
      </c>
      <c r="X5" s="11">
        <v>557</v>
      </c>
      <c r="Y5">
        <f>Tabel2425678910[[#This Row],[Stand Cappucino Plantaardig einde maand]]-Tabel2425678910[[#This Row],[Stand Cappucino Plantaardig vorige maand]]</f>
        <v>47</v>
      </c>
      <c r="Z5" s="11">
        <v>354</v>
      </c>
      <c r="AA5" s="11">
        <v>332</v>
      </c>
      <c r="AB5" s="12">
        <f>Tabel2425678910[[#This Row],[Stand Latte Macchiato Plantaardig einde maand]]-Tabel2425678910[[#This Row],[Stand Latte Macchiato Plantaardig vorige maand]]</f>
        <v>22</v>
      </c>
      <c r="AC5" s="3">
        <f>Tabel2425678910[[#This Row],[Verbruik Stand Latte Macchiato Plantaardig deze maand]]+Tabel2425678910[[#This Row],[Verbruik  Cappucino Plantaardig deze maand]]+Tabel2425678910[[#This Row],[Verbruik Cappucino deze maand]]+Tabel2425678910[[#This Row],[Verbruik Hot Water deze maand]]+Tabel2425678910[[#This Row],[Verbruik Coffee Latte deze maand]]+Tabel2425678910[[#This Row],[Verbruik Latte Macchiato deze maand]]+Tabel2425678910[[#This Row],[Verbruik Espresso deze maand]]+Tabel2425678910[[#This Row],[Verbruik Coffee deze maand]]</f>
        <v>1982</v>
      </c>
      <c r="AD5" s="26"/>
      <c r="AE5" s="26"/>
      <c r="AF5" s="5"/>
      <c r="AG5" s="5"/>
      <c r="AH5" s="26"/>
      <c r="AI5" s="26"/>
      <c r="AJ5" s="5"/>
      <c r="AK5" s="5"/>
      <c r="AL5" s="26"/>
      <c r="AM5" s="26"/>
      <c r="AN5" s="5"/>
      <c r="AO5" s="5"/>
      <c r="AP5" s="26"/>
      <c r="AQ5" s="26"/>
      <c r="AR5" s="5"/>
      <c r="AS5" s="5"/>
      <c r="AT5" s="26"/>
      <c r="AU5" s="26"/>
      <c r="AV5" s="5"/>
      <c r="AW5" s="21"/>
      <c r="AX5" s="8"/>
      <c r="AY5" s="4">
        <f>Tabel2425678910[[#This Row],[Subtotaal waterbar in consumpties]]+Tabel2425678910[[#This Row],[Subtotaal koffieautomaten]]</f>
        <v>1982</v>
      </c>
    </row>
    <row r="6" spans="1:51" x14ac:dyDescent="0.25">
      <c r="A6" t="s">
        <v>34</v>
      </c>
      <c r="B6" t="s">
        <v>35</v>
      </c>
      <c r="C6" t="s">
        <v>47</v>
      </c>
      <c r="E6" s="11">
        <v>1916</v>
      </c>
      <c r="F6" s="11">
        <v>1473</v>
      </c>
      <c r="G6" s="12">
        <f>Tabel2425678910[[#This Row],[Stand Coffee einde maand]]-Tabel2425678910[[#This Row],[Coffee vorige maand]]</f>
        <v>443</v>
      </c>
      <c r="H6" s="11">
        <v>294</v>
      </c>
      <c r="I6" s="11">
        <v>197</v>
      </c>
      <c r="J6" s="12">
        <f>Tabel2425678910[[#This Row],[Stand Espresso Einde maand]]-Tabel2425678910[[#This Row],[Espresso vorige maand]]</f>
        <v>97</v>
      </c>
      <c r="K6" s="11">
        <v>394</v>
      </c>
      <c r="L6" s="11">
        <v>281</v>
      </c>
      <c r="M6">
        <f>Tabel2425678910[[#This Row],[Stand Latte Macchiato einde maand]]-Tabel2425678910[[#This Row],[Latte Macchiato vorige maand]]</f>
        <v>113</v>
      </c>
      <c r="N6" s="11">
        <v>363</v>
      </c>
      <c r="O6" s="11">
        <v>316</v>
      </c>
      <c r="P6">
        <f>Tabel2425678910[[#This Row],[Stand Coffee Latte einde maand]]-Tabel2425678910[[#This Row],[Coffee Latte vorige maand]]</f>
        <v>47</v>
      </c>
      <c r="Q6" s="11">
        <v>2132</v>
      </c>
      <c r="R6" s="11">
        <v>1621</v>
      </c>
      <c r="S6">
        <f>Tabel2425678910[[#This Row],[Stand Hot Water einde maand]]-Tabel2425678910[[#This Row],[Hot Water vorige maand]]</f>
        <v>511</v>
      </c>
      <c r="T6" s="11">
        <v>2733</v>
      </c>
      <c r="U6" s="11">
        <v>2119</v>
      </c>
      <c r="V6">
        <f>Tabel2425678910[[#This Row],[Stand Cappucino einde maand]]-Tabel2425678910[[#This Row],[Stand Cappucino vorige maand]]</f>
        <v>614</v>
      </c>
      <c r="W6" s="11">
        <v>229</v>
      </c>
      <c r="X6" s="11">
        <v>172</v>
      </c>
      <c r="Y6">
        <f>Tabel2425678910[[#This Row],[Stand Cappucino Plantaardig einde maand]]-Tabel2425678910[[#This Row],[Stand Cappucino Plantaardig vorige maand]]</f>
        <v>57</v>
      </c>
      <c r="Z6" s="11">
        <v>134</v>
      </c>
      <c r="AA6" s="11">
        <v>107</v>
      </c>
      <c r="AB6" s="12">
        <f>Tabel2425678910[[#This Row],[Stand Latte Macchiato Plantaardig einde maand]]-Tabel2425678910[[#This Row],[Stand Latte Macchiato Plantaardig vorige maand]]</f>
        <v>27</v>
      </c>
      <c r="AC6" s="3">
        <f>Tabel2425678910[[#This Row],[Verbruik Stand Latte Macchiato Plantaardig deze maand]]+Tabel2425678910[[#This Row],[Verbruik  Cappucino Plantaardig deze maand]]+Tabel2425678910[[#This Row],[Verbruik Cappucino deze maand]]+Tabel2425678910[[#This Row],[Verbruik Hot Water deze maand]]+Tabel2425678910[[#This Row],[Verbruik Coffee Latte deze maand]]+Tabel2425678910[[#This Row],[Verbruik Latte Macchiato deze maand]]+Tabel2425678910[[#This Row],[Verbruik Espresso deze maand]]+Tabel2425678910[[#This Row],[Verbruik Coffee deze maand]]</f>
        <v>1909</v>
      </c>
      <c r="AD6" s="11">
        <v>125</v>
      </c>
      <c r="AE6" s="11">
        <v>106.8</v>
      </c>
      <c r="AF6">
        <f>Tabel2425678910[[#This Row],[Stand Kamertemp liter einde maand]]-Tabel2425678910[[#This Row],[Stand Kamertemp liter vorige maand]]</f>
        <v>18.200000000000003</v>
      </c>
      <c r="AG6" s="2">
        <f>Tabel2425678910[[#This Row],[Verbruik Kamertemp liter deze maand]]/0.15</f>
        <v>121.33333333333336</v>
      </c>
      <c r="AH6" s="11">
        <v>1183.8</v>
      </c>
      <c r="AI6" s="11">
        <v>972.7</v>
      </c>
      <c r="AJ6">
        <f>Tabel2425678910[[#This Row],[Stand Gekoeld liter einde maand]]-Tabel2425678910[[#This Row],[Stand Gekoeld liter vorige maand]]</f>
        <v>211.09999999999991</v>
      </c>
      <c r="AK6" s="2">
        <f>Tabel2425678910[[#This Row],[Verbruik Gekoeld liter deze maand]]/0.15</f>
        <v>1407.3333333333328</v>
      </c>
      <c r="AL6" s="11">
        <v>700.5</v>
      </c>
      <c r="AM6" s="11">
        <v>585.79999999999995</v>
      </c>
      <c r="AN6">
        <f>Tabel2425678910[[#This Row],[Stand Bruisend liter einde maand]]-Tabel2425678910[[#This Row],[Stand Bruisend liter vorige maand]]</f>
        <v>114.70000000000005</v>
      </c>
      <c r="AO6" s="2">
        <f>Tabel2425678910[[#This Row],[Verbruik Bruisend liter deze maand]]/0.15</f>
        <v>764.66666666666697</v>
      </c>
      <c r="AP6" s="11">
        <v>269.5</v>
      </c>
      <c r="AQ6" s="11">
        <v>232.6</v>
      </c>
      <c r="AR6">
        <f>Tabel2425678910[[#This Row],[Stand licht bruisend liter einde maand]]-Tabel2425678910[[#This Row],[Stand licht bruisend liter vorige maand]]</f>
        <v>36.900000000000006</v>
      </c>
      <c r="AS6" s="2">
        <f>Tabel2425678910[[#This Row],[Verbruik licht bruisend liter deze maand]]/0.15</f>
        <v>246.00000000000006</v>
      </c>
      <c r="AT6" s="11">
        <v>1121.4000000000001</v>
      </c>
      <c r="AU6" s="11">
        <v>975.4</v>
      </c>
      <c r="AV6">
        <f>Tabel2425678910[[#This Row],[Stand heet water liter einde maand]]-Tabel2425678910[[#This Row],[Stand heet water liter vorige maand]]</f>
        <v>146.00000000000011</v>
      </c>
      <c r="AW6" s="20">
        <f>Tabel2425678910[[#This Row],[Verbruik heet Water liter deze maand ]]/0.15</f>
        <v>973.33333333333417</v>
      </c>
      <c r="AX6" s="4">
        <f>Tabel2425678910[[#This Row],[Aantal consumpties heet water deze maand]]+Tabel2425678910[[#This Row],[Aantal consumpties licht bruisend water deze maand]]+Tabel2425678910[[#This Row],[aantal consumpties Bruisend water deze maand]]+Tabel2425678910[[#This Row],[Aantal consumpties gekoeld water deze maand]]+Tabel2425678910[[#This Row],[Aantal consumpties Kamertemp deze maand]]</f>
        <v>3512.6666666666674</v>
      </c>
      <c r="AY6" s="4">
        <f>Tabel2425678910[[#This Row],[Subtotaal waterbar in consumpties]]+Tabel2425678910[[#This Row],[Subtotaal koffieautomaten]]</f>
        <v>5421.6666666666679</v>
      </c>
    </row>
    <row r="7" spans="1:51" x14ac:dyDescent="0.25">
      <c r="A7" t="s">
        <v>37</v>
      </c>
      <c r="B7" t="s">
        <v>38</v>
      </c>
      <c r="C7" t="s">
        <v>31</v>
      </c>
      <c r="E7" s="11">
        <v>4825</v>
      </c>
      <c r="F7" s="11">
        <v>3929</v>
      </c>
      <c r="G7" s="12">
        <f>Tabel2425678910[[#This Row],[Stand Coffee einde maand]]-Tabel2425678910[[#This Row],[Coffee vorige maand]]</f>
        <v>896</v>
      </c>
      <c r="H7" s="11">
        <v>1317</v>
      </c>
      <c r="I7" s="11">
        <v>1132</v>
      </c>
      <c r="J7" s="12">
        <f>Tabel2425678910[[#This Row],[Stand Espresso Einde maand]]-Tabel2425678910[[#This Row],[Espresso vorige maand]]</f>
        <v>185</v>
      </c>
      <c r="K7" s="11">
        <v>535</v>
      </c>
      <c r="L7" s="11">
        <v>463</v>
      </c>
      <c r="M7">
        <f>Tabel2425678910[[#This Row],[Stand Latte Macchiato einde maand]]-Tabel2425678910[[#This Row],[Latte Macchiato vorige maand]]</f>
        <v>72</v>
      </c>
      <c r="N7" s="11">
        <v>407</v>
      </c>
      <c r="O7" s="11">
        <v>340</v>
      </c>
      <c r="P7">
        <f>Tabel2425678910[[#This Row],[Stand Coffee Latte einde maand]]-Tabel2425678910[[#This Row],[Coffee Latte vorige maand]]</f>
        <v>67</v>
      </c>
      <c r="Q7" s="11">
        <v>7517</v>
      </c>
      <c r="R7" s="11">
        <v>6290</v>
      </c>
      <c r="S7">
        <f>Tabel2425678910[[#This Row],[Stand Hot Water einde maand]]-Tabel2425678910[[#This Row],[Hot Water vorige maand]]</f>
        <v>1227</v>
      </c>
      <c r="T7" s="11">
        <v>3316</v>
      </c>
      <c r="U7" s="11">
        <v>2924</v>
      </c>
      <c r="V7">
        <f>Tabel2425678910[[#This Row],[Stand Cappucino einde maand]]-Tabel2425678910[[#This Row],[Stand Cappucino vorige maand]]</f>
        <v>392</v>
      </c>
      <c r="W7" s="11">
        <v>200</v>
      </c>
      <c r="X7" s="11">
        <v>178</v>
      </c>
      <c r="Y7">
        <f>Tabel2425678910[[#This Row],[Stand Cappucino Plantaardig einde maand]]-Tabel2425678910[[#This Row],[Stand Cappucino Plantaardig vorige maand]]</f>
        <v>22</v>
      </c>
      <c r="Z7" s="11">
        <v>99</v>
      </c>
      <c r="AA7" s="11">
        <v>87</v>
      </c>
      <c r="AB7" s="12">
        <f>Tabel2425678910[[#This Row],[Stand Latte Macchiato Plantaardig einde maand]]-Tabel2425678910[[#This Row],[Stand Latte Macchiato Plantaardig vorige maand]]</f>
        <v>12</v>
      </c>
      <c r="AC7" s="3">
        <f>Tabel2425678910[[#This Row],[Verbruik Stand Latte Macchiato Plantaardig deze maand]]+Tabel2425678910[[#This Row],[Verbruik  Cappucino Plantaardig deze maand]]+Tabel2425678910[[#This Row],[Verbruik Cappucino deze maand]]+Tabel2425678910[[#This Row],[Verbruik Hot Water deze maand]]+Tabel2425678910[[#This Row],[Verbruik Coffee Latte deze maand]]+Tabel2425678910[[#This Row],[Verbruik Latte Macchiato deze maand]]+Tabel2425678910[[#This Row],[Verbruik Espresso deze maand]]+Tabel2425678910[[#This Row],[Verbruik Coffee deze maand]]</f>
        <v>2873</v>
      </c>
      <c r="AD7" s="26"/>
      <c r="AE7" s="26"/>
      <c r="AF7" s="5"/>
      <c r="AG7" s="5"/>
      <c r="AH7" s="26"/>
      <c r="AI7" s="26"/>
      <c r="AJ7" s="5"/>
      <c r="AK7" s="5"/>
      <c r="AL7" s="26"/>
      <c r="AM7" s="26"/>
      <c r="AN7" s="5"/>
      <c r="AO7" s="5"/>
      <c r="AP7" s="26"/>
      <c r="AQ7" s="26"/>
      <c r="AR7" s="5"/>
      <c r="AS7" s="5"/>
      <c r="AT7" s="26"/>
      <c r="AU7" s="26"/>
      <c r="AV7" s="5"/>
      <c r="AW7" s="21"/>
      <c r="AX7" s="8"/>
      <c r="AY7" s="4">
        <f>Tabel2425678910[[#This Row],[Subtotaal waterbar in consumpties]]+Tabel2425678910[[#This Row],[Subtotaal koffieautomaten]]</f>
        <v>2873</v>
      </c>
    </row>
    <row r="8" spans="1:51" x14ac:dyDescent="0.25">
      <c r="A8" t="s">
        <v>39</v>
      </c>
      <c r="B8" t="s">
        <v>40</v>
      </c>
      <c r="C8" t="s">
        <v>31</v>
      </c>
      <c r="E8" s="11">
        <v>6932</v>
      </c>
      <c r="F8" s="11">
        <v>6285</v>
      </c>
      <c r="G8" s="12">
        <f>Tabel2425678910[[#This Row],[Stand Coffee einde maand]]-Tabel2425678910[[#This Row],[Coffee vorige maand]]</f>
        <v>647</v>
      </c>
      <c r="H8" s="11">
        <v>1775</v>
      </c>
      <c r="I8" s="11">
        <v>1701</v>
      </c>
      <c r="J8" s="12">
        <f>Tabel2425678910[[#This Row],[Stand Espresso Einde maand]]-Tabel2425678910[[#This Row],[Espresso vorige maand]]</f>
        <v>74</v>
      </c>
      <c r="K8" s="11">
        <v>1090</v>
      </c>
      <c r="L8" s="11">
        <v>997</v>
      </c>
      <c r="M8">
        <f>Tabel2425678910[[#This Row],[Stand Latte Macchiato einde maand]]-Tabel2425678910[[#This Row],[Latte Macchiato vorige maand]]</f>
        <v>93</v>
      </c>
      <c r="N8" s="11">
        <v>633</v>
      </c>
      <c r="O8" s="11">
        <v>537</v>
      </c>
      <c r="P8">
        <f>Tabel2425678910[[#This Row],[Stand Coffee Latte einde maand]]-Tabel2425678910[[#This Row],[Coffee Latte vorige maand]]</f>
        <v>96</v>
      </c>
      <c r="Q8" s="11">
        <v>9871</v>
      </c>
      <c r="R8" s="11">
        <v>8765</v>
      </c>
      <c r="S8">
        <f>Tabel2425678910[[#This Row],[Stand Hot Water einde maand]]-Tabel2425678910[[#This Row],[Hot Water vorige maand]]</f>
        <v>1106</v>
      </c>
      <c r="T8" s="11">
        <v>5080</v>
      </c>
      <c r="U8" s="11">
        <v>4329</v>
      </c>
      <c r="V8">
        <f>Tabel2425678910[[#This Row],[Stand Cappucino einde maand]]-Tabel2425678910[[#This Row],[Stand Cappucino vorige maand]]</f>
        <v>751</v>
      </c>
      <c r="W8" s="11">
        <v>548</v>
      </c>
      <c r="X8" s="11">
        <v>536</v>
      </c>
      <c r="Y8">
        <f>Tabel2425678910[[#This Row],[Stand Cappucino Plantaardig einde maand]]-Tabel2425678910[[#This Row],[Stand Cappucino Plantaardig vorige maand]]</f>
        <v>12</v>
      </c>
      <c r="Z8" s="11">
        <v>68</v>
      </c>
      <c r="AA8" s="11">
        <v>58</v>
      </c>
      <c r="AB8" s="12">
        <f>Tabel2425678910[[#This Row],[Stand Latte Macchiato Plantaardig einde maand]]-Tabel2425678910[[#This Row],[Stand Latte Macchiato Plantaardig vorige maand]]</f>
        <v>10</v>
      </c>
      <c r="AC8" s="3">
        <f>Tabel2425678910[[#This Row],[Verbruik Stand Latte Macchiato Plantaardig deze maand]]+Tabel2425678910[[#This Row],[Verbruik  Cappucino Plantaardig deze maand]]+Tabel2425678910[[#This Row],[Verbruik Cappucino deze maand]]+Tabel2425678910[[#This Row],[Verbruik Hot Water deze maand]]+Tabel2425678910[[#This Row],[Verbruik Coffee Latte deze maand]]+Tabel2425678910[[#This Row],[Verbruik Latte Macchiato deze maand]]+Tabel2425678910[[#This Row],[Verbruik Espresso deze maand]]+Tabel2425678910[[#This Row],[Verbruik Coffee deze maand]]</f>
        <v>2789</v>
      </c>
      <c r="AD8" s="26"/>
      <c r="AE8" s="26"/>
      <c r="AF8" s="5"/>
      <c r="AG8" s="5"/>
      <c r="AH8" s="26"/>
      <c r="AI8" s="26"/>
      <c r="AJ8" s="5"/>
      <c r="AK8" s="5"/>
      <c r="AL8" s="26"/>
      <c r="AM8" s="26"/>
      <c r="AN8" s="5"/>
      <c r="AO8" s="5"/>
      <c r="AP8" s="26"/>
      <c r="AQ8" s="26"/>
      <c r="AR8" s="5"/>
      <c r="AS8" s="5"/>
      <c r="AT8" s="26"/>
      <c r="AU8" s="26"/>
      <c r="AV8" s="5"/>
      <c r="AW8" s="21"/>
      <c r="AX8" s="8"/>
      <c r="AY8" s="4">
        <f>Tabel2425678910[[#This Row],[Subtotaal waterbar in consumpties]]+Tabel2425678910[[#This Row],[Subtotaal koffieautomaten]]</f>
        <v>2789</v>
      </c>
    </row>
    <row r="9" spans="1:51" x14ac:dyDescent="0.25">
      <c r="A9" t="s">
        <v>41</v>
      </c>
      <c r="B9" t="s">
        <v>42</v>
      </c>
      <c r="C9" t="s">
        <v>31</v>
      </c>
      <c r="E9" s="11">
        <v>3208</v>
      </c>
      <c r="F9" s="11">
        <v>2742</v>
      </c>
      <c r="G9" s="12">
        <f>Tabel2425678910[[#This Row],[Stand Coffee einde maand]]-Tabel2425678910[[#This Row],[Coffee vorige maand]]</f>
        <v>466</v>
      </c>
      <c r="H9" s="11">
        <v>901</v>
      </c>
      <c r="I9" s="11">
        <v>813</v>
      </c>
      <c r="J9" s="12">
        <f>Tabel2425678910[[#This Row],[Stand Espresso Einde maand]]-Tabel2425678910[[#This Row],[Espresso vorige maand]]</f>
        <v>88</v>
      </c>
      <c r="K9" s="11">
        <v>1041</v>
      </c>
      <c r="L9" s="11">
        <v>954</v>
      </c>
      <c r="M9">
        <f>Tabel2425678910[[#This Row],[Stand Latte Macchiato einde maand]]-Tabel2425678910[[#This Row],[Latte Macchiato vorige maand]]</f>
        <v>87</v>
      </c>
      <c r="N9" s="11">
        <v>548</v>
      </c>
      <c r="O9" s="11">
        <v>481</v>
      </c>
      <c r="P9">
        <f>Tabel2425678910[[#This Row],[Stand Coffee Latte einde maand]]-Tabel2425678910[[#This Row],[Coffee Latte vorige maand]]</f>
        <v>67</v>
      </c>
      <c r="Q9" s="11">
        <v>10343</v>
      </c>
      <c r="R9" s="11">
        <v>9378</v>
      </c>
      <c r="S9">
        <f>Tabel2425678910[[#This Row],[Stand Hot Water einde maand]]-Tabel2425678910[[#This Row],[Hot Water vorige maand]]</f>
        <v>965</v>
      </c>
      <c r="T9" s="11">
        <v>2161</v>
      </c>
      <c r="U9" s="11">
        <v>1834</v>
      </c>
      <c r="V9">
        <f>Tabel2425678910[[#This Row],[Stand Cappucino einde maand]]-Tabel2425678910[[#This Row],[Stand Cappucino vorige maand]]</f>
        <v>327</v>
      </c>
      <c r="W9" s="11">
        <v>623</v>
      </c>
      <c r="X9" s="11">
        <v>553</v>
      </c>
      <c r="Y9">
        <f>Tabel2425678910[[#This Row],[Stand Cappucino Plantaardig einde maand]]-Tabel2425678910[[#This Row],[Stand Cappucino Plantaardig vorige maand]]</f>
        <v>70</v>
      </c>
      <c r="Z9" s="11">
        <v>234</v>
      </c>
      <c r="AA9" s="11">
        <v>210</v>
      </c>
      <c r="AB9" s="12">
        <f>Tabel2425678910[[#This Row],[Stand Latte Macchiato Plantaardig einde maand]]-Tabel2425678910[[#This Row],[Stand Latte Macchiato Plantaardig vorige maand]]</f>
        <v>24</v>
      </c>
      <c r="AC9" s="3">
        <f>Tabel2425678910[[#This Row],[Verbruik Stand Latte Macchiato Plantaardig deze maand]]+Tabel2425678910[[#This Row],[Verbruik  Cappucino Plantaardig deze maand]]+Tabel2425678910[[#This Row],[Verbruik Cappucino deze maand]]+Tabel2425678910[[#This Row],[Verbruik Hot Water deze maand]]+Tabel2425678910[[#This Row],[Verbruik Coffee Latte deze maand]]+Tabel2425678910[[#This Row],[Verbruik Latte Macchiato deze maand]]+Tabel2425678910[[#This Row],[Verbruik Espresso deze maand]]+Tabel2425678910[[#This Row],[Verbruik Coffee deze maand]]</f>
        <v>2094</v>
      </c>
      <c r="AD9" s="26"/>
      <c r="AE9" s="26"/>
      <c r="AF9" s="5"/>
      <c r="AG9" s="5"/>
      <c r="AH9" s="26"/>
      <c r="AI9" s="26"/>
      <c r="AJ9" s="5"/>
      <c r="AK9" s="5"/>
      <c r="AL9" s="26"/>
      <c r="AM9" s="26"/>
      <c r="AN9" s="5"/>
      <c r="AO9" s="5"/>
      <c r="AP9" s="26"/>
      <c r="AQ9" s="26"/>
      <c r="AR9" s="5"/>
      <c r="AS9" s="5"/>
      <c r="AT9" s="26"/>
      <c r="AU9" s="26"/>
      <c r="AV9" s="5"/>
      <c r="AW9" s="21"/>
      <c r="AX9" s="8"/>
      <c r="AY9" s="4">
        <f>Tabel2425678910[[#This Row],[Subtotaal waterbar in consumpties]]+Tabel2425678910[[#This Row],[Subtotaal koffieautomaten]]</f>
        <v>2094</v>
      </c>
    </row>
    <row r="10" spans="1:51" x14ac:dyDescent="0.25">
      <c r="A10" t="s">
        <v>43</v>
      </c>
      <c r="B10" t="s">
        <v>44</v>
      </c>
      <c r="C10" t="s">
        <v>31</v>
      </c>
      <c r="E10" s="11">
        <v>4709</v>
      </c>
      <c r="F10" s="11">
        <v>4198</v>
      </c>
      <c r="G10" s="12">
        <f>Tabel2425678910[[#This Row],[Stand Coffee einde maand]]-Tabel2425678910[[#This Row],[Coffee vorige maand]]</f>
        <v>511</v>
      </c>
      <c r="H10" s="11">
        <v>933</v>
      </c>
      <c r="I10" s="11">
        <v>817</v>
      </c>
      <c r="J10" s="12">
        <f>Tabel2425678910[[#This Row],[Stand Espresso Einde maand]]-Tabel2425678910[[#This Row],[Espresso vorige maand]]</f>
        <v>116</v>
      </c>
      <c r="K10" s="11">
        <v>449</v>
      </c>
      <c r="L10" s="11">
        <v>419</v>
      </c>
      <c r="M10">
        <f>Tabel2425678910[[#This Row],[Stand Latte Macchiato einde maand]]-Tabel2425678910[[#This Row],[Latte Macchiato vorige maand]]</f>
        <v>30</v>
      </c>
      <c r="N10" s="11">
        <v>360</v>
      </c>
      <c r="O10" s="11">
        <v>299</v>
      </c>
      <c r="P10">
        <f>Tabel2425678910[[#This Row],[Stand Coffee Latte einde maand]]-Tabel2425678910[[#This Row],[Coffee Latte vorige maand]]</f>
        <v>61</v>
      </c>
      <c r="Q10" s="11">
        <v>7413</v>
      </c>
      <c r="R10" s="11">
        <v>6455</v>
      </c>
      <c r="S10">
        <f>Tabel2425678910[[#This Row],[Stand Hot Water einde maand]]-Tabel2425678910[[#This Row],[Hot Water vorige maand]]</f>
        <v>958</v>
      </c>
      <c r="T10" s="11">
        <v>2454</v>
      </c>
      <c r="U10" s="11">
        <v>2131</v>
      </c>
      <c r="V10">
        <f>Tabel2425678910[[#This Row],[Stand Cappucino einde maand]]-Tabel2425678910[[#This Row],[Stand Cappucino vorige maand]]</f>
        <v>323</v>
      </c>
      <c r="W10" s="11">
        <v>746</v>
      </c>
      <c r="X10" s="11">
        <v>627</v>
      </c>
      <c r="Y10">
        <f>Tabel2425678910[[#This Row],[Stand Cappucino Plantaardig einde maand]]-Tabel2425678910[[#This Row],[Stand Cappucino Plantaardig vorige maand]]</f>
        <v>119</v>
      </c>
      <c r="Z10" s="11">
        <v>441</v>
      </c>
      <c r="AA10" s="11">
        <v>384</v>
      </c>
      <c r="AB10" s="12">
        <f>Tabel2425678910[[#This Row],[Stand Latte Macchiato Plantaardig einde maand]]-Tabel2425678910[[#This Row],[Stand Latte Macchiato Plantaardig vorige maand]]</f>
        <v>57</v>
      </c>
      <c r="AC10" s="3">
        <f>Tabel2425678910[[#This Row],[Verbruik Stand Latte Macchiato Plantaardig deze maand]]+Tabel2425678910[[#This Row],[Verbruik  Cappucino Plantaardig deze maand]]+Tabel2425678910[[#This Row],[Verbruik Cappucino deze maand]]+Tabel2425678910[[#This Row],[Verbruik Hot Water deze maand]]+Tabel2425678910[[#This Row],[Verbruik Coffee Latte deze maand]]+Tabel2425678910[[#This Row],[Verbruik Latte Macchiato deze maand]]+Tabel2425678910[[#This Row],[Verbruik Espresso deze maand]]+Tabel2425678910[[#This Row],[Verbruik Coffee deze maand]]</f>
        <v>2175</v>
      </c>
      <c r="AD10" s="26"/>
      <c r="AE10" s="26"/>
      <c r="AF10" s="5"/>
      <c r="AG10" s="7"/>
      <c r="AH10" s="26"/>
      <c r="AI10" s="26"/>
      <c r="AJ10" s="5"/>
      <c r="AK10" s="5"/>
      <c r="AL10" s="26"/>
      <c r="AM10" s="26"/>
      <c r="AN10" s="5"/>
      <c r="AO10" s="5"/>
      <c r="AP10" s="26"/>
      <c r="AQ10" s="26"/>
      <c r="AR10" s="5"/>
      <c r="AS10" s="5"/>
      <c r="AT10" s="26"/>
      <c r="AU10" s="26"/>
      <c r="AV10" s="5"/>
      <c r="AW10" s="21"/>
      <c r="AX10" s="8"/>
      <c r="AY10" s="4">
        <f>Tabel2425678910[[#This Row],[Subtotaal waterbar in consumpties]]+Tabel2425678910[[#This Row],[Subtotaal koffieautomaten]]</f>
        <v>2175</v>
      </c>
    </row>
    <row r="11" spans="1:51" x14ac:dyDescent="0.25">
      <c r="A11" t="s">
        <v>45</v>
      </c>
      <c r="B11" t="s">
        <v>46</v>
      </c>
      <c r="C11" t="s">
        <v>47</v>
      </c>
      <c r="E11" s="11">
        <v>7449</v>
      </c>
      <c r="F11" s="11">
        <v>6684</v>
      </c>
      <c r="G11" s="12">
        <f>Tabel2425678910[[#This Row],[Stand Coffee einde maand]]-Tabel2425678910[[#This Row],[Coffee vorige maand]]</f>
        <v>765</v>
      </c>
      <c r="H11" s="11">
        <v>730</v>
      </c>
      <c r="I11" s="11">
        <v>679</v>
      </c>
      <c r="J11" s="12">
        <f>Tabel2425678910[[#This Row],[Stand Espresso Einde maand]]-Tabel2425678910[[#This Row],[Espresso vorige maand]]</f>
        <v>51</v>
      </c>
      <c r="K11" s="11">
        <v>502</v>
      </c>
      <c r="L11" s="11">
        <v>440</v>
      </c>
      <c r="M11">
        <f>Tabel2425678910[[#This Row],[Stand Latte Macchiato einde maand]]-Tabel2425678910[[#This Row],[Latte Macchiato vorige maand]]</f>
        <v>62</v>
      </c>
      <c r="N11" s="11">
        <v>273</v>
      </c>
      <c r="O11" s="11">
        <v>246</v>
      </c>
      <c r="P11">
        <f>Tabel2425678910[[#This Row],[Stand Coffee Latte einde maand]]-Tabel2425678910[[#This Row],[Coffee Latte vorige maand]]</f>
        <v>27</v>
      </c>
      <c r="Q11" s="11">
        <v>1</v>
      </c>
      <c r="R11" s="11">
        <v>1</v>
      </c>
      <c r="S11">
        <f>Tabel2425678910[[#This Row],[Stand Hot Water einde maand]]-Tabel2425678910[[#This Row],[Hot Water vorige maand]]</f>
        <v>0</v>
      </c>
      <c r="T11" s="11">
        <v>2478</v>
      </c>
      <c r="U11" s="11">
        <v>2195</v>
      </c>
      <c r="V11">
        <f>Tabel2425678910[[#This Row],[Stand Cappucino einde maand]]-Tabel2425678910[[#This Row],[Stand Cappucino vorige maand]]</f>
        <v>283</v>
      </c>
      <c r="W11" s="11">
        <v>1053</v>
      </c>
      <c r="X11" s="11">
        <v>856</v>
      </c>
      <c r="Y11">
        <f>Tabel2425678910[[#This Row],[Stand Cappucino Plantaardig einde maand]]-Tabel2425678910[[#This Row],[Stand Cappucino Plantaardig vorige maand]]</f>
        <v>197</v>
      </c>
      <c r="Z11" s="11">
        <v>415</v>
      </c>
      <c r="AA11" s="11">
        <v>382</v>
      </c>
      <c r="AB11" s="12">
        <f>Tabel2425678910[[#This Row],[Stand Latte Macchiato Plantaardig einde maand]]-Tabel2425678910[[#This Row],[Stand Latte Macchiato Plantaardig vorige maand]]</f>
        <v>33</v>
      </c>
      <c r="AC11" s="3">
        <f>Tabel2425678910[[#This Row],[Verbruik Stand Latte Macchiato Plantaardig deze maand]]+Tabel2425678910[[#This Row],[Verbruik  Cappucino Plantaardig deze maand]]+Tabel2425678910[[#This Row],[Verbruik Cappucino deze maand]]+Tabel2425678910[[#This Row],[Verbruik Hot Water deze maand]]+Tabel2425678910[[#This Row],[Verbruik Coffee Latte deze maand]]+Tabel2425678910[[#This Row],[Verbruik Latte Macchiato deze maand]]+Tabel2425678910[[#This Row],[Verbruik Espresso deze maand]]+Tabel2425678910[[#This Row],[Verbruik Coffee deze maand]]</f>
        <v>1418</v>
      </c>
      <c r="AD11" s="11">
        <v>231.8</v>
      </c>
      <c r="AE11" s="11">
        <v>205.9</v>
      </c>
      <c r="AF11">
        <f>Tabel2425678910[[#This Row],[Stand Kamertemp liter einde maand]]-Tabel2425678910[[#This Row],[Stand Kamertemp liter vorige maand]]</f>
        <v>25.900000000000006</v>
      </c>
      <c r="AG11" s="2">
        <f>Tabel2425678910[[#This Row],[Verbruik Kamertemp liter deze maand]]/0.15</f>
        <v>172.66666666666671</v>
      </c>
      <c r="AH11" s="11">
        <v>1427.8</v>
      </c>
      <c r="AI11" s="11">
        <v>1210.9000000000001</v>
      </c>
      <c r="AJ11">
        <f>Tabel2425678910[[#This Row],[Stand Gekoeld liter einde maand]]-Tabel2425678910[[#This Row],[Stand Gekoeld liter vorige maand]]</f>
        <v>216.89999999999986</v>
      </c>
      <c r="AK11" s="2">
        <f>Tabel2425678910[[#This Row],[Verbruik Gekoeld liter deze maand]]/0.15</f>
        <v>1445.9999999999991</v>
      </c>
      <c r="AL11" s="11">
        <v>1338.9</v>
      </c>
      <c r="AM11" s="11">
        <v>1167</v>
      </c>
      <c r="AN11">
        <f>Tabel2425678910[[#This Row],[Stand Bruisend liter einde maand]]-Tabel2425678910[[#This Row],[Stand Bruisend liter vorige maand]]</f>
        <v>171.90000000000009</v>
      </c>
      <c r="AO11" s="2">
        <f>Tabel2425678910[[#This Row],[Verbruik Bruisend liter deze maand]]/0.15</f>
        <v>1146.0000000000007</v>
      </c>
      <c r="AP11" s="11">
        <v>571.9</v>
      </c>
      <c r="AQ11" s="11">
        <v>525</v>
      </c>
      <c r="AR11">
        <f>Tabel2425678910[[#This Row],[Stand licht bruisend liter einde maand]]-Tabel2425678910[[#This Row],[Stand licht bruisend liter vorige maand]]</f>
        <v>46.899999999999977</v>
      </c>
      <c r="AS11" s="2">
        <f>Tabel2425678910[[#This Row],[Verbruik licht bruisend liter deze maand]]/0.15</f>
        <v>312.66666666666652</v>
      </c>
      <c r="AT11" s="11">
        <v>3207.3</v>
      </c>
      <c r="AU11" s="11">
        <v>2916.9</v>
      </c>
      <c r="AV11">
        <f>Tabel2425678910[[#This Row],[Stand heet water liter einde maand]]-Tabel2425678910[[#This Row],[Stand heet water liter vorige maand]]</f>
        <v>290.40000000000009</v>
      </c>
      <c r="AW11" s="20">
        <f>Tabel2425678910[[#This Row],[Verbruik heet Water liter deze maand ]]/0.15</f>
        <v>1936.0000000000007</v>
      </c>
      <c r="AX11" s="4">
        <f>Tabel2425678910[[#This Row],[Aantal consumpties heet water deze maand]]+Tabel2425678910[[#This Row],[Aantal consumpties licht bruisend water deze maand]]+Tabel2425678910[[#This Row],[aantal consumpties Bruisend water deze maand]]+Tabel2425678910[[#This Row],[Aantal consumpties gekoeld water deze maand]]+Tabel2425678910[[#This Row],[Aantal consumpties Kamertemp deze maand]]</f>
        <v>5013.3333333333339</v>
      </c>
      <c r="AY11" s="4">
        <f>Tabel2425678910[[#This Row],[Subtotaal waterbar in consumpties]]+Tabel2425678910[[#This Row],[Subtotaal koffieautomaten]]</f>
        <v>6431.3333333333339</v>
      </c>
    </row>
    <row r="12" spans="1:51" x14ac:dyDescent="0.25">
      <c r="A12" t="s">
        <v>48</v>
      </c>
      <c r="B12" t="s">
        <v>49</v>
      </c>
      <c r="C12" t="s">
        <v>31</v>
      </c>
      <c r="E12" s="11">
        <v>7790</v>
      </c>
      <c r="F12" s="11">
        <v>7024</v>
      </c>
      <c r="G12" s="12">
        <f>Tabel2425678910[[#This Row],[Stand Coffee einde maand]]-Tabel2425678910[[#This Row],[Coffee vorige maand]]</f>
        <v>766</v>
      </c>
      <c r="H12" s="11">
        <v>2332</v>
      </c>
      <c r="I12" s="11">
        <v>2141</v>
      </c>
      <c r="J12" s="12">
        <f>Tabel2425678910[[#This Row],[Stand Espresso Einde maand]]-Tabel2425678910[[#This Row],[Espresso vorige maand]]</f>
        <v>191</v>
      </c>
      <c r="K12" s="11">
        <v>617</v>
      </c>
      <c r="L12" s="11">
        <v>549</v>
      </c>
      <c r="M12">
        <f>Tabel2425678910[[#This Row],[Stand Latte Macchiato einde maand]]-Tabel2425678910[[#This Row],[Latte Macchiato vorige maand]]</f>
        <v>68</v>
      </c>
      <c r="N12" s="11">
        <v>108</v>
      </c>
      <c r="O12" s="11">
        <v>91</v>
      </c>
      <c r="P12">
        <f>Tabel2425678910[[#This Row],[Stand Coffee Latte einde maand]]-Tabel2425678910[[#This Row],[Coffee Latte vorige maand]]</f>
        <v>17</v>
      </c>
      <c r="Q12" s="11">
        <v>17890</v>
      </c>
      <c r="R12" s="11">
        <v>16231</v>
      </c>
      <c r="S12">
        <f>Tabel2425678910[[#This Row],[Stand Hot Water einde maand]]-Tabel2425678910[[#This Row],[Hot Water vorige maand]]</f>
        <v>1659</v>
      </c>
      <c r="T12" s="11">
        <v>3413</v>
      </c>
      <c r="U12" s="11">
        <v>3046</v>
      </c>
      <c r="V12">
        <f>Tabel2425678910[[#This Row],[Stand Cappucino einde maand]]-Tabel2425678910[[#This Row],[Stand Cappucino vorige maand]]</f>
        <v>367</v>
      </c>
      <c r="W12" s="11">
        <v>1040</v>
      </c>
      <c r="X12" s="11">
        <v>965</v>
      </c>
      <c r="Y12">
        <f>Tabel2425678910[[#This Row],[Stand Cappucino Plantaardig einde maand]]-Tabel2425678910[[#This Row],[Stand Cappucino Plantaardig vorige maand]]</f>
        <v>75</v>
      </c>
      <c r="Z12" s="11">
        <v>265</v>
      </c>
      <c r="AA12" s="11">
        <v>229</v>
      </c>
      <c r="AB12" s="12">
        <f>Tabel2425678910[[#This Row],[Stand Latte Macchiato Plantaardig einde maand]]-Tabel2425678910[[#This Row],[Stand Latte Macchiato Plantaardig vorige maand]]</f>
        <v>36</v>
      </c>
      <c r="AC12" s="3">
        <f>Tabel2425678910[[#This Row],[Verbruik Stand Latte Macchiato Plantaardig deze maand]]+Tabel2425678910[[#This Row],[Verbruik  Cappucino Plantaardig deze maand]]+Tabel2425678910[[#This Row],[Verbruik Cappucino deze maand]]+Tabel2425678910[[#This Row],[Verbruik Hot Water deze maand]]+Tabel2425678910[[#This Row],[Verbruik Coffee Latte deze maand]]+Tabel2425678910[[#This Row],[Verbruik Latte Macchiato deze maand]]+Tabel2425678910[[#This Row],[Verbruik Espresso deze maand]]+Tabel2425678910[[#This Row],[Verbruik Coffee deze maand]]</f>
        <v>3179</v>
      </c>
      <c r="AD12" s="26"/>
      <c r="AE12" s="26"/>
      <c r="AF12" s="5"/>
      <c r="AG12" s="7"/>
      <c r="AH12" s="26"/>
      <c r="AI12" s="26"/>
      <c r="AJ12" s="5"/>
      <c r="AK12" s="7"/>
      <c r="AL12" s="26"/>
      <c r="AM12" s="26"/>
      <c r="AN12" s="5"/>
      <c r="AO12" s="5"/>
      <c r="AP12" s="26"/>
      <c r="AQ12" s="26"/>
      <c r="AR12" s="5"/>
      <c r="AS12" s="7"/>
      <c r="AT12" s="26"/>
      <c r="AU12" s="26"/>
      <c r="AV12" s="5"/>
      <c r="AW12" s="21"/>
      <c r="AX12" s="8"/>
      <c r="AY12" s="4">
        <f>Tabel2425678910[[#This Row],[Subtotaal waterbar in consumpties]]+Tabel2425678910[[#This Row],[Subtotaal koffieautomaten]]</f>
        <v>3179</v>
      </c>
    </row>
    <row r="13" spans="1:51" x14ac:dyDescent="0.25">
      <c r="A13" t="s">
        <v>50</v>
      </c>
      <c r="B13" t="s">
        <v>51</v>
      </c>
      <c r="C13" t="s">
        <v>47</v>
      </c>
      <c r="E13" s="11">
        <v>6049</v>
      </c>
      <c r="F13" s="11">
        <v>5397</v>
      </c>
      <c r="G13" s="12">
        <f>Tabel2425678910[[#This Row],[Stand Coffee einde maand]]-Tabel2425678910[[#This Row],[Coffee vorige maand]]</f>
        <v>652</v>
      </c>
      <c r="H13" s="11">
        <v>1385</v>
      </c>
      <c r="I13" s="11">
        <v>1259</v>
      </c>
      <c r="J13" s="12">
        <f>Tabel2425678910[[#This Row],[Stand Espresso Einde maand]]-Tabel2425678910[[#This Row],[Espresso vorige maand]]</f>
        <v>126</v>
      </c>
      <c r="K13" s="11">
        <v>742</v>
      </c>
      <c r="L13" s="11">
        <v>669</v>
      </c>
      <c r="M13">
        <f>Tabel2425678910[[#This Row],[Stand Latte Macchiato einde maand]]-Tabel2425678910[[#This Row],[Latte Macchiato vorige maand]]</f>
        <v>73</v>
      </c>
      <c r="N13" s="11">
        <v>632</v>
      </c>
      <c r="O13" s="11">
        <v>540</v>
      </c>
      <c r="P13">
        <f>Tabel2425678910[[#This Row],[Stand Coffee Latte einde maand]]-Tabel2425678910[[#This Row],[Coffee Latte vorige maand]]</f>
        <v>92</v>
      </c>
      <c r="Q13" s="11">
        <v>1</v>
      </c>
      <c r="R13" s="11">
        <v>1</v>
      </c>
      <c r="S13">
        <f>Tabel2425678910[[#This Row],[Stand Hot Water einde maand]]-Tabel2425678910[[#This Row],[Hot Water vorige maand]]</f>
        <v>0</v>
      </c>
      <c r="T13" s="11">
        <v>2673</v>
      </c>
      <c r="U13" s="11">
        <v>2349</v>
      </c>
      <c r="V13">
        <f>Tabel2425678910[[#This Row],[Stand Cappucino einde maand]]-Tabel2425678910[[#This Row],[Stand Cappucino vorige maand]]</f>
        <v>324</v>
      </c>
      <c r="W13" s="11">
        <v>859</v>
      </c>
      <c r="X13" s="11">
        <v>824</v>
      </c>
      <c r="Y13">
        <f>Tabel2425678910[[#This Row],[Stand Cappucino Plantaardig einde maand]]-Tabel2425678910[[#This Row],[Stand Cappucino Plantaardig vorige maand]]</f>
        <v>35</v>
      </c>
      <c r="Z13" s="11">
        <v>211</v>
      </c>
      <c r="AA13" s="11">
        <v>201</v>
      </c>
      <c r="AB13" s="12">
        <f>Tabel2425678910[[#This Row],[Stand Latte Macchiato Plantaardig einde maand]]-Tabel2425678910[[#This Row],[Stand Latte Macchiato Plantaardig vorige maand]]</f>
        <v>10</v>
      </c>
      <c r="AC13" s="3">
        <f>Tabel2425678910[[#This Row],[Verbruik Stand Latte Macchiato Plantaardig deze maand]]+Tabel2425678910[[#This Row],[Verbruik  Cappucino Plantaardig deze maand]]+Tabel2425678910[[#This Row],[Verbruik Cappucino deze maand]]+Tabel2425678910[[#This Row],[Verbruik Hot Water deze maand]]+Tabel2425678910[[#This Row],[Verbruik Coffee Latte deze maand]]+Tabel2425678910[[#This Row],[Verbruik Latte Macchiato deze maand]]+Tabel2425678910[[#This Row],[Verbruik Espresso deze maand]]+Tabel2425678910[[#This Row],[Verbruik Coffee deze maand]]</f>
        <v>1312</v>
      </c>
      <c r="AD13" s="11">
        <v>175.1</v>
      </c>
      <c r="AE13" s="11">
        <v>152.19999999999999</v>
      </c>
      <c r="AF13">
        <f>Tabel2425678910[[#This Row],[Stand Kamertemp liter einde maand]]-Tabel2425678910[[#This Row],[Stand Kamertemp liter vorige maand]]</f>
        <v>22.900000000000006</v>
      </c>
      <c r="AG13" s="2">
        <f>Tabel2425678910[[#This Row],[Verbruik Kamertemp liter deze maand]]/0.15</f>
        <v>152.66666666666671</v>
      </c>
      <c r="AH13" s="11">
        <v>1664.6</v>
      </c>
      <c r="AI13" s="11">
        <v>1380.4</v>
      </c>
      <c r="AJ13">
        <f>Tabel2425678910[[#This Row],[Stand Gekoeld liter einde maand]]-Tabel2425678910[[#This Row],[Stand Gekoeld liter vorige maand]]</f>
        <v>284.19999999999982</v>
      </c>
      <c r="AK13" s="2">
        <f>Tabel2425678910[[#This Row],[Verbruik Gekoeld liter deze maand]]/0.15</f>
        <v>1894.6666666666656</v>
      </c>
      <c r="AL13" s="11">
        <v>1234.5999999999999</v>
      </c>
      <c r="AM13" s="11">
        <v>1092.8</v>
      </c>
      <c r="AN13">
        <f>Tabel2425678910[[#This Row],[Stand Bruisend liter einde maand]]-Tabel2425678910[[#This Row],[Stand Bruisend liter vorige maand]]</f>
        <v>141.79999999999995</v>
      </c>
      <c r="AO13" s="2">
        <f>Tabel2425678910[[#This Row],[Verbruik Bruisend liter deze maand]]/0.15</f>
        <v>945.33333333333303</v>
      </c>
      <c r="AP13" s="11">
        <v>920.1</v>
      </c>
      <c r="AQ13" s="11">
        <v>813.4</v>
      </c>
      <c r="AR13">
        <f>Tabel2425678910[[#This Row],[Stand licht bruisend liter einde maand]]-Tabel2425678910[[#This Row],[Stand licht bruisend liter vorige maand]]</f>
        <v>106.70000000000005</v>
      </c>
      <c r="AS13" s="2">
        <f>Tabel2425678910[[#This Row],[Verbruik licht bruisend liter deze maand]]/0.15</f>
        <v>711.33333333333371</v>
      </c>
      <c r="AT13" s="11">
        <v>3807.7</v>
      </c>
      <c r="AU13" s="11">
        <v>3398</v>
      </c>
      <c r="AV13">
        <f>Tabel2425678910[[#This Row],[Stand heet water liter einde maand]]-Tabel2425678910[[#This Row],[Stand heet water liter vorige maand]]</f>
        <v>409.69999999999982</v>
      </c>
      <c r="AW13" s="20">
        <f>Tabel2425678910[[#This Row],[Verbruik heet Water liter deze maand ]]/0.15</f>
        <v>2731.3333333333321</v>
      </c>
      <c r="AX13" s="4">
        <f>Tabel2425678910[[#This Row],[Aantal consumpties heet water deze maand]]+Tabel2425678910[[#This Row],[Aantal consumpties licht bruisend water deze maand]]+Tabel2425678910[[#This Row],[aantal consumpties Bruisend water deze maand]]+Tabel2425678910[[#This Row],[Aantal consumpties gekoeld water deze maand]]+Tabel2425678910[[#This Row],[Aantal consumpties Kamertemp deze maand]]</f>
        <v>6435.3333333333312</v>
      </c>
      <c r="AY13" s="4">
        <f>Tabel2425678910[[#This Row],[Subtotaal waterbar in consumpties]]+Tabel2425678910[[#This Row],[Subtotaal koffieautomaten]]</f>
        <v>7747.3333333333312</v>
      </c>
    </row>
    <row r="14" spans="1:51" x14ac:dyDescent="0.25">
      <c r="A14" t="s">
        <v>52</v>
      </c>
      <c r="B14" t="s">
        <v>53</v>
      </c>
      <c r="C14" t="s">
        <v>31</v>
      </c>
      <c r="E14" s="11">
        <v>6083</v>
      </c>
      <c r="F14" s="11">
        <v>5488</v>
      </c>
      <c r="G14" s="12">
        <f>Tabel2425678910[[#This Row],[Stand Coffee einde maand]]-Tabel2425678910[[#This Row],[Coffee vorige maand]]</f>
        <v>595</v>
      </c>
      <c r="H14" s="11">
        <v>1578</v>
      </c>
      <c r="I14" s="11">
        <v>1413</v>
      </c>
      <c r="J14" s="12">
        <f>Tabel2425678910[[#This Row],[Stand Espresso Einde maand]]-Tabel2425678910[[#This Row],[Espresso vorige maand]]</f>
        <v>165</v>
      </c>
      <c r="K14" s="11">
        <v>353</v>
      </c>
      <c r="L14" s="11">
        <v>315</v>
      </c>
      <c r="M14">
        <f>Tabel2425678910[[#This Row],[Stand Latte Macchiato einde maand]]-Tabel2425678910[[#This Row],[Latte Macchiato vorige maand]]</f>
        <v>38</v>
      </c>
      <c r="N14" s="11">
        <v>330</v>
      </c>
      <c r="O14" s="11">
        <v>300</v>
      </c>
      <c r="P14">
        <f>Tabel2425678910[[#This Row],[Stand Coffee Latte einde maand]]-Tabel2425678910[[#This Row],[Coffee Latte vorige maand]]</f>
        <v>30</v>
      </c>
      <c r="Q14" s="11">
        <v>9031</v>
      </c>
      <c r="R14" s="11">
        <v>8159</v>
      </c>
      <c r="S14">
        <f>Tabel2425678910[[#This Row],[Stand Hot Water einde maand]]-Tabel2425678910[[#This Row],[Hot Water vorige maand]]</f>
        <v>872</v>
      </c>
      <c r="T14" s="11">
        <v>2848</v>
      </c>
      <c r="U14" s="11">
        <v>2538</v>
      </c>
      <c r="V14">
        <f>Tabel2425678910[[#This Row],[Stand Cappucino einde maand]]-Tabel2425678910[[#This Row],[Stand Cappucino vorige maand]]</f>
        <v>310</v>
      </c>
      <c r="W14" s="11">
        <v>808</v>
      </c>
      <c r="X14" s="11">
        <v>745</v>
      </c>
      <c r="Y14">
        <f>Tabel2425678910[[#This Row],[Stand Cappucino Plantaardig einde maand]]-Tabel2425678910[[#This Row],[Stand Cappucino Plantaardig vorige maand]]</f>
        <v>63</v>
      </c>
      <c r="Z14" s="11">
        <v>196</v>
      </c>
      <c r="AA14" s="11">
        <v>177</v>
      </c>
      <c r="AB14" s="12">
        <f>Tabel2425678910[[#This Row],[Stand Latte Macchiato Plantaardig einde maand]]-Tabel2425678910[[#This Row],[Stand Latte Macchiato Plantaardig vorige maand]]</f>
        <v>19</v>
      </c>
      <c r="AC14" s="3">
        <f>Tabel2425678910[[#This Row],[Verbruik Stand Latte Macchiato Plantaardig deze maand]]+Tabel2425678910[[#This Row],[Verbruik  Cappucino Plantaardig deze maand]]+Tabel2425678910[[#This Row],[Verbruik Cappucino deze maand]]+Tabel2425678910[[#This Row],[Verbruik Hot Water deze maand]]+Tabel2425678910[[#This Row],[Verbruik Coffee Latte deze maand]]+Tabel2425678910[[#This Row],[Verbruik Latte Macchiato deze maand]]+Tabel2425678910[[#This Row],[Verbruik Espresso deze maand]]+Tabel2425678910[[#This Row],[Verbruik Coffee deze maand]]</f>
        <v>2092</v>
      </c>
      <c r="AD14" s="26"/>
      <c r="AE14" s="26"/>
      <c r="AF14" s="5"/>
      <c r="AG14" s="7"/>
      <c r="AH14" s="26"/>
      <c r="AI14" s="26"/>
      <c r="AJ14" s="5"/>
      <c r="AK14" s="7"/>
      <c r="AL14" s="26"/>
      <c r="AM14" s="26"/>
      <c r="AN14" s="5"/>
      <c r="AO14" s="5"/>
      <c r="AP14" s="26"/>
      <c r="AQ14" s="26"/>
      <c r="AR14" s="5"/>
      <c r="AS14" s="7"/>
      <c r="AT14" s="26"/>
      <c r="AU14" s="26"/>
      <c r="AV14" s="5"/>
      <c r="AW14" s="21"/>
      <c r="AX14" s="8"/>
      <c r="AY14" s="4">
        <f>Tabel2425678910[[#This Row],[Subtotaal waterbar in consumpties]]+Tabel2425678910[[#This Row],[Subtotaal koffieautomaten]]</f>
        <v>2092</v>
      </c>
    </row>
    <row r="15" spans="1:51" x14ac:dyDescent="0.25">
      <c r="A15" t="s">
        <v>54</v>
      </c>
      <c r="B15" t="s">
        <v>55</v>
      </c>
      <c r="C15" t="s">
        <v>36</v>
      </c>
      <c r="E15" s="42"/>
      <c r="F15" s="42"/>
      <c r="G15" s="43"/>
      <c r="H15" s="42"/>
      <c r="I15" s="42"/>
      <c r="J15" s="43"/>
      <c r="K15" s="42"/>
      <c r="L15" s="42"/>
      <c r="M15" s="43"/>
      <c r="N15" s="42"/>
      <c r="O15" s="42"/>
      <c r="P15" s="43"/>
      <c r="Q15" s="42"/>
      <c r="R15" s="42"/>
      <c r="S15" s="43"/>
      <c r="T15" s="42"/>
      <c r="U15" s="42"/>
      <c r="V15" s="43"/>
      <c r="W15" s="42"/>
      <c r="X15" s="42"/>
      <c r="Y15" s="43"/>
      <c r="Z15" s="42"/>
      <c r="AA15" s="42"/>
      <c r="AB15" s="43"/>
      <c r="AC15" s="43"/>
      <c r="AD15" s="11">
        <v>129</v>
      </c>
      <c r="AE15" s="11">
        <v>121</v>
      </c>
      <c r="AF15">
        <f>Tabel2425678910[[#This Row],[Stand Kamertemp liter einde maand]]-Tabel2425678910[[#This Row],[Stand Kamertemp liter vorige maand]]</f>
        <v>8</v>
      </c>
      <c r="AG15" s="2">
        <f>Tabel2425678910[[#This Row],[Verbruik Kamertemp liter deze maand]]/0.15</f>
        <v>53.333333333333336</v>
      </c>
      <c r="AH15" s="25">
        <v>793.2</v>
      </c>
      <c r="AI15" s="25">
        <v>687.8</v>
      </c>
      <c r="AJ15">
        <f>Tabel2425678910[[#This Row],[Stand Gekoeld liter einde maand]]-Tabel2425678910[[#This Row],[Stand Gekoeld liter vorige maand]]</f>
        <v>105.40000000000009</v>
      </c>
      <c r="AK15" s="2">
        <f>Tabel2425678910[[#This Row],[Verbruik Gekoeld liter deze maand]]/0.15</f>
        <v>702.66666666666731</v>
      </c>
      <c r="AL15" s="26">
        <v>931.6</v>
      </c>
      <c r="AM15" s="26">
        <v>808.2</v>
      </c>
      <c r="AN15">
        <f>Tabel2425678910[[#This Row],[Stand Bruisend liter einde maand]]-Tabel2425678910[[#This Row],[Stand Bruisend liter vorige maand]]</f>
        <v>123.39999999999998</v>
      </c>
      <c r="AO15" s="2">
        <f>Tabel2425678910[[#This Row],[Verbruik Bruisend liter deze maand]]/0.15</f>
        <v>822.66666666666652</v>
      </c>
      <c r="AP15" s="26">
        <v>331.5</v>
      </c>
      <c r="AQ15" s="26">
        <v>300.8</v>
      </c>
      <c r="AR15">
        <f>Tabel2425678910[[#This Row],[Stand licht bruisend liter einde maand]]-Tabel2425678910[[#This Row],[Stand licht bruisend liter vorige maand]]</f>
        <v>30.699999999999989</v>
      </c>
      <c r="AS15" s="2">
        <f>Tabel2425678910[[#This Row],[Verbruik licht bruisend liter deze maand]]/0.15</f>
        <v>204.6666666666666</v>
      </c>
      <c r="AT15" s="26">
        <v>2068.6999999999998</v>
      </c>
      <c r="AU15" s="26">
        <v>1892.6</v>
      </c>
      <c r="AV15">
        <f>Tabel2425678910[[#This Row],[Stand heet water liter einde maand]]-Tabel2425678910[[#This Row],[Stand heet water liter vorige maand]]</f>
        <v>176.09999999999991</v>
      </c>
      <c r="AW15" s="20">
        <f>Tabel2425678910[[#This Row],[Verbruik heet Water liter deze maand ]]/0.15</f>
        <v>1173.9999999999995</v>
      </c>
      <c r="AX15" s="4">
        <f>Tabel2425678910[[#This Row],[Aantal consumpties heet water deze maand]]+Tabel2425678910[[#This Row],[Aantal consumpties licht bruisend water deze maand]]+Tabel2425678910[[#This Row],[aantal consumpties Bruisend water deze maand]]+Tabel2425678910[[#This Row],[Aantal consumpties gekoeld water deze maand]]+Tabel2425678910[[#This Row],[Aantal consumpties Kamertemp deze maand]]</f>
        <v>2957.3333333333335</v>
      </c>
      <c r="AY15" s="4">
        <f>Tabel2425678910[[#This Row],[Subtotaal waterbar in consumpties]]+Tabel2425678910[[#This Row],[Subtotaal koffieautomaten]]</f>
        <v>2957.3333333333335</v>
      </c>
    </row>
    <row r="16" spans="1:51" x14ac:dyDescent="0.25">
      <c r="A16" t="s">
        <v>56</v>
      </c>
      <c r="B16" t="s">
        <v>57</v>
      </c>
      <c r="C16" t="s">
        <v>31</v>
      </c>
      <c r="E16" s="11">
        <v>8057</v>
      </c>
      <c r="F16" s="11">
        <v>7207</v>
      </c>
      <c r="G16" s="12">
        <f>Tabel2425678910[[#This Row],[Stand Coffee einde maand]]-Tabel2425678910[[#This Row],[Coffee vorige maand]]</f>
        <v>850</v>
      </c>
      <c r="H16" s="11">
        <v>1940</v>
      </c>
      <c r="I16" s="11">
        <v>1688</v>
      </c>
      <c r="J16" s="12">
        <f>Tabel2425678910[[#This Row],[Stand Espresso Einde maand]]-Tabel2425678910[[#This Row],[Espresso vorige maand]]</f>
        <v>252</v>
      </c>
      <c r="K16" s="11">
        <v>301</v>
      </c>
      <c r="L16" s="11">
        <v>251</v>
      </c>
      <c r="M16">
        <f>Tabel2425678910[[#This Row],[Stand Latte Macchiato einde maand]]-Tabel2425678910[[#This Row],[Latte Macchiato vorige maand]]</f>
        <v>50</v>
      </c>
      <c r="N16" s="11">
        <v>693</v>
      </c>
      <c r="O16" s="11">
        <v>637</v>
      </c>
      <c r="P16">
        <f>Tabel2425678910[[#This Row],[Stand Coffee Latte einde maand]]-Tabel2425678910[[#This Row],[Coffee Latte vorige maand]]</f>
        <v>56</v>
      </c>
      <c r="Q16" s="11">
        <v>12400</v>
      </c>
      <c r="R16" s="11">
        <v>10974</v>
      </c>
      <c r="S16">
        <f>Tabel2425678910[[#This Row],[Stand Hot Water einde maand]]-Tabel2425678910[[#This Row],[Hot Water vorige maand]]</f>
        <v>1426</v>
      </c>
      <c r="T16" s="11">
        <v>4415</v>
      </c>
      <c r="U16" s="11">
        <v>3884</v>
      </c>
      <c r="V16">
        <f>Tabel2425678910[[#This Row],[Stand Cappucino einde maand]]-Tabel2425678910[[#This Row],[Stand Cappucino vorige maand]]</f>
        <v>531</v>
      </c>
      <c r="W16" s="11">
        <v>1419</v>
      </c>
      <c r="X16" s="11">
        <v>1257</v>
      </c>
      <c r="Y16">
        <f>Tabel2425678910[[#This Row],[Stand Cappucino Plantaardig einde maand]]-Tabel2425678910[[#This Row],[Stand Cappucino Plantaardig vorige maand]]</f>
        <v>162</v>
      </c>
      <c r="Z16" s="11">
        <v>281</v>
      </c>
      <c r="AA16" s="11">
        <v>264</v>
      </c>
      <c r="AB16" s="12">
        <f>Tabel2425678910[[#This Row],[Stand Latte Macchiato Plantaardig einde maand]]-Tabel2425678910[[#This Row],[Stand Latte Macchiato Plantaardig vorige maand]]</f>
        <v>17</v>
      </c>
      <c r="AC16" s="3">
        <f>Tabel2425678910[[#This Row],[Verbruik Stand Latte Macchiato Plantaardig deze maand]]+Tabel2425678910[[#This Row],[Verbruik  Cappucino Plantaardig deze maand]]+Tabel2425678910[[#This Row],[Verbruik Cappucino deze maand]]+Tabel2425678910[[#This Row],[Verbruik Hot Water deze maand]]+Tabel2425678910[[#This Row],[Verbruik Coffee Latte deze maand]]+Tabel2425678910[[#This Row],[Verbruik Latte Macchiato deze maand]]+Tabel2425678910[[#This Row],[Verbruik Espresso deze maand]]+Tabel2425678910[[#This Row],[Verbruik Coffee deze maand]]</f>
        <v>3344</v>
      </c>
      <c r="AD16" s="26"/>
      <c r="AE16" s="26"/>
      <c r="AF16" s="5"/>
      <c r="AG16" s="7"/>
      <c r="AH16" s="26"/>
      <c r="AI16" s="26"/>
      <c r="AJ16" s="5"/>
      <c r="AK16" s="7"/>
      <c r="AL16" s="26"/>
      <c r="AM16" s="26"/>
      <c r="AN16" s="5"/>
      <c r="AO16" s="5"/>
      <c r="AP16" s="26"/>
      <c r="AQ16" s="26"/>
      <c r="AR16" s="5"/>
      <c r="AS16" s="7"/>
      <c r="AT16" s="26"/>
      <c r="AU16" s="26"/>
      <c r="AV16" s="5"/>
      <c r="AW16" s="21"/>
      <c r="AX16" s="8"/>
      <c r="AY16" s="4">
        <f>Tabel2425678910[[#This Row],[Subtotaal waterbar in consumpties]]+Tabel2425678910[[#This Row],[Subtotaal koffieautomaten]]</f>
        <v>3344</v>
      </c>
    </row>
    <row r="17" spans="1:51" x14ac:dyDescent="0.25">
      <c r="A17" t="s">
        <v>58</v>
      </c>
      <c r="B17" t="s">
        <v>59</v>
      </c>
      <c r="C17" t="s">
        <v>47</v>
      </c>
      <c r="E17" s="11">
        <v>6626</v>
      </c>
      <c r="F17" s="11">
        <v>5889</v>
      </c>
      <c r="G17" s="12">
        <f>Tabel2425678910[[#This Row],[Stand Coffee einde maand]]-Tabel2425678910[[#This Row],[Coffee vorige maand]]</f>
        <v>737</v>
      </c>
      <c r="H17" s="11">
        <v>1088</v>
      </c>
      <c r="I17" s="11">
        <v>942</v>
      </c>
      <c r="J17" s="12">
        <f>Tabel2425678910[[#This Row],[Stand Espresso Einde maand]]-Tabel2425678910[[#This Row],[Espresso vorige maand]]</f>
        <v>146</v>
      </c>
      <c r="K17" s="11">
        <v>703</v>
      </c>
      <c r="L17" s="11">
        <v>600</v>
      </c>
      <c r="M17">
        <f>Tabel2425678910[[#This Row],[Stand Latte Macchiato einde maand]]-Tabel2425678910[[#This Row],[Latte Macchiato vorige maand]]</f>
        <v>103</v>
      </c>
      <c r="N17" s="11">
        <v>181</v>
      </c>
      <c r="O17" s="11">
        <v>162</v>
      </c>
      <c r="P17">
        <f>Tabel2425678910[[#This Row],[Stand Coffee Latte einde maand]]-Tabel2425678910[[#This Row],[Coffee Latte vorige maand]]</f>
        <v>19</v>
      </c>
      <c r="Q17" s="11">
        <v>1</v>
      </c>
      <c r="R17" s="11">
        <v>1</v>
      </c>
      <c r="S17">
        <f>Tabel2425678910[[#This Row],[Stand Hot Water einde maand]]-Tabel2425678910[[#This Row],[Hot Water vorige maand]]</f>
        <v>0</v>
      </c>
      <c r="T17" s="11">
        <v>3082</v>
      </c>
      <c r="U17" s="11">
        <v>2626</v>
      </c>
      <c r="V17">
        <f>Tabel2425678910[[#This Row],[Stand Cappucino einde maand]]-Tabel2425678910[[#This Row],[Stand Cappucino vorige maand]]</f>
        <v>456</v>
      </c>
      <c r="W17" s="11">
        <v>1596</v>
      </c>
      <c r="X17" s="11">
        <v>1465</v>
      </c>
      <c r="Y17">
        <f>Tabel2425678910[[#This Row],[Stand Cappucino Plantaardig einde maand]]-Tabel2425678910[[#This Row],[Stand Cappucino Plantaardig vorige maand]]</f>
        <v>131</v>
      </c>
      <c r="Z17" s="11">
        <v>224</v>
      </c>
      <c r="AA17" s="11">
        <v>211</v>
      </c>
      <c r="AB17" s="12">
        <f>Tabel2425678910[[#This Row],[Stand Latte Macchiato Plantaardig einde maand]]-Tabel2425678910[[#This Row],[Stand Latte Macchiato Plantaardig vorige maand]]</f>
        <v>13</v>
      </c>
      <c r="AC17" s="3">
        <f>Tabel2425678910[[#This Row],[Verbruik Stand Latte Macchiato Plantaardig deze maand]]+Tabel2425678910[[#This Row],[Verbruik  Cappucino Plantaardig deze maand]]+Tabel2425678910[[#This Row],[Verbruik Cappucino deze maand]]+Tabel2425678910[[#This Row],[Verbruik Hot Water deze maand]]+Tabel2425678910[[#This Row],[Verbruik Coffee Latte deze maand]]+Tabel2425678910[[#This Row],[Verbruik Latte Macchiato deze maand]]+Tabel2425678910[[#This Row],[Verbruik Espresso deze maand]]+Tabel2425678910[[#This Row],[Verbruik Coffee deze maand]]</f>
        <v>1605</v>
      </c>
      <c r="AD17" s="11">
        <v>273.7</v>
      </c>
      <c r="AE17" s="11">
        <v>250.5</v>
      </c>
      <c r="AF17">
        <f>Tabel2425678910[[#This Row],[Stand Kamertemp liter einde maand]]-Tabel2425678910[[#This Row],[Stand Kamertemp liter vorige maand]]</f>
        <v>23.199999999999989</v>
      </c>
      <c r="AG17" s="2">
        <f>Tabel2425678910[[#This Row],[Verbruik Kamertemp liter deze maand]]/0.15</f>
        <v>154.6666666666666</v>
      </c>
      <c r="AH17" s="11">
        <v>1178.5999999999999</v>
      </c>
      <c r="AI17" s="11">
        <v>975.4</v>
      </c>
      <c r="AJ17">
        <f>Tabel2425678910[[#This Row],[Stand Gekoeld liter einde maand]]-Tabel2425678910[[#This Row],[Stand Gekoeld liter vorige maand]]</f>
        <v>203.19999999999993</v>
      </c>
      <c r="AK17" s="2">
        <f>Tabel2425678910[[#This Row],[Verbruik Gekoeld liter deze maand]]/0.15</f>
        <v>1354.6666666666663</v>
      </c>
      <c r="AL17" s="11">
        <v>1478.7</v>
      </c>
      <c r="AM17" s="11">
        <v>1213</v>
      </c>
      <c r="AN17">
        <f>Tabel2425678910[[#This Row],[Stand Bruisend liter einde maand]]-Tabel2425678910[[#This Row],[Stand Bruisend liter vorige maand]]</f>
        <v>265.70000000000005</v>
      </c>
      <c r="AO17" s="2">
        <f>Tabel2425678910[[#This Row],[Verbruik Bruisend liter deze maand]]/0.15</f>
        <v>1771.3333333333337</v>
      </c>
      <c r="AP17" s="11">
        <v>426.2</v>
      </c>
      <c r="AQ17" s="11">
        <v>360.2</v>
      </c>
      <c r="AR17">
        <f>Tabel2425678910[[#This Row],[Stand licht bruisend liter einde maand]]-Tabel2425678910[[#This Row],[Stand licht bruisend liter vorige maand]]</f>
        <v>66</v>
      </c>
      <c r="AS17" s="2">
        <f>Tabel2425678910[[#This Row],[Verbruik licht bruisend liter deze maand]]/0.15</f>
        <v>440</v>
      </c>
      <c r="AT17" s="11">
        <v>2962.5</v>
      </c>
      <c r="AU17" s="11">
        <v>2638.1</v>
      </c>
      <c r="AV17">
        <f>Tabel2425678910[[#This Row],[Stand heet water liter einde maand]]-Tabel2425678910[[#This Row],[Stand heet water liter vorige maand]]</f>
        <v>324.40000000000009</v>
      </c>
      <c r="AW17" s="20">
        <f>Tabel2425678910[[#This Row],[Verbruik heet Water liter deze maand ]]/0.15</f>
        <v>2162.6666666666674</v>
      </c>
      <c r="AX17" s="4">
        <f>Tabel2425678910[[#This Row],[Aantal consumpties heet water deze maand]]+Tabel2425678910[[#This Row],[Aantal consumpties licht bruisend water deze maand]]+Tabel2425678910[[#This Row],[aantal consumpties Bruisend water deze maand]]+Tabel2425678910[[#This Row],[Aantal consumpties gekoeld water deze maand]]+Tabel2425678910[[#This Row],[Aantal consumpties Kamertemp deze maand]]</f>
        <v>5883.3333333333339</v>
      </c>
      <c r="AY17" s="4">
        <f>Tabel2425678910[[#This Row],[Subtotaal waterbar in consumpties]]+Tabel2425678910[[#This Row],[Subtotaal koffieautomaten]]</f>
        <v>7488.3333333333339</v>
      </c>
    </row>
    <row r="18" spans="1:51" x14ac:dyDescent="0.25">
      <c r="A18" t="s">
        <v>60</v>
      </c>
      <c r="B18" t="s">
        <v>61</v>
      </c>
      <c r="C18" t="s">
        <v>31</v>
      </c>
      <c r="E18" s="11">
        <v>6833</v>
      </c>
      <c r="F18" s="11">
        <v>6025</v>
      </c>
      <c r="G18" s="12">
        <f>Tabel2425678910[[#This Row],[Stand Coffee einde maand]]-Tabel2425678910[[#This Row],[Coffee vorige maand]]</f>
        <v>808</v>
      </c>
      <c r="H18" s="11">
        <v>1081</v>
      </c>
      <c r="I18" s="11">
        <v>972</v>
      </c>
      <c r="J18" s="12">
        <f>Tabel2425678910[[#This Row],[Stand Espresso Einde maand]]-Tabel2425678910[[#This Row],[Espresso vorige maand]]</f>
        <v>109</v>
      </c>
      <c r="K18" s="11">
        <v>529</v>
      </c>
      <c r="L18" s="11">
        <v>464</v>
      </c>
      <c r="M18">
        <f>Tabel2425678910[[#This Row],[Stand Latte Macchiato einde maand]]-Tabel2425678910[[#This Row],[Latte Macchiato vorige maand]]</f>
        <v>65</v>
      </c>
      <c r="N18" s="11">
        <v>150</v>
      </c>
      <c r="O18" s="11">
        <v>128</v>
      </c>
      <c r="P18">
        <f>Tabel2425678910[[#This Row],[Stand Coffee Latte einde maand]]-Tabel2425678910[[#This Row],[Coffee Latte vorige maand]]</f>
        <v>22</v>
      </c>
      <c r="Q18" s="11">
        <v>12188</v>
      </c>
      <c r="R18" s="11">
        <v>10683</v>
      </c>
      <c r="S18">
        <f>Tabel2425678910[[#This Row],[Stand Hot Water einde maand]]-Tabel2425678910[[#This Row],[Hot Water vorige maand]]</f>
        <v>1505</v>
      </c>
      <c r="T18" s="11">
        <v>3775</v>
      </c>
      <c r="U18" s="11">
        <v>3369</v>
      </c>
      <c r="V18">
        <f>Tabel2425678910[[#This Row],[Stand Cappucino einde maand]]-Tabel2425678910[[#This Row],[Stand Cappucino vorige maand]]</f>
        <v>406</v>
      </c>
      <c r="W18" s="11">
        <v>763</v>
      </c>
      <c r="X18" s="11">
        <v>681</v>
      </c>
      <c r="Y18">
        <f>Tabel2425678910[[#This Row],[Stand Cappucino Plantaardig einde maand]]-Tabel2425678910[[#This Row],[Stand Cappucino Plantaardig vorige maand]]</f>
        <v>82</v>
      </c>
      <c r="Z18" s="11">
        <v>222</v>
      </c>
      <c r="AA18" s="11">
        <v>195</v>
      </c>
      <c r="AB18" s="12">
        <f>Tabel2425678910[[#This Row],[Stand Latte Macchiato Plantaardig einde maand]]-Tabel2425678910[[#This Row],[Stand Latte Macchiato Plantaardig vorige maand]]</f>
        <v>27</v>
      </c>
      <c r="AC18" s="3">
        <f>Tabel2425678910[[#This Row],[Verbruik Stand Latte Macchiato Plantaardig deze maand]]+Tabel2425678910[[#This Row],[Verbruik  Cappucino Plantaardig deze maand]]+Tabel2425678910[[#This Row],[Verbruik Cappucino deze maand]]+Tabel2425678910[[#This Row],[Verbruik Hot Water deze maand]]+Tabel2425678910[[#This Row],[Verbruik Coffee Latte deze maand]]+Tabel2425678910[[#This Row],[Verbruik Latte Macchiato deze maand]]+Tabel2425678910[[#This Row],[Verbruik Espresso deze maand]]+Tabel2425678910[[#This Row],[Verbruik Coffee deze maand]]</f>
        <v>3024</v>
      </c>
      <c r="AD18" s="26"/>
      <c r="AE18" s="26"/>
      <c r="AF18" s="5"/>
      <c r="AG18" s="7"/>
      <c r="AH18" s="26"/>
      <c r="AI18" s="26"/>
      <c r="AJ18" s="5"/>
      <c r="AK18" s="7"/>
      <c r="AL18" s="26"/>
      <c r="AM18" s="26"/>
      <c r="AN18" s="5"/>
      <c r="AO18" s="5"/>
      <c r="AP18" s="26"/>
      <c r="AQ18" s="26"/>
      <c r="AR18" s="5"/>
      <c r="AS18" s="7"/>
      <c r="AT18" s="26"/>
      <c r="AU18" s="26"/>
      <c r="AV18" s="5"/>
      <c r="AW18" s="21"/>
      <c r="AX18" s="8"/>
      <c r="AY18" s="4">
        <f>Tabel2425678910[[#This Row],[Subtotaal waterbar in consumpties]]+Tabel2425678910[[#This Row],[Subtotaal koffieautomaten]]</f>
        <v>3024</v>
      </c>
    </row>
    <row r="19" spans="1:51" x14ac:dyDescent="0.25">
      <c r="A19" t="s">
        <v>62</v>
      </c>
      <c r="B19" t="s">
        <v>63</v>
      </c>
      <c r="C19" t="s">
        <v>36</v>
      </c>
      <c r="E19" s="42"/>
      <c r="F19" s="42"/>
      <c r="G19" s="43"/>
      <c r="H19" s="42"/>
      <c r="I19" s="42"/>
      <c r="J19" s="43"/>
      <c r="K19" s="42"/>
      <c r="L19" s="42"/>
      <c r="M19" s="43"/>
      <c r="N19" s="42"/>
      <c r="O19" s="42"/>
      <c r="P19" s="43"/>
      <c r="Q19" s="42"/>
      <c r="R19" s="42"/>
      <c r="S19" s="43"/>
      <c r="T19" s="42"/>
      <c r="U19" s="42"/>
      <c r="V19" s="43"/>
      <c r="W19" s="42"/>
      <c r="X19" s="42"/>
      <c r="Y19" s="43"/>
      <c r="Z19" s="42"/>
      <c r="AA19" s="42"/>
      <c r="AB19" s="43"/>
      <c r="AC19" s="43"/>
      <c r="AD19" s="11">
        <v>89.9</v>
      </c>
      <c r="AE19" s="11">
        <v>73.900000000000006</v>
      </c>
      <c r="AF19">
        <f>Tabel2425678910[[#This Row],[Stand Kamertemp liter einde maand]]-Tabel2425678910[[#This Row],[Stand Kamertemp liter vorige maand]]</f>
        <v>16</v>
      </c>
      <c r="AG19" s="2">
        <f>Tabel2425678910[[#This Row],[Verbruik Kamertemp liter deze maand]]/0.15</f>
        <v>106.66666666666667</v>
      </c>
      <c r="AH19" s="26">
        <v>721</v>
      </c>
      <c r="AI19" s="26">
        <v>564.20000000000005</v>
      </c>
      <c r="AJ19">
        <f>Tabel2425678910[[#This Row],[Stand Gekoeld liter einde maand]]-Tabel2425678910[[#This Row],[Stand Gekoeld liter vorige maand]]</f>
        <v>156.79999999999995</v>
      </c>
      <c r="AK19" s="2">
        <f>Tabel2425678910[[#This Row],[Verbruik Gekoeld liter deze maand]]/0.15</f>
        <v>1045.333333333333</v>
      </c>
      <c r="AL19" s="26">
        <v>953.7</v>
      </c>
      <c r="AM19" s="26">
        <v>845.3</v>
      </c>
      <c r="AN19">
        <f>Tabel2425678910[[#This Row],[Stand Bruisend liter einde maand]]-Tabel2425678910[[#This Row],[Stand Bruisend liter vorige maand]]</f>
        <v>108.40000000000009</v>
      </c>
      <c r="AO19" s="2">
        <f>Tabel2425678910[[#This Row],[Verbruik Bruisend liter deze maand]]/0.15</f>
        <v>722.66666666666731</v>
      </c>
      <c r="AP19" s="26">
        <v>196.9</v>
      </c>
      <c r="AQ19" s="26">
        <v>175.6</v>
      </c>
      <c r="AR19">
        <f>Tabel2425678910[[#This Row],[Stand licht bruisend liter einde maand]]-Tabel2425678910[[#This Row],[Stand licht bruisend liter vorige maand]]</f>
        <v>21.300000000000011</v>
      </c>
      <c r="AS19" s="2">
        <f>Tabel2425678910[[#This Row],[Verbruik licht bruisend liter deze maand]]/0.15</f>
        <v>142.00000000000009</v>
      </c>
      <c r="AT19" s="26">
        <v>982.3</v>
      </c>
      <c r="AU19" s="26">
        <v>789.2</v>
      </c>
      <c r="AV19">
        <f>Tabel2425678910[[#This Row],[Stand heet water liter einde maand]]-Tabel2425678910[[#This Row],[Stand heet water liter vorige maand]]</f>
        <v>193.09999999999991</v>
      </c>
      <c r="AW19" s="20">
        <f>Tabel2425678910[[#This Row],[Verbruik heet Water liter deze maand ]]/0.15</f>
        <v>1287.3333333333328</v>
      </c>
      <c r="AX19" s="4">
        <f>Tabel2425678910[[#This Row],[Aantal consumpties heet water deze maand]]+Tabel2425678910[[#This Row],[Aantal consumpties licht bruisend water deze maand]]+Tabel2425678910[[#This Row],[aantal consumpties Bruisend water deze maand]]+Tabel2425678910[[#This Row],[Aantal consumpties gekoeld water deze maand]]+Tabel2425678910[[#This Row],[Aantal consumpties Kamertemp deze maand]]</f>
        <v>3303.9999999999995</v>
      </c>
      <c r="AY19" s="4">
        <f>Tabel2425678910[[#This Row],[Subtotaal waterbar in consumpties]]+Tabel2425678910[[#This Row],[Subtotaal koffieautomaten]]</f>
        <v>3303.9999999999995</v>
      </c>
    </row>
    <row r="20" spans="1:51" x14ac:dyDescent="0.25">
      <c r="A20" t="s">
        <v>64</v>
      </c>
      <c r="B20" t="s">
        <v>65</v>
      </c>
      <c r="C20" t="s">
        <v>31</v>
      </c>
      <c r="E20" s="11">
        <v>6598</v>
      </c>
      <c r="F20" s="11">
        <v>5744</v>
      </c>
      <c r="G20" s="12">
        <f>Tabel2425678910[[#This Row],[Stand Coffee einde maand]]-Tabel2425678910[[#This Row],[Coffee vorige maand]]</f>
        <v>854</v>
      </c>
      <c r="H20" s="11">
        <v>1982</v>
      </c>
      <c r="I20" s="11">
        <v>1755</v>
      </c>
      <c r="J20" s="12">
        <f>Tabel2425678910[[#This Row],[Stand Espresso Einde maand]]-Tabel2425678910[[#This Row],[Espresso vorige maand]]</f>
        <v>227</v>
      </c>
      <c r="K20" s="11">
        <v>814</v>
      </c>
      <c r="L20" s="11">
        <v>695</v>
      </c>
      <c r="M20">
        <f>Tabel2425678910[[#This Row],[Stand Latte Macchiato einde maand]]-Tabel2425678910[[#This Row],[Latte Macchiato vorige maand]]</f>
        <v>119</v>
      </c>
      <c r="N20" s="11">
        <v>320</v>
      </c>
      <c r="O20" s="11">
        <v>298</v>
      </c>
      <c r="P20">
        <f>Tabel2425678910[[#This Row],[Stand Coffee Latte einde maand]]-Tabel2425678910[[#This Row],[Coffee Latte vorige maand]]</f>
        <v>22</v>
      </c>
      <c r="Q20" s="11">
        <v>12483</v>
      </c>
      <c r="R20" s="11">
        <v>11146</v>
      </c>
      <c r="S20">
        <f>Tabel2425678910[[#This Row],[Stand Hot Water einde maand]]-Tabel2425678910[[#This Row],[Hot Water vorige maand]]</f>
        <v>1337</v>
      </c>
      <c r="T20" s="11">
        <v>4433</v>
      </c>
      <c r="U20" s="11">
        <v>3768</v>
      </c>
      <c r="V20">
        <f>Tabel2425678910[[#This Row],[Stand Cappucino einde maand]]-Tabel2425678910[[#This Row],[Stand Cappucino vorige maand]]</f>
        <v>665</v>
      </c>
      <c r="W20" s="11">
        <v>958</v>
      </c>
      <c r="X20" s="11">
        <v>815</v>
      </c>
      <c r="Y20">
        <f>Tabel2425678910[[#This Row],[Stand Cappucino Plantaardig einde maand]]-Tabel2425678910[[#This Row],[Stand Cappucino Plantaardig vorige maand]]</f>
        <v>143</v>
      </c>
      <c r="Z20" s="11">
        <v>206</v>
      </c>
      <c r="AA20" s="11">
        <v>174</v>
      </c>
      <c r="AB20" s="12">
        <f>Tabel2425678910[[#This Row],[Stand Latte Macchiato Plantaardig einde maand]]-Tabel2425678910[[#This Row],[Stand Latte Macchiato Plantaardig vorige maand]]</f>
        <v>32</v>
      </c>
      <c r="AC20" s="3">
        <f>Tabel2425678910[[#This Row],[Verbruik Stand Latte Macchiato Plantaardig deze maand]]+Tabel2425678910[[#This Row],[Verbruik  Cappucino Plantaardig deze maand]]+Tabel2425678910[[#This Row],[Verbruik Cappucino deze maand]]+Tabel2425678910[[#This Row],[Verbruik Hot Water deze maand]]+Tabel2425678910[[#This Row],[Verbruik Coffee Latte deze maand]]+Tabel2425678910[[#This Row],[Verbruik Latte Macchiato deze maand]]+Tabel2425678910[[#This Row],[Verbruik Espresso deze maand]]+Tabel2425678910[[#This Row],[Verbruik Coffee deze maand]]</f>
        <v>3399</v>
      </c>
      <c r="AD20" s="26"/>
      <c r="AE20" s="26"/>
      <c r="AF20" s="5"/>
      <c r="AG20" s="7"/>
      <c r="AH20" s="26"/>
      <c r="AI20" s="26"/>
      <c r="AJ20" s="5"/>
      <c r="AK20" s="7"/>
      <c r="AL20" s="26"/>
      <c r="AM20" s="26"/>
      <c r="AN20" s="5"/>
      <c r="AO20" s="5"/>
      <c r="AP20" s="26"/>
      <c r="AQ20" s="26"/>
      <c r="AR20" s="5"/>
      <c r="AS20" s="7"/>
      <c r="AT20" s="26"/>
      <c r="AU20" s="26"/>
      <c r="AV20" s="5"/>
      <c r="AW20" s="21"/>
      <c r="AX20" s="8"/>
      <c r="AY20" s="4">
        <f>Tabel2425678910[[#This Row],[Subtotaal waterbar in consumpties]]+Tabel2425678910[[#This Row],[Subtotaal koffieautomaten]]</f>
        <v>3399</v>
      </c>
    </row>
    <row r="21" spans="1:51" x14ac:dyDescent="0.25">
      <c r="A21" t="s">
        <v>66</v>
      </c>
      <c r="B21" t="s">
        <v>67</v>
      </c>
      <c r="C21" t="s">
        <v>31</v>
      </c>
      <c r="E21" s="11">
        <v>8471</v>
      </c>
      <c r="F21" s="11">
        <v>7613</v>
      </c>
      <c r="G21" s="12">
        <f>Tabel2425678910[[#This Row],[Stand Coffee einde maand]]-Tabel2425678910[[#This Row],[Coffee vorige maand]]</f>
        <v>858</v>
      </c>
      <c r="H21" s="11">
        <v>1150</v>
      </c>
      <c r="I21" s="11">
        <v>998</v>
      </c>
      <c r="J21" s="12">
        <f>Tabel2425678910[[#This Row],[Stand Espresso Einde maand]]-Tabel2425678910[[#This Row],[Espresso vorige maand]]</f>
        <v>152</v>
      </c>
      <c r="K21" s="11">
        <v>1023</v>
      </c>
      <c r="L21" s="11">
        <v>874</v>
      </c>
      <c r="M21">
        <f>Tabel2425678910[[#This Row],[Stand Latte Macchiato einde maand]]-Tabel2425678910[[#This Row],[Latte Macchiato vorige maand]]</f>
        <v>149</v>
      </c>
      <c r="N21" s="11">
        <v>351</v>
      </c>
      <c r="O21" s="11">
        <v>329</v>
      </c>
      <c r="P21">
        <f>Tabel2425678910[[#This Row],[Stand Coffee Latte einde maand]]-Tabel2425678910[[#This Row],[Coffee Latte vorige maand]]</f>
        <v>22</v>
      </c>
      <c r="Q21" s="11">
        <v>13115</v>
      </c>
      <c r="R21" s="11">
        <v>11818</v>
      </c>
      <c r="S21">
        <f>Tabel2425678910[[#This Row],[Stand Hot Water einde maand]]-Tabel2425678910[[#This Row],[Hot Water vorige maand]]</f>
        <v>1297</v>
      </c>
      <c r="T21" s="11">
        <v>4225</v>
      </c>
      <c r="U21" s="11">
        <v>3655</v>
      </c>
      <c r="V21">
        <f>Tabel2425678910[[#This Row],[Stand Cappucino einde maand]]-Tabel2425678910[[#This Row],[Stand Cappucino vorige maand]]</f>
        <v>570</v>
      </c>
      <c r="W21" s="11">
        <v>1372</v>
      </c>
      <c r="X21" s="11">
        <v>1287</v>
      </c>
      <c r="Y21">
        <f>Tabel2425678910[[#This Row],[Stand Cappucino Plantaardig einde maand]]-Tabel2425678910[[#This Row],[Stand Cappucino Plantaardig vorige maand]]</f>
        <v>85</v>
      </c>
      <c r="Z21" s="11">
        <v>378</v>
      </c>
      <c r="AA21" s="11">
        <v>368</v>
      </c>
      <c r="AB21" s="12">
        <f>Tabel2425678910[[#This Row],[Stand Latte Macchiato Plantaardig einde maand]]-Tabel2425678910[[#This Row],[Stand Latte Macchiato Plantaardig vorige maand]]</f>
        <v>10</v>
      </c>
      <c r="AC21" s="3">
        <f>Tabel2425678910[[#This Row],[Verbruik Stand Latte Macchiato Plantaardig deze maand]]+Tabel2425678910[[#This Row],[Verbruik  Cappucino Plantaardig deze maand]]+Tabel2425678910[[#This Row],[Verbruik Cappucino deze maand]]+Tabel2425678910[[#This Row],[Verbruik Hot Water deze maand]]+Tabel2425678910[[#This Row],[Verbruik Coffee Latte deze maand]]+Tabel2425678910[[#This Row],[Verbruik Latte Macchiato deze maand]]+Tabel2425678910[[#This Row],[Verbruik Espresso deze maand]]+Tabel2425678910[[#This Row],[Verbruik Coffee deze maand]]</f>
        <v>3143</v>
      </c>
      <c r="AD21" s="26"/>
      <c r="AE21" s="26"/>
      <c r="AF21" s="5"/>
      <c r="AG21" s="7"/>
      <c r="AH21" s="26"/>
      <c r="AI21" s="26"/>
      <c r="AJ21" s="5"/>
      <c r="AK21" s="7"/>
      <c r="AL21" s="26"/>
      <c r="AM21" s="26"/>
      <c r="AN21" s="5"/>
      <c r="AO21" s="5"/>
      <c r="AP21" s="26"/>
      <c r="AQ21" s="26"/>
      <c r="AR21" s="5"/>
      <c r="AS21" s="7"/>
      <c r="AT21" s="26"/>
      <c r="AU21" s="26"/>
      <c r="AV21" s="5"/>
      <c r="AW21" s="21"/>
      <c r="AX21" s="8"/>
      <c r="AY21" s="4">
        <f>Tabel2425678910[[#This Row],[Subtotaal waterbar in consumpties]]+Tabel2425678910[[#This Row],[Subtotaal koffieautomaten]]</f>
        <v>3143</v>
      </c>
    </row>
    <row r="22" spans="1:51" x14ac:dyDescent="0.25">
      <c r="A22" t="s">
        <v>68</v>
      </c>
      <c r="B22" t="s">
        <v>69</v>
      </c>
      <c r="C22" t="s">
        <v>47</v>
      </c>
      <c r="E22" s="11">
        <v>4377</v>
      </c>
      <c r="F22" s="11">
        <v>3753</v>
      </c>
      <c r="G22" s="12">
        <f>Tabel2425678910[[#This Row],[Stand Coffee einde maand]]-Tabel2425678910[[#This Row],[Coffee vorige maand]]</f>
        <v>624</v>
      </c>
      <c r="H22" s="11">
        <v>1697</v>
      </c>
      <c r="I22" s="11">
        <v>1474</v>
      </c>
      <c r="J22" s="12">
        <f>Tabel2425678910[[#This Row],[Stand Espresso Einde maand]]-Tabel2425678910[[#This Row],[Espresso vorige maand]]</f>
        <v>223</v>
      </c>
      <c r="K22" s="11">
        <v>1484</v>
      </c>
      <c r="L22" s="11">
        <v>1324</v>
      </c>
      <c r="M22">
        <f>Tabel2425678910[[#This Row],[Stand Latte Macchiato einde maand]]-Tabel2425678910[[#This Row],[Latte Macchiato vorige maand]]</f>
        <v>160</v>
      </c>
      <c r="N22" s="11">
        <v>318</v>
      </c>
      <c r="O22" s="11">
        <v>293</v>
      </c>
      <c r="P22">
        <f>Tabel2425678910[[#This Row],[Stand Coffee Latte einde maand]]-Tabel2425678910[[#This Row],[Coffee Latte vorige maand]]</f>
        <v>25</v>
      </c>
      <c r="Q22" s="11">
        <v>1</v>
      </c>
      <c r="R22" s="11">
        <v>1</v>
      </c>
      <c r="S22">
        <f>Tabel2425678910[[#This Row],[Stand Hot Water einde maand]]-Tabel2425678910[[#This Row],[Hot Water vorige maand]]</f>
        <v>0</v>
      </c>
      <c r="T22" s="11">
        <v>5327</v>
      </c>
      <c r="U22" s="11">
        <v>4720</v>
      </c>
      <c r="V22">
        <f>Tabel2425678910[[#This Row],[Stand Cappucino einde maand]]-Tabel2425678910[[#This Row],[Stand Cappucino vorige maand]]</f>
        <v>607</v>
      </c>
      <c r="W22" s="11">
        <v>917</v>
      </c>
      <c r="X22" s="11">
        <v>833</v>
      </c>
      <c r="Y22">
        <f>Tabel2425678910[[#This Row],[Stand Cappucino Plantaardig einde maand]]-Tabel2425678910[[#This Row],[Stand Cappucino Plantaardig vorige maand]]</f>
        <v>84</v>
      </c>
      <c r="Z22" s="11">
        <v>257</v>
      </c>
      <c r="AA22" s="11">
        <v>242</v>
      </c>
      <c r="AB22" s="12">
        <f>Tabel2425678910[[#This Row],[Stand Latte Macchiato Plantaardig einde maand]]-Tabel2425678910[[#This Row],[Stand Latte Macchiato Plantaardig vorige maand]]</f>
        <v>15</v>
      </c>
      <c r="AC22" s="3">
        <f>Tabel2425678910[[#This Row],[Verbruik Stand Latte Macchiato Plantaardig deze maand]]+Tabel2425678910[[#This Row],[Verbruik  Cappucino Plantaardig deze maand]]+Tabel2425678910[[#This Row],[Verbruik Cappucino deze maand]]+Tabel2425678910[[#This Row],[Verbruik Hot Water deze maand]]+Tabel2425678910[[#This Row],[Verbruik Coffee Latte deze maand]]+Tabel2425678910[[#This Row],[Verbruik Latte Macchiato deze maand]]+Tabel2425678910[[#This Row],[Verbruik Espresso deze maand]]+Tabel2425678910[[#This Row],[Verbruik Coffee deze maand]]</f>
        <v>1738</v>
      </c>
      <c r="AD22" s="11">
        <v>113.3</v>
      </c>
      <c r="AE22" s="11">
        <v>113.3</v>
      </c>
      <c r="AF22">
        <f>Tabel2425678910[[#This Row],[Stand Kamertemp liter einde maand]]-Tabel2425678910[[#This Row],[Stand Kamertemp liter vorige maand]]</f>
        <v>0</v>
      </c>
      <c r="AG22" s="2">
        <f>Tabel2425678910[[#This Row],[Verbruik Kamertemp liter deze maand]]/0.15</f>
        <v>0</v>
      </c>
      <c r="AH22" s="11">
        <v>1310.9</v>
      </c>
      <c r="AI22" s="11">
        <v>1310.9</v>
      </c>
      <c r="AJ22">
        <f>Tabel2425678910[[#This Row],[Stand Gekoeld liter einde maand]]-Tabel2425678910[[#This Row],[Stand Gekoeld liter vorige maand]]</f>
        <v>0</v>
      </c>
      <c r="AK22" s="2">
        <f>Tabel2425678910[[#This Row],[Verbruik Gekoeld liter deze maand]]/0.15</f>
        <v>0</v>
      </c>
      <c r="AL22" s="11">
        <v>1244.9000000000001</v>
      </c>
      <c r="AM22" s="11">
        <v>1244.9000000000001</v>
      </c>
      <c r="AN22">
        <f>Tabel2425678910[[#This Row],[Stand Bruisend liter einde maand]]-Tabel2425678910[[#This Row],[Stand Bruisend liter vorige maand]]</f>
        <v>0</v>
      </c>
      <c r="AO22" s="2">
        <f>Tabel2425678910[[#This Row],[Verbruik Bruisend liter deze maand]]/0.15</f>
        <v>0</v>
      </c>
      <c r="AP22" s="11">
        <v>538.20000000000005</v>
      </c>
      <c r="AQ22" s="11">
        <v>538.20000000000005</v>
      </c>
      <c r="AR22">
        <f>Tabel2425678910[[#This Row],[Stand licht bruisend liter einde maand]]-Tabel2425678910[[#This Row],[Stand licht bruisend liter vorige maand]]</f>
        <v>0</v>
      </c>
      <c r="AS22" s="2">
        <f>Tabel2425678910[[#This Row],[Verbruik licht bruisend liter deze maand]]/0.15</f>
        <v>0</v>
      </c>
      <c r="AT22" s="11">
        <v>3461.9</v>
      </c>
      <c r="AU22" s="11">
        <v>3461.9</v>
      </c>
      <c r="AV22">
        <f>Tabel2425678910[[#This Row],[Stand heet water liter einde maand]]-Tabel2425678910[[#This Row],[Stand heet water liter vorige maand]]</f>
        <v>0</v>
      </c>
      <c r="AW22" s="20">
        <f>Tabel2425678910[[#This Row],[Verbruik heet Water liter deze maand ]]/0.15</f>
        <v>0</v>
      </c>
      <c r="AX22" s="4">
        <f>Tabel2425678910[[#This Row],[Aantal consumpties heet water deze maand]]+Tabel2425678910[[#This Row],[Aantal consumpties licht bruisend water deze maand]]+Tabel2425678910[[#This Row],[aantal consumpties Bruisend water deze maand]]+Tabel2425678910[[#This Row],[Aantal consumpties gekoeld water deze maand]]+Tabel2425678910[[#This Row],[Aantal consumpties Kamertemp deze maand]]</f>
        <v>0</v>
      </c>
      <c r="AY22" s="4">
        <f>Tabel2425678910[[#This Row],[Subtotaal waterbar in consumpties]]+Tabel2425678910[[#This Row],[Subtotaal koffieautomaten]]</f>
        <v>1738</v>
      </c>
    </row>
    <row r="23" spans="1:51" x14ac:dyDescent="0.25">
      <c r="A23" t="s">
        <v>70</v>
      </c>
      <c r="B23" t="s">
        <v>71</v>
      </c>
      <c r="C23" t="s">
        <v>31</v>
      </c>
      <c r="E23" s="11">
        <v>5618</v>
      </c>
      <c r="F23" s="11">
        <v>4997</v>
      </c>
      <c r="G23" s="12">
        <f>Tabel2425678910[[#This Row],[Stand Coffee einde maand]]-Tabel2425678910[[#This Row],[Coffee vorige maand]]</f>
        <v>621</v>
      </c>
      <c r="H23" s="11">
        <v>677</v>
      </c>
      <c r="I23" s="11">
        <v>604</v>
      </c>
      <c r="J23" s="12">
        <f>Tabel2425678910[[#This Row],[Stand Espresso Einde maand]]-Tabel2425678910[[#This Row],[Espresso vorige maand]]</f>
        <v>73</v>
      </c>
      <c r="K23" s="11">
        <v>455</v>
      </c>
      <c r="L23" s="11">
        <v>398</v>
      </c>
      <c r="M23">
        <f>Tabel2425678910[[#This Row],[Stand Latte Macchiato einde maand]]-Tabel2425678910[[#This Row],[Latte Macchiato vorige maand]]</f>
        <v>57</v>
      </c>
      <c r="N23" s="11">
        <v>484</v>
      </c>
      <c r="O23" s="11">
        <v>421</v>
      </c>
      <c r="P23">
        <f>Tabel2425678910[[#This Row],[Stand Coffee Latte einde maand]]-Tabel2425678910[[#This Row],[Coffee Latte vorige maand]]</f>
        <v>63</v>
      </c>
      <c r="Q23" s="11">
        <v>9858</v>
      </c>
      <c r="R23" s="11">
        <v>8850</v>
      </c>
      <c r="S23">
        <f>Tabel2425678910[[#This Row],[Stand Hot Water einde maand]]-Tabel2425678910[[#This Row],[Hot Water vorige maand]]</f>
        <v>1008</v>
      </c>
      <c r="T23" s="11">
        <v>2413</v>
      </c>
      <c r="U23" s="11">
        <v>2084</v>
      </c>
      <c r="V23">
        <f>Tabel2425678910[[#This Row],[Stand Cappucino einde maand]]-Tabel2425678910[[#This Row],[Stand Cappucino vorige maand]]</f>
        <v>329</v>
      </c>
      <c r="W23" s="11">
        <v>619</v>
      </c>
      <c r="X23" s="11">
        <v>567</v>
      </c>
      <c r="Y23">
        <f>Tabel2425678910[[#This Row],[Stand Cappucino Plantaardig einde maand]]-Tabel2425678910[[#This Row],[Stand Cappucino Plantaardig vorige maand]]</f>
        <v>52</v>
      </c>
      <c r="Z23" s="11">
        <v>671</v>
      </c>
      <c r="AA23" s="11">
        <v>565</v>
      </c>
      <c r="AB23" s="12">
        <f>Tabel2425678910[[#This Row],[Stand Latte Macchiato Plantaardig einde maand]]-Tabel2425678910[[#This Row],[Stand Latte Macchiato Plantaardig vorige maand]]</f>
        <v>106</v>
      </c>
      <c r="AC23" s="3">
        <f>Tabel2425678910[[#This Row],[Verbruik Stand Latte Macchiato Plantaardig deze maand]]+Tabel2425678910[[#This Row],[Verbruik  Cappucino Plantaardig deze maand]]+Tabel2425678910[[#This Row],[Verbruik Cappucino deze maand]]+Tabel2425678910[[#This Row],[Verbruik Hot Water deze maand]]+Tabel2425678910[[#This Row],[Verbruik Coffee Latte deze maand]]+Tabel2425678910[[#This Row],[Verbruik Latte Macchiato deze maand]]+Tabel2425678910[[#This Row],[Verbruik Espresso deze maand]]+Tabel2425678910[[#This Row],[Verbruik Coffee deze maand]]</f>
        <v>2309</v>
      </c>
      <c r="AD23" s="26"/>
      <c r="AE23" s="26"/>
      <c r="AF23" s="5"/>
      <c r="AG23" s="7"/>
      <c r="AH23" s="26"/>
      <c r="AI23" s="26"/>
      <c r="AJ23" s="5"/>
      <c r="AK23" s="7"/>
      <c r="AL23" s="26"/>
      <c r="AM23" s="26"/>
      <c r="AN23" s="5"/>
      <c r="AO23" s="5"/>
      <c r="AP23" s="26"/>
      <c r="AQ23" s="26"/>
      <c r="AR23" s="5"/>
      <c r="AS23" s="7"/>
      <c r="AT23" s="26"/>
      <c r="AU23" s="26"/>
      <c r="AV23" s="5"/>
      <c r="AW23" s="21"/>
      <c r="AX23" s="8"/>
      <c r="AY23" s="4">
        <f>Tabel2425678910[[#This Row],[Subtotaal waterbar in consumpties]]+Tabel2425678910[[#This Row],[Subtotaal koffieautomaten]]</f>
        <v>2309</v>
      </c>
    </row>
    <row r="24" spans="1:51" x14ac:dyDescent="0.25">
      <c r="A24" t="s">
        <v>72</v>
      </c>
      <c r="B24" t="s">
        <v>73</v>
      </c>
      <c r="C24" t="s">
        <v>47</v>
      </c>
      <c r="E24" s="11">
        <v>4514</v>
      </c>
      <c r="F24" s="11">
        <v>3999</v>
      </c>
      <c r="G24" s="12">
        <f>Tabel2425678910[[#This Row],[Stand Coffee einde maand]]-Tabel2425678910[[#This Row],[Coffee vorige maand]]</f>
        <v>515</v>
      </c>
      <c r="H24" s="11">
        <v>1483</v>
      </c>
      <c r="I24" s="11">
        <v>1312</v>
      </c>
      <c r="J24" s="12">
        <f>Tabel2425678910[[#This Row],[Stand Espresso Einde maand]]-Tabel2425678910[[#This Row],[Espresso vorige maand]]</f>
        <v>171</v>
      </c>
      <c r="K24" s="11">
        <v>685</v>
      </c>
      <c r="L24" s="11">
        <v>620</v>
      </c>
      <c r="M24">
        <f>Tabel2425678910[[#This Row],[Stand Latte Macchiato einde maand]]-Tabel2425678910[[#This Row],[Latte Macchiato vorige maand]]</f>
        <v>65</v>
      </c>
      <c r="N24" s="11">
        <v>333</v>
      </c>
      <c r="O24" s="11">
        <v>296</v>
      </c>
      <c r="P24">
        <f>Tabel2425678910[[#This Row],[Stand Coffee Latte einde maand]]-Tabel2425678910[[#This Row],[Coffee Latte vorige maand]]</f>
        <v>37</v>
      </c>
      <c r="Q24" s="11">
        <v>1</v>
      </c>
      <c r="R24" s="11">
        <v>1</v>
      </c>
      <c r="S24">
        <f>Tabel2425678910[[#This Row],[Stand Hot Water einde maand]]-Tabel2425678910[[#This Row],[Hot Water vorige maand]]</f>
        <v>0</v>
      </c>
      <c r="T24" s="11">
        <v>3330</v>
      </c>
      <c r="U24" s="11">
        <v>2950</v>
      </c>
      <c r="V24">
        <f>Tabel2425678910[[#This Row],[Stand Cappucino einde maand]]-Tabel2425678910[[#This Row],[Stand Cappucino vorige maand]]</f>
        <v>380</v>
      </c>
      <c r="W24" s="11">
        <v>630</v>
      </c>
      <c r="X24" s="11">
        <v>558</v>
      </c>
      <c r="Y24">
        <f>Tabel2425678910[[#This Row],[Stand Cappucino Plantaardig einde maand]]-Tabel2425678910[[#This Row],[Stand Cappucino Plantaardig vorige maand]]</f>
        <v>72</v>
      </c>
      <c r="Z24" s="11">
        <v>178</v>
      </c>
      <c r="AA24" s="11">
        <v>156</v>
      </c>
      <c r="AB24" s="12">
        <f>Tabel2425678910[[#This Row],[Stand Latte Macchiato Plantaardig einde maand]]-Tabel2425678910[[#This Row],[Stand Latte Macchiato Plantaardig vorige maand]]</f>
        <v>22</v>
      </c>
      <c r="AC24" s="3">
        <f>Tabel2425678910[[#This Row],[Verbruik Stand Latte Macchiato Plantaardig deze maand]]+Tabel2425678910[[#This Row],[Verbruik  Cappucino Plantaardig deze maand]]+Tabel2425678910[[#This Row],[Verbruik Cappucino deze maand]]+Tabel2425678910[[#This Row],[Verbruik Hot Water deze maand]]+Tabel2425678910[[#This Row],[Verbruik Coffee Latte deze maand]]+Tabel2425678910[[#This Row],[Verbruik Latte Macchiato deze maand]]+Tabel2425678910[[#This Row],[Verbruik Espresso deze maand]]+Tabel2425678910[[#This Row],[Verbruik Coffee deze maand]]</f>
        <v>1262</v>
      </c>
      <c r="AD24" s="11">
        <v>127.4</v>
      </c>
      <c r="AE24" s="11">
        <v>110.2</v>
      </c>
      <c r="AF24">
        <f>Tabel2425678910[[#This Row],[Stand Kamertemp liter einde maand]]-Tabel2425678910[[#This Row],[Stand Kamertemp liter vorige maand]]</f>
        <v>17.200000000000003</v>
      </c>
      <c r="AG24" s="2">
        <f>Tabel2425678910[[#This Row],[Verbruik Kamertemp liter deze maand]]/0.15</f>
        <v>114.66666666666669</v>
      </c>
      <c r="AH24" s="11">
        <v>856.9</v>
      </c>
      <c r="AI24" s="11">
        <v>765.5</v>
      </c>
      <c r="AJ24">
        <f>Tabel2425678910[[#This Row],[Stand Gekoeld liter einde maand]]-Tabel2425678910[[#This Row],[Stand Gekoeld liter vorige maand]]</f>
        <v>91.399999999999977</v>
      </c>
      <c r="AK24" s="2">
        <f>Tabel2425678910[[#This Row],[Verbruik Gekoeld liter deze maand]]/0.15</f>
        <v>609.33333333333326</v>
      </c>
      <c r="AL24" s="11">
        <v>785.2</v>
      </c>
      <c r="AM24" s="11">
        <v>706.5</v>
      </c>
      <c r="AN24">
        <f>Tabel2425678910[[#This Row],[Stand Bruisend liter einde maand]]-Tabel2425678910[[#This Row],[Stand Bruisend liter vorige maand]]</f>
        <v>78.700000000000045</v>
      </c>
      <c r="AO24" s="2">
        <f>Tabel2425678910[[#This Row],[Verbruik Bruisend liter deze maand]]/0.15</f>
        <v>524.66666666666697</v>
      </c>
      <c r="AP24" s="11">
        <v>282.89999999999998</v>
      </c>
      <c r="AQ24" s="11">
        <v>253.4</v>
      </c>
      <c r="AR24">
        <f>Tabel2425678910[[#This Row],[Stand licht bruisend liter einde maand]]-Tabel2425678910[[#This Row],[Stand licht bruisend liter vorige maand]]</f>
        <v>29.499999999999972</v>
      </c>
      <c r="AS24" s="2">
        <f>Tabel2425678910[[#This Row],[Verbruik licht bruisend liter deze maand]]/0.15</f>
        <v>196.66666666666649</v>
      </c>
      <c r="AT24" s="11">
        <v>1031.5</v>
      </c>
      <c r="AU24" s="11">
        <v>933.5</v>
      </c>
      <c r="AV24">
        <f>Tabel2425678910[[#This Row],[Stand heet water liter einde maand]]-Tabel2425678910[[#This Row],[Stand heet water liter vorige maand]]</f>
        <v>98</v>
      </c>
      <c r="AW24" s="20">
        <f>Tabel2425678910[[#This Row],[Verbruik heet Water liter deze maand ]]/0.15</f>
        <v>653.33333333333337</v>
      </c>
      <c r="AX24" s="4">
        <f>Tabel2425678910[[#This Row],[Aantal consumpties heet water deze maand]]+Tabel2425678910[[#This Row],[Aantal consumpties licht bruisend water deze maand]]+Tabel2425678910[[#This Row],[aantal consumpties Bruisend water deze maand]]+Tabel2425678910[[#This Row],[Aantal consumpties gekoeld water deze maand]]+Tabel2425678910[[#This Row],[Aantal consumpties Kamertemp deze maand]]</f>
        <v>2098.666666666667</v>
      </c>
      <c r="AY24" s="4">
        <f>Tabel2425678910[[#This Row],[Subtotaal waterbar in consumpties]]+Tabel2425678910[[#This Row],[Subtotaal koffieautomaten]]</f>
        <v>3360.666666666667</v>
      </c>
    </row>
    <row r="25" spans="1:51" x14ac:dyDescent="0.25">
      <c r="A25" s="3" t="s">
        <v>74</v>
      </c>
      <c r="F25" s="11"/>
      <c r="H25" s="11"/>
      <c r="I25" s="11"/>
      <c r="J25" s="12"/>
      <c r="K25" s="11"/>
      <c r="L25" s="11"/>
      <c r="O25" s="11"/>
      <c r="R25" s="11"/>
      <c r="U25" s="11"/>
      <c r="X25" s="11"/>
      <c r="AA25" s="11"/>
      <c r="AC25" s="3">
        <f>Tabel2425678910[[#This Row],[Verbruik Stand Latte Macchiato Plantaardig deze maand]]+Tabel2425678910[[#This Row],[Verbruik  Cappucino Plantaardig deze maand]]+Tabel2425678910[[#This Row],[Verbruik Cappucino deze maand]]+Tabel2425678910[[#This Row],[Verbruik Hot Water deze maand]]+Tabel2425678910[[#This Row],[Verbruik Coffee Latte deze maand]]+Tabel2425678910[[#This Row],[Verbruik Latte Macchiato deze maand]]+Tabel2425678910[[#This Row],[Verbruik Espresso deze maand]]+Tabel2425678910[[#This Row],[Verbruik Coffee deze maand]]</f>
        <v>0</v>
      </c>
      <c r="AE25" s="11"/>
      <c r="AG25" s="2"/>
      <c r="AI25" s="11"/>
      <c r="AK25" s="2"/>
      <c r="AM25" s="11"/>
      <c r="AO25" s="2"/>
      <c r="AQ25" s="11"/>
      <c r="AS25" s="2"/>
      <c r="AU25" s="11"/>
      <c r="AW25" s="20"/>
      <c r="AX25" s="3"/>
      <c r="AY25" s="4">
        <f>Tabel2425678910[[#This Row],[Subtotaal waterbar in consumpties]]+Tabel2425678910[[#This Row],[Subtotaal koffieautomaten]]</f>
        <v>0</v>
      </c>
    </row>
    <row r="26" spans="1:51" x14ac:dyDescent="0.25">
      <c r="A26" t="s">
        <v>32</v>
      </c>
      <c r="B26" t="s">
        <v>75</v>
      </c>
      <c r="C26" t="s">
        <v>47</v>
      </c>
      <c r="E26" s="11">
        <v>2857</v>
      </c>
      <c r="F26" s="11">
        <v>2485</v>
      </c>
      <c r="G26" s="12">
        <f>Tabel2425678910[[#This Row],[Stand Coffee einde maand]]-Tabel2425678910[[#This Row],[Coffee vorige maand]]</f>
        <v>372</v>
      </c>
      <c r="H26" s="11">
        <v>456</v>
      </c>
      <c r="I26" s="11">
        <v>383</v>
      </c>
      <c r="J26" s="12">
        <f>Tabel2425678910[[#This Row],[Stand Espresso Einde maand]]-Tabel2425678910[[#This Row],[Espresso vorige maand]]</f>
        <v>73</v>
      </c>
      <c r="K26" s="11">
        <v>873</v>
      </c>
      <c r="L26" s="11">
        <v>793</v>
      </c>
      <c r="M26">
        <f>Tabel2425678910[[#This Row],[Stand Latte Macchiato einde maand]]-Tabel2425678910[[#This Row],[Latte Macchiato vorige maand]]</f>
        <v>80</v>
      </c>
      <c r="N26" s="11">
        <v>285</v>
      </c>
      <c r="O26" s="11">
        <v>269</v>
      </c>
      <c r="P26">
        <f>Tabel2425678910[[#This Row],[Stand Coffee Latte einde maand]]-Tabel2425678910[[#This Row],[Coffee Latte vorige maand]]</f>
        <v>16</v>
      </c>
      <c r="Q26" s="11">
        <v>1</v>
      </c>
      <c r="R26" s="11">
        <v>1</v>
      </c>
      <c r="S26">
        <f>Tabel2425678910[[#This Row],[Stand Hot Water einde maand]]-Tabel2425678910[[#This Row],[Hot Water vorige maand]]</f>
        <v>0</v>
      </c>
      <c r="T26" s="11">
        <v>1872</v>
      </c>
      <c r="U26" s="11">
        <v>1648</v>
      </c>
      <c r="V26">
        <f>Tabel2425678910[[#This Row],[Stand Cappucino einde maand]]-Tabel2425678910[[#This Row],[Stand Cappucino vorige maand]]</f>
        <v>224</v>
      </c>
      <c r="W26" s="11">
        <v>257</v>
      </c>
      <c r="X26" s="11">
        <v>213</v>
      </c>
      <c r="Y26">
        <f>Tabel2425678910[[#This Row],[Stand Cappucino Plantaardig einde maand]]-Tabel2425678910[[#This Row],[Stand Cappucino Plantaardig vorige maand]]</f>
        <v>44</v>
      </c>
      <c r="Z26" s="11">
        <v>214</v>
      </c>
      <c r="AA26" s="11">
        <v>209</v>
      </c>
      <c r="AB26" s="12">
        <f>Tabel2425678910[[#This Row],[Stand Latte Macchiato Plantaardig einde maand]]-Tabel2425678910[[#This Row],[Stand Latte Macchiato Plantaardig vorige maand]]</f>
        <v>5</v>
      </c>
      <c r="AC26" s="3">
        <f>Tabel2425678910[[#This Row],[Verbruik Stand Latte Macchiato Plantaardig deze maand]]+Tabel2425678910[[#This Row],[Verbruik  Cappucino Plantaardig deze maand]]+Tabel2425678910[[#This Row],[Verbruik Cappucino deze maand]]+Tabel2425678910[[#This Row],[Verbruik Hot Water deze maand]]+Tabel2425678910[[#This Row],[Verbruik Coffee Latte deze maand]]+Tabel2425678910[[#This Row],[Verbruik Latte Macchiato deze maand]]+Tabel2425678910[[#This Row],[Verbruik Espresso deze maand]]+Tabel2425678910[[#This Row],[Verbruik Coffee deze maand]]</f>
        <v>814</v>
      </c>
      <c r="AD26" s="11">
        <v>88.3</v>
      </c>
      <c r="AE26" s="11">
        <v>77.7</v>
      </c>
      <c r="AF26">
        <f>Tabel2425678910[[#This Row],[Stand Kamertemp liter einde maand]]-Tabel2425678910[[#This Row],[Stand Kamertemp liter vorige maand]]</f>
        <v>10.599999999999994</v>
      </c>
      <c r="AG26" s="2">
        <f>Tabel2425678910[[#This Row],[Verbruik Kamertemp liter deze maand]]/0.15</f>
        <v>70.666666666666629</v>
      </c>
      <c r="AH26" s="11">
        <v>507.1</v>
      </c>
      <c r="AI26" s="11">
        <v>412.7</v>
      </c>
      <c r="AJ26">
        <f>Tabel2425678910[[#This Row],[Stand Gekoeld liter einde maand]]-Tabel2425678910[[#This Row],[Stand Gekoeld liter vorige maand]]</f>
        <v>94.400000000000034</v>
      </c>
      <c r="AK26" s="2">
        <f>Tabel2425678910[[#This Row],[Verbruik Gekoeld liter deze maand]]/0.15</f>
        <v>629.3333333333336</v>
      </c>
      <c r="AL26" s="11">
        <v>401.6</v>
      </c>
      <c r="AM26" s="11">
        <v>333.5</v>
      </c>
      <c r="AN26">
        <f>Tabel2425678910[[#This Row],[Stand Bruisend liter einde maand]]-Tabel2425678910[[#This Row],[Stand Bruisend liter vorige maand]]</f>
        <v>68.100000000000023</v>
      </c>
      <c r="AO26" s="2">
        <f>Tabel2425678910[[#This Row],[Verbruik Bruisend liter deze maand]]/0.15</f>
        <v>454.00000000000017</v>
      </c>
      <c r="AP26" s="11">
        <v>202.3</v>
      </c>
      <c r="AQ26" s="11">
        <v>178</v>
      </c>
      <c r="AR26">
        <f>Tabel2425678910[[#This Row],[Stand licht bruisend liter einde maand]]-Tabel2425678910[[#This Row],[Stand licht bruisend liter vorige maand]]</f>
        <v>24.300000000000011</v>
      </c>
      <c r="AS26" s="2">
        <f>Tabel2425678910[[#This Row],[Verbruik licht bruisend liter deze maand]]/0.15</f>
        <v>162.00000000000009</v>
      </c>
      <c r="AT26" s="11">
        <v>1612.3</v>
      </c>
      <c r="AU26" s="11">
        <v>1393.7</v>
      </c>
      <c r="AV26">
        <f>Tabel2425678910[[#This Row],[Stand heet water liter einde maand]]-Tabel2425678910[[#This Row],[Stand heet water liter vorige maand]]</f>
        <v>218.59999999999991</v>
      </c>
      <c r="AW26" s="20">
        <f>Tabel2425678910[[#This Row],[Verbruik heet Water liter deze maand ]]/0.15</f>
        <v>1457.3333333333328</v>
      </c>
      <c r="AX26" s="4">
        <f>Tabel2425678910[[#This Row],[Aantal consumpties heet water deze maand]]+Tabel2425678910[[#This Row],[Aantal consumpties licht bruisend water deze maand]]+Tabel2425678910[[#This Row],[aantal consumpties Bruisend water deze maand]]+Tabel2425678910[[#This Row],[Aantal consumpties gekoeld water deze maand]]+Tabel2425678910[[#This Row],[Aantal consumpties Kamertemp deze maand]]</f>
        <v>2773.333333333333</v>
      </c>
      <c r="AY26" s="4">
        <f>Tabel2425678910[[#This Row],[Subtotaal waterbar in consumpties]]+Tabel2425678910[[#This Row],[Subtotaal koffieautomaten]]</f>
        <v>3587.333333333333</v>
      </c>
    </row>
    <row r="27" spans="1:51" x14ac:dyDescent="0.25">
      <c r="A27" t="s">
        <v>39</v>
      </c>
      <c r="B27" t="s">
        <v>76</v>
      </c>
      <c r="C27" t="s">
        <v>31</v>
      </c>
      <c r="E27" s="11">
        <v>11665</v>
      </c>
      <c r="F27" s="11">
        <v>10413</v>
      </c>
      <c r="G27" s="12">
        <f>Tabel2425678910[[#This Row],[Stand Coffee einde maand]]-Tabel2425678910[[#This Row],[Coffee vorige maand]]</f>
        <v>1252</v>
      </c>
      <c r="H27" s="11">
        <v>2651</v>
      </c>
      <c r="I27" s="11">
        <v>2317</v>
      </c>
      <c r="J27" s="12">
        <f>Tabel2425678910[[#This Row],[Stand Espresso Einde maand]]-Tabel2425678910[[#This Row],[Espresso vorige maand]]</f>
        <v>334</v>
      </c>
      <c r="K27" s="11">
        <v>1332</v>
      </c>
      <c r="L27" s="11">
        <v>1184</v>
      </c>
      <c r="M27">
        <f>Tabel2425678910[[#This Row],[Stand Latte Macchiato einde maand]]-Tabel2425678910[[#This Row],[Latte Macchiato vorige maand]]</f>
        <v>148</v>
      </c>
      <c r="N27" s="11">
        <v>538</v>
      </c>
      <c r="O27" s="11">
        <v>504</v>
      </c>
      <c r="P27">
        <f>Tabel2425678910[[#This Row],[Stand Coffee Latte einde maand]]-Tabel2425678910[[#This Row],[Coffee Latte vorige maand]]</f>
        <v>34</v>
      </c>
      <c r="Q27" s="11">
        <v>8251</v>
      </c>
      <c r="R27" s="11">
        <v>7479</v>
      </c>
      <c r="S27">
        <f>Tabel2425678910[[#This Row],[Stand Hot Water einde maand]]-Tabel2425678910[[#This Row],[Hot Water vorige maand]]</f>
        <v>772</v>
      </c>
      <c r="T27" s="11">
        <v>7826</v>
      </c>
      <c r="U27" s="11">
        <v>6994</v>
      </c>
      <c r="V27">
        <f>Tabel2425678910[[#This Row],[Stand Cappucino einde maand]]-Tabel2425678910[[#This Row],[Stand Cappucino vorige maand]]</f>
        <v>832</v>
      </c>
      <c r="W27" s="11">
        <v>1129</v>
      </c>
      <c r="X27" s="11">
        <v>1028</v>
      </c>
      <c r="Y27">
        <f>Tabel2425678910[[#This Row],[Stand Cappucino Plantaardig einde maand]]-Tabel2425678910[[#This Row],[Stand Cappucino Plantaardig vorige maand]]</f>
        <v>101</v>
      </c>
      <c r="Z27" s="11">
        <v>326</v>
      </c>
      <c r="AA27" s="11">
        <v>291</v>
      </c>
      <c r="AB27" s="12">
        <f>Tabel2425678910[[#This Row],[Stand Latte Macchiato Plantaardig einde maand]]-Tabel2425678910[[#This Row],[Stand Latte Macchiato Plantaardig vorige maand]]</f>
        <v>35</v>
      </c>
      <c r="AC27" s="3">
        <f>Tabel2425678910[[#This Row],[Verbruik Stand Latte Macchiato Plantaardig deze maand]]+Tabel2425678910[[#This Row],[Verbruik  Cappucino Plantaardig deze maand]]+Tabel2425678910[[#This Row],[Verbruik Cappucino deze maand]]+Tabel2425678910[[#This Row],[Verbruik Hot Water deze maand]]+Tabel2425678910[[#This Row],[Verbruik Coffee Latte deze maand]]+Tabel2425678910[[#This Row],[Verbruik Latte Macchiato deze maand]]+Tabel2425678910[[#This Row],[Verbruik Espresso deze maand]]+Tabel2425678910[[#This Row],[Verbruik Coffee deze maand]]</f>
        <v>3508</v>
      </c>
      <c r="AD27" s="26"/>
      <c r="AE27" s="26"/>
      <c r="AF27" s="5"/>
      <c r="AG27" s="7"/>
      <c r="AH27" s="26"/>
      <c r="AI27" s="26"/>
      <c r="AJ27" s="5"/>
      <c r="AK27" s="7"/>
      <c r="AL27" s="26"/>
      <c r="AM27" s="26"/>
      <c r="AN27" s="5"/>
      <c r="AO27" s="7"/>
      <c r="AP27" s="26"/>
      <c r="AQ27" s="26"/>
      <c r="AR27" s="5"/>
      <c r="AS27" s="7"/>
      <c r="AT27" s="26"/>
      <c r="AU27" s="26"/>
      <c r="AV27" s="5"/>
      <c r="AW27" s="21"/>
      <c r="AX27" s="8"/>
      <c r="AY27" s="4">
        <f>Tabel2425678910[[#This Row],[Subtotaal waterbar in consumpties]]+Tabel2425678910[[#This Row],[Subtotaal koffieautomaten]]</f>
        <v>3508</v>
      </c>
    </row>
    <row r="28" spans="1:51" x14ac:dyDescent="0.25">
      <c r="A28" t="s">
        <v>39</v>
      </c>
      <c r="B28" t="s">
        <v>77</v>
      </c>
      <c r="C28" t="s">
        <v>36</v>
      </c>
      <c r="E28" s="42"/>
      <c r="F28" s="42"/>
      <c r="G28" s="43"/>
      <c r="H28" s="42"/>
      <c r="I28" s="42"/>
      <c r="J28" s="43"/>
      <c r="K28" s="42"/>
      <c r="L28" s="42"/>
      <c r="M28" s="43"/>
      <c r="N28" s="42"/>
      <c r="O28" s="42"/>
      <c r="P28" s="43"/>
      <c r="Q28" s="42"/>
      <c r="R28" s="42"/>
      <c r="S28" s="43"/>
      <c r="T28" s="42"/>
      <c r="U28" s="42"/>
      <c r="V28" s="43"/>
      <c r="W28" s="42"/>
      <c r="X28" s="42"/>
      <c r="Y28" s="43"/>
      <c r="Z28" s="42"/>
      <c r="AA28" s="42"/>
      <c r="AB28" s="43"/>
      <c r="AC28" s="43"/>
      <c r="AD28" s="11">
        <v>84.2</v>
      </c>
      <c r="AE28" s="11">
        <v>69.5</v>
      </c>
      <c r="AF28">
        <f>Tabel2425678910[[#This Row],[Stand Kamertemp liter einde maand]]-Tabel2425678910[[#This Row],[Stand Kamertemp liter vorige maand]]</f>
        <v>14.700000000000003</v>
      </c>
      <c r="AG28" s="2">
        <f>Tabel2425678910[[#This Row],[Verbruik Kamertemp liter deze maand]]/0.15</f>
        <v>98.000000000000028</v>
      </c>
      <c r="AH28" s="11">
        <v>764</v>
      </c>
      <c r="AI28" s="11">
        <v>623.5</v>
      </c>
      <c r="AJ28">
        <f>Tabel2425678910[[#This Row],[Stand Gekoeld liter einde maand]]-Tabel2425678910[[#This Row],[Stand Gekoeld liter vorige maand]]</f>
        <v>140.5</v>
      </c>
      <c r="AK28" s="2">
        <f>Tabel2425678910[[#This Row],[Verbruik Gekoeld liter deze maand]]/0.15</f>
        <v>936.66666666666674</v>
      </c>
      <c r="AL28" s="11">
        <v>556.70000000000005</v>
      </c>
      <c r="AM28" s="11">
        <v>456.5</v>
      </c>
      <c r="AN28">
        <f>Tabel2425678910[[#This Row],[Stand Bruisend liter einde maand]]-Tabel2425678910[[#This Row],[Stand Bruisend liter vorige maand]]</f>
        <v>100.20000000000005</v>
      </c>
      <c r="AO28" s="2">
        <f>Tabel2425678910[[#This Row],[Verbruik Bruisend liter deze maand]]/0.15</f>
        <v>668.00000000000034</v>
      </c>
      <c r="AP28" s="11">
        <v>206.8</v>
      </c>
      <c r="AQ28" s="11">
        <v>179.3</v>
      </c>
      <c r="AR28">
        <f>Tabel2425678910[[#This Row],[Stand licht bruisend liter einde maand]]-Tabel2425678910[[#This Row],[Stand licht bruisend liter vorige maand]]</f>
        <v>27.5</v>
      </c>
      <c r="AS28" s="2">
        <f>Tabel2425678910[[#This Row],[Verbruik licht bruisend liter deze maand]]/0.15</f>
        <v>183.33333333333334</v>
      </c>
      <c r="AT28" s="11">
        <v>492.2</v>
      </c>
      <c r="AU28" s="11">
        <v>426.7</v>
      </c>
      <c r="AV28">
        <f>Tabel2425678910[[#This Row],[Stand heet water liter einde maand]]-Tabel2425678910[[#This Row],[Stand heet water liter vorige maand]]</f>
        <v>65.5</v>
      </c>
      <c r="AW28" s="20">
        <f>Tabel2425678910[[#This Row],[Verbruik heet Water liter deze maand ]]/0.15</f>
        <v>436.66666666666669</v>
      </c>
      <c r="AX28" s="4">
        <f>Tabel2425678910[[#This Row],[Aantal consumpties heet water deze maand]]+Tabel2425678910[[#This Row],[Aantal consumpties licht bruisend water deze maand]]+Tabel2425678910[[#This Row],[aantal consumpties Bruisend water deze maand]]+Tabel2425678910[[#This Row],[Aantal consumpties gekoeld water deze maand]]+Tabel2425678910[[#This Row],[Aantal consumpties Kamertemp deze maand]]</f>
        <v>2322.666666666667</v>
      </c>
      <c r="AY28" s="4">
        <f>Tabel2425678910[[#This Row],[Subtotaal waterbar in consumpties]]+Tabel2425678910[[#This Row],[Subtotaal koffieautomaten]]</f>
        <v>2322.666666666667</v>
      </c>
    </row>
    <row r="29" spans="1:51" x14ac:dyDescent="0.25">
      <c r="A29" t="s">
        <v>41</v>
      </c>
      <c r="B29" t="s">
        <v>78</v>
      </c>
      <c r="C29" t="s">
        <v>47</v>
      </c>
      <c r="E29" s="11">
        <v>1936</v>
      </c>
      <c r="F29" s="11">
        <v>1723</v>
      </c>
      <c r="G29" s="12">
        <f>Tabel2425678910[[#This Row],[Stand Coffee einde maand]]-Tabel2425678910[[#This Row],[Coffee vorige maand]]</f>
        <v>213</v>
      </c>
      <c r="H29" s="11">
        <v>1040</v>
      </c>
      <c r="I29" s="11">
        <v>928</v>
      </c>
      <c r="J29" s="12">
        <f>Tabel2425678910[[#This Row],[Stand Espresso Einde maand]]-Tabel2425678910[[#This Row],[Espresso vorige maand]]</f>
        <v>112</v>
      </c>
      <c r="K29" s="11">
        <v>168</v>
      </c>
      <c r="L29" s="11">
        <v>133</v>
      </c>
      <c r="M29">
        <f>Tabel2425678910[[#This Row],[Stand Latte Macchiato einde maand]]-Tabel2425678910[[#This Row],[Latte Macchiato vorige maand]]</f>
        <v>35</v>
      </c>
      <c r="N29" s="11">
        <v>136</v>
      </c>
      <c r="O29" s="11">
        <v>117</v>
      </c>
      <c r="P29">
        <f>Tabel2425678910[[#This Row],[Stand Coffee Latte einde maand]]-Tabel2425678910[[#This Row],[Coffee Latte vorige maand]]</f>
        <v>19</v>
      </c>
      <c r="Q29" s="11">
        <v>1</v>
      </c>
      <c r="R29" s="11">
        <v>1</v>
      </c>
      <c r="S29">
        <f>Tabel2425678910[[#This Row],[Stand Hot Water einde maand]]-Tabel2425678910[[#This Row],[Hot Water vorige maand]]</f>
        <v>0</v>
      </c>
      <c r="T29" s="11">
        <v>1124</v>
      </c>
      <c r="U29" s="11">
        <v>1041</v>
      </c>
      <c r="V29">
        <f>Tabel2425678910[[#This Row],[Stand Cappucino einde maand]]-Tabel2425678910[[#This Row],[Stand Cappucino vorige maand]]</f>
        <v>83</v>
      </c>
      <c r="W29" s="11">
        <v>714</v>
      </c>
      <c r="X29" s="11">
        <v>640</v>
      </c>
      <c r="Y29">
        <f>Tabel2425678910[[#This Row],[Stand Cappucino Plantaardig einde maand]]-Tabel2425678910[[#This Row],[Stand Cappucino Plantaardig vorige maand]]</f>
        <v>74</v>
      </c>
      <c r="Z29" s="11">
        <v>258</v>
      </c>
      <c r="AA29" s="11">
        <v>237</v>
      </c>
      <c r="AB29" s="12">
        <f>Tabel2425678910[[#This Row],[Stand Latte Macchiato Plantaardig einde maand]]-Tabel2425678910[[#This Row],[Stand Latte Macchiato Plantaardig vorige maand]]</f>
        <v>21</v>
      </c>
      <c r="AC29" s="3">
        <f>Tabel2425678910[[#This Row],[Verbruik Stand Latte Macchiato Plantaardig deze maand]]+Tabel2425678910[[#This Row],[Verbruik  Cappucino Plantaardig deze maand]]+Tabel2425678910[[#This Row],[Verbruik Cappucino deze maand]]+Tabel2425678910[[#This Row],[Verbruik Hot Water deze maand]]+Tabel2425678910[[#This Row],[Verbruik Coffee Latte deze maand]]+Tabel2425678910[[#This Row],[Verbruik Latte Macchiato deze maand]]+Tabel2425678910[[#This Row],[Verbruik Espresso deze maand]]+Tabel2425678910[[#This Row],[Verbruik Coffee deze maand]]</f>
        <v>557</v>
      </c>
      <c r="AD29" s="11">
        <v>78.2</v>
      </c>
      <c r="AE29" s="11">
        <v>60.5</v>
      </c>
      <c r="AF29">
        <f>Tabel2425678910[[#This Row],[Stand Kamertemp liter einde maand]]-Tabel2425678910[[#This Row],[Stand Kamertemp liter vorige maand]]</f>
        <v>17.700000000000003</v>
      </c>
      <c r="AG29" s="2">
        <f>Tabel2425678910[[#This Row],[Verbruik Kamertemp liter deze maand]]/0.15</f>
        <v>118.00000000000003</v>
      </c>
      <c r="AH29" s="11">
        <v>631.9</v>
      </c>
      <c r="AI29" s="11">
        <v>514.5</v>
      </c>
      <c r="AJ29">
        <f>Tabel2425678910[[#This Row],[Stand Gekoeld liter einde maand]]-Tabel2425678910[[#This Row],[Stand Gekoeld liter vorige maand]]</f>
        <v>117.39999999999998</v>
      </c>
      <c r="AK29" s="2">
        <f>Tabel2425678910[[#This Row],[Verbruik Gekoeld liter deze maand]]/0.15</f>
        <v>782.66666666666652</v>
      </c>
      <c r="AL29" s="11">
        <v>747</v>
      </c>
      <c r="AM29" s="11">
        <v>664.1</v>
      </c>
      <c r="AN29">
        <f>Tabel2425678910[[#This Row],[Stand Bruisend liter einde maand]]-Tabel2425678910[[#This Row],[Stand Bruisend liter vorige maand]]</f>
        <v>82.899999999999977</v>
      </c>
      <c r="AO29" s="2">
        <f>Tabel2425678910[[#This Row],[Verbruik Bruisend liter deze maand]]/0.15</f>
        <v>552.66666666666652</v>
      </c>
      <c r="AP29" s="11">
        <v>607.1</v>
      </c>
      <c r="AQ29" s="11">
        <v>543.6</v>
      </c>
      <c r="AR29">
        <f>Tabel2425678910[[#This Row],[Stand licht bruisend liter einde maand]]-Tabel2425678910[[#This Row],[Stand licht bruisend liter vorige maand]]</f>
        <v>63.5</v>
      </c>
      <c r="AS29" s="2">
        <f>Tabel2425678910[[#This Row],[Verbruik licht bruisend liter deze maand]]/0.15</f>
        <v>423.33333333333337</v>
      </c>
      <c r="AT29" s="11">
        <v>2150.1999999999998</v>
      </c>
      <c r="AU29" s="11">
        <v>1947.9</v>
      </c>
      <c r="AV29">
        <f>Tabel2425678910[[#This Row],[Stand heet water liter einde maand]]-Tabel2425678910[[#This Row],[Stand heet water liter vorige maand]]</f>
        <v>202.29999999999973</v>
      </c>
      <c r="AW29" s="20">
        <f>Tabel2425678910[[#This Row],[Verbruik heet Water liter deze maand ]]/0.15</f>
        <v>1348.6666666666649</v>
      </c>
      <c r="AX29" s="4">
        <f>Tabel2425678910[[#This Row],[Aantal consumpties heet water deze maand]]+Tabel2425678910[[#This Row],[Aantal consumpties licht bruisend water deze maand]]+Tabel2425678910[[#This Row],[aantal consumpties Bruisend water deze maand]]+Tabel2425678910[[#This Row],[Aantal consumpties gekoeld water deze maand]]+Tabel2425678910[[#This Row],[Aantal consumpties Kamertemp deze maand]]</f>
        <v>3225.3333333333312</v>
      </c>
      <c r="AY29" s="4">
        <f>Tabel2425678910[[#This Row],[Subtotaal waterbar in consumpties]]+Tabel2425678910[[#This Row],[Subtotaal koffieautomaten]]</f>
        <v>3782.3333333333312</v>
      </c>
    </row>
    <row r="30" spans="1:51" x14ac:dyDescent="0.25">
      <c r="A30" t="s">
        <v>43</v>
      </c>
      <c r="B30" t="s">
        <v>79</v>
      </c>
      <c r="C30" t="s">
        <v>31</v>
      </c>
      <c r="E30" s="11">
        <v>4047</v>
      </c>
      <c r="F30" s="11">
        <v>3550</v>
      </c>
      <c r="G30" s="12">
        <f>Tabel2425678910[[#This Row],[Stand Coffee einde maand]]-Tabel2425678910[[#This Row],[Coffee vorige maand]]</f>
        <v>497</v>
      </c>
      <c r="H30" s="11">
        <v>1288</v>
      </c>
      <c r="I30" s="11">
        <v>1181</v>
      </c>
      <c r="J30" s="12">
        <f>Tabel2425678910[[#This Row],[Stand Espresso Einde maand]]-Tabel2425678910[[#This Row],[Espresso vorige maand]]</f>
        <v>107</v>
      </c>
      <c r="K30" s="11">
        <v>10</v>
      </c>
      <c r="L30" s="11">
        <v>99</v>
      </c>
      <c r="M30">
        <f>Tabel2425678910[[#This Row],[Stand Latte Macchiato einde maand]]-Tabel2425678910[[#This Row],[Latte Macchiato vorige maand]]</f>
        <v>-89</v>
      </c>
      <c r="N30" s="11">
        <v>91</v>
      </c>
      <c r="O30" s="11">
        <v>85</v>
      </c>
      <c r="P30">
        <f>Tabel2425678910[[#This Row],[Stand Coffee Latte einde maand]]-Tabel2425678910[[#This Row],[Coffee Latte vorige maand]]</f>
        <v>6</v>
      </c>
      <c r="Q30" s="11">
        <v>3010</v>
      </c>
      <c r="R30" s="11">
        <v>2718</v>
      </c>
      <c r="S30">
        <f>Tabel2425678910[[#This Row],[Stand Hot Water einde maand]]-Tabel2425678910[[#This Row],[Hot Water vorige maand]]</f>
        <v>292</v>
      </c>
      <c r="T30" s="11">
        <v>1777</v>
      </c>
      <c r="U30" s="11">
        <v>1581</v>
      </c>
      <c r="V30">
        <f>Tabel2425678910[[#This Row],[Stand Cappucino einde maand]]-Tabel2425678910[[#This Row],[Stand Cappucino vorige maand]]</f>
        <v>196</v>
      </c>
      <c r="W30" s="11">
        <v>120</v>
      </c>
      <c r="X30" s="11">
        <v>108</v>
      </c>
      <c r="Y30">
        <f>Tabel2425678910[[#This Row],[Stand Cappucino Plantaardig einde maand]]-Tabel2425678910[[#This Row],[Stand Cappucino Plantaardig vorige maand]]</f>
        <v>12</v>
      </c>
      <c r="Z30" s="11">
        <v>14</v>
      </c>
      <c r="AA30" s="11">
        <v>14</v>
      </c>
      <c r="AB30" s="12">
        <f>Tabel2425678910[[#This Row],[Stand Latte Macchiato Plantaardig einde maand]]-Tabel2425678910[[#This Row],[Stand Latte Macchiato Plantaardig vorige maand]]</f>
        <v>0</v>
      </c>
      <c r="AC30" s="3">
        <f>Tabel2425678910[[#This Row],[Verbruik Stand Latte Macchiato Plantaardig deze maand]]+Tabel2425678910[[#This Row],[Verbruik  Cappucino Plantaardig deze maand]]+Tabel2425678910[[#This Row],[Verbruik Cappucino deze maand]]+Tabel2425678910[[#This Row],[Verbruik Hot Water deze maand]]+Tabel2425678910[[#This Row],[Verbruik Coffee Latte deze maand]]+Tabel2425678910[[#This Row],[Verbruik Latte Macchiato deze maand]]+Tabel2425678910[[#This Row],[Verbruik Espresso deze maand]]+Tabel2425678910[[#This Row],[Verbruik Coffee deze maand]]</f>
        <v>1021</v>
      </c>
      <c r="AD30" s="26"/>
      <c r="AE30" s="26"/>
      <c r="AF30" s="5"/>
      <c r="AG30" s="5"/>
      <c r="AH30" s="26"/>
      <c r="AI30" s="26"/>
      <c r="AJ30" s="5"/>
      <c r="AK30" s="7"/>
      <c r="AL30" s="26"/>
      <c r="AM30" s="26"/>
      <c r="AN30" s="5"/>
      <c r="AO30" s="7"/>
      <c r="AP30" s="26"/>
      <c r="AQ30" s="26"/>
      <c r="AR30" s="5"/>
      <c r="AS30" s="7"/>
      <c r="AT30" s="26"/>
      <c r="AU30" s="26"/>
      <c r="AV30" s="5"/>
      <c r="AW30" s="21"/>
      <c r="AX30" s="8"/>
      <c r="AY30" s="4">
        <f>Tabel2425678910[[#This Row],[Subtotaal waterbar in consumpties]]+Tabel2425678910[[#This Row],[Subtotaal koffieautomaten]]</f>
        <v>1021</v>
      </c>
    </row>
    <row r="31" spans="1:51" x14ac:dyDescent="0.25">
      <c r="A31" t="s">
        <v>45</v>
      </c>
      <c r="B31" t="s">
        <v>80</v>
      </c>
      <c r="C31" t="s">
        <v>36</v>
      </c>
      <c r="E31" s="42"/>
      <c r="F31" s="42"/>
      <c r="G31" s="43"/>
      <c r="H31" s="42"/>
      <c r="I31" s="42"/>
      <c r="J31" s="43"/>
      <c r="K31" s="42"/>
      <c r="L31" s="42"/>
      <c r="M31" s="43"/>
      <c r="N31" s="42"/>
      <c r="O31" s="42"/>
      <c r="P31" s="43"/>
      <c r="Q31" s="42"/>
      <c r="R31" s="42"/>
      <c r="S31" s="43"/>
      <c r="T31" s="42"/>
      <c r="U31" s="42"/>
      <c r="V31" s="43"/>
      <c r="W31" s="42"/>
      <c r="X31" s="42"/>
      <c r="Y31" s="43"/>
      <c r="Z31" s="42"/>
      <c r="AA31" s="42"/>
      <c r="AB31" s="43"/>
      <c r="AC31" s="43"/>
      <c r="AD31" s="11">
        <v>57.9</v>
      </c>
      <c r="AE31" s="11">
        <v>47.3</v>
      </c>
      <c r="AF31">
        <f>Tabel2425678910[[#This Row],[Stand Kamertemp liter einde maand]]-Tabel2425678910[[#This Row],[Stand Kamertemp liter vorige maand]]</f>
        <v>10.600000000000001</v>
      </c>
      <c r="AG31" s="2">
        <f>Tabel2425678910[[#This Row],[Verbruik Kamertemp liter deze maand]]/0.15</f>
        <v>70.666666666666686</v>
      </c>
      <c r="AH31" s="26">
        <v>328.3</v>
      </c>
      <c r="AI31" s="26">
        <v>278.7</v>
      </c>
      <c r="AJ31">
        <f>Tabel2425678910[[#This Row],[Stand Gekoeld liter einde maand]]-Tabel2425678910[[#This Row],[Stand Gekoeld liter vorige maand]]</f>
        <v>49.600000000000023</v>
      </c>
      <c r="AK31" s="2">
        <f>Tabel2425678910[[#This Row],[Verbruik Gekoeld liter deze maand]]/0.15</f>
        <v>330.66666666666686</v>
      </c>
      <c r="AL31" s="26">
        <v>352.4</v>
      </c>
      <c r="AM31" s="26">
        <v>301.7</v>
      </c>
      <c r="AN31">
        <f>Tabel2425678910[[#This Row],[Stand Bruisend liter einde maand]]-Tabel2425678910[[#This Row],[Stand Bruisend liter vorige maand]]</f>
        <v>50.699999999999989</v>
      </c>
      <c r="AO31" s="2">
        <f>Tabel2425678910[[#This Row],[Verbruik Bruisend liter deze maand]]/0.15</f>
        <v>337.99999999999994</v>
      </c>
      <c r="AP31" s="26">
        <v>259.89999999999998</v>
      </c>
      <c r="AQ31" s="26">
        <v>225.5</v>
      </c>
      <c r="AR31">
        <f>Tabel2425678910[[#This Row],[Stand licht bruisend liter einde maand]]-Tabel2425678910[[#This Row],[Stand licht bruisend liter vorige maand]]</f>
        <v>34.399999999999977</v>
      </c>
      <c r="AS31" s="2">
        <f>Tabel2425678910[[#This Row],[Verbruik licht bruisend liter deze maand]]/0.15</f>
        <v>229.3333333333332</v>
      </c>
      <c r="AT31" s="26">
        <v>1242.7</v>
      </c>
      <c r="AU31" s="26">
        <v>1091.5</v>
      </c>
      <c r="AV31">
        <f>Tabel2425678910[[#This Row],[Stand heet water liter einde maand]]-Tabel2425678910[[#This Row],[Stand heet water liter vorige maand]]</f>
        <v>151.20000000000005</v>
      </c>
      <c r="AW31" s="20">
        <f>Tabel2425678910[[#This Row],[Verbruik heet Water liter deze maand ]]/0.15</f>
        <v>1008.0000000000003</v>
      </c>
      <c r="AX31" s="4">
        <f>Tabel2425678910[[#This Row],[Aantal consumpties heet water deze maand]]+Tabel2425678910[[#This Row],[Aantal consumpties licht bruisend water deze maand]]+Tabel2425678910[[#This Row],[aantal consumpties Bruisend water deze maand]]+Tabel2425678910[[#This Row],[Aantal consumpties gekoeld water deze maand]]+Tabel2425678910[[#This Row],[Aantal consumpties Kamertemp deze maand]]</f>
        <v>1976.6666666666672</v>
      </c>
      <c r="AY31" s="4">
        <f>Tabel2425678910[[#This Row],[Subtotaal waterbar in consumpties]]+Tabel2425678910[[#This Row],[Subtotaal koffieautomaten]]</f>
        <v>1976.6666666666672</v>
      </c>
    </row>
    <row r="32" spans="1:51" x14ac:dyDescent="0.25">
      <c r="A32" t="s">
        <v>48</v>
      </c>
      <c r="B32" t="s">
        <v>81</v>
      </c>
      <c r="C32" t="s">
        <v>31</v>
      </c>
      <c r="E32" s="11">
        <v>3373</v>
      </c>
      <c r="F32" s="11">
        <v>2971</v>
      </c>
      <c r="G32" s="12">
        <f>Tabel2425678910[[#This Row],[Stand Coffee einde maand]]-Tabel2425678910[[#This Row],[Coffee vorige maand]]</f>
        <v>402</v>
      </c>
      <c r="H32" s="11">
        <v>237</v>
      </c>
      <c r="I32" s="11">
        <v>201</v>
      </c>
      <c r="J32" s="12">
        <f>Tabel2425678910[[#This Row],[Stand Espresso Einde maand]]-Tabel2425678910[[#This Row],[Espresso vorige maand]]</f>
        <v>36</v>
      </c>
      <c r="K32" s="11">
        <v>216</v>
      </c>
      <c r="L32" s="11">
        <v>193</v>
      </c>
      <c r="M32">
        <f>Tabel2425678910[[#This Row],[Stand Latte Macchiato einde maand]]-Tabel2425678910[[#This Row],[Latte Macchiato vorige maand]]</f>
        <v>23</v>
      </c>
      <c r="N32" s="11">
        <v>143</v>
      </c>
      <c r="O32" s="11">
        <v>85</v>
      </c>
      <c r="P32">
        <f>Tabel2425678910[[#This Row],[Stand Coffee Latte einde maand]]-Tabel2425678910[[#This Row],[Coffee Latte vorige maand]]</f>
        <v>58</v>
      </c>
      <c r="Q32" s="11">
        <v>6746</v>
      </c>
      <c r="R32" s="11">
        <v>6073</v>
      </c>
      <c r="S32">
        <f>Tabel2425678910[[#This Row],[Stand Hot Water einde maand]]-Tabel2425678910[[#This Row],[Hot Water vorige maand]]</f>
        <v>673</v>
      </c>
      <c r="T32" s="11">
        <v>1368</v>
      </c>
      <c r="U32" s="11">
        <v>1220</v>
      </c>
      <c r="V32">
        <f>Tabel2425678910[[#This Row],[Stand Cappucino einde maand]]-Tabel2425678910[[#This Row],[Stand Cappucino vorige maand]]</f>
        <v>148</v>
      </c>
      <c r="W32" s="11">
        <v>73</v>
      </c>
      <c r="X32" s="11">
        <v>72</v>
      </c>
      <c r="Y32">
        <f>Tabel2425678910[[#This Row],[Stand Cappucino Plantaardig einde maand]]-Tabel2425678910[[#This Row],[Stand Cappucino Plantaardig vorige maand]]</f>
        <v>1</v>
      </c>
      <c r="Z32" s="11">
        <v>12</v>
      </c>
      <c r="AA32" s="11">
        <v>12</v>
      </c>
      <c r="AB32" s="12">
        <f>Tabel2425678910[[#This Row],[Stand Latte Macchiato Plantaardig einde maand]]-Tabel2425678910[[#This Row],[Stand Latte Macchiato Plantaardig vorige maand]]</f>
        <v>0</v>
      </c>
      <c r="AC32" s="3">
        <f>Tabel2425678910[[#This Row],[Verbruik Stand Latte Macchiato Plantaardig deze maand]]+Tabel2425678910[[#This Row],[Verbruik  Cappucino Plantaardig deze maand]]+Tabel2425678910[[#This Row],[Verbruik Cappucino deze maand]]+Tabel2425678910[[#This Row],[Verbruik Hot Water deze maand]]+Tabel2425678910[[#This Row],[Verbruik Coffee Latte deze maand]]+Tabel2425678910[[#This Row],[Verbruik Latte Macchiato deze maand]]+Tabel2425678910[[#This Row],[Verbruik Espresso deze maand]]+Tabel2425678910[[#This Row],[Verbruik Coffee deze maand]]</f>
        <v>1341</v>
      </c>
      <c r="AD32" s="26"/>
      <c r="AE32" s="26"/>
      <c r="AF32" s="5"/>
      <c r="AG32" s="5"/>
      <c r="AH32" s="26"/>
      <c r="AI32" s="26"/>
      <c r="AJ32" s="5"/>
      <c r="AK32" s="7"/>
      <c r="AL32" s="26"/>
      <c r="AM32" s="26"/>
      <c r="AN32" s="5"/>
      <c r="AO32" s="7"/>
      <c r="AP32" s="26"/>
      <c r="AQ32" s="26"/>
      <c r="AR32" s="5"/>
      <c r="AS32" s="7"/>
      <c r="AT32" s="26"/>
      <c r="AU32" s="26"/>
      <c r="AV32" s="5"/>
      <c r="AW32" s="21"/>
      <c r="AX32" s="8"/>
      <c r="AY32" s="4">
        <f>Tabel2425678910[[#This Row],[Subtotaal waterbar in consumpties]]+Tabel2425678910[[#This Row],[Subtotaal koffieautomaten]]</f>
        <v>1341</v>
      </c>
    </row>
    <row r="33" spans="1:51" x14ac:dyDescent="0.25">
      <c r="A33" t="s">
        <v>50</v>
      </c>
      <c r="B33" t="s">
        <v>82</v>
      </c>
      <c r="C33" t="s">
        <v>47</v>
      </c>
      <c r="E33" s="11">
        <v>2318</v>
      </c>
      <c r="F33" s="11">
        <v>2022</v>
      </c>
      <c r="G33" s="12">
        <f>Tabel2425678910[[#This Row],[Stand Coffee einde maand]]-Tabel2425678910[[#This Row],[Coffee vorige maand]]</f>
        <v>296</v>
      </c>
      <c r="H33" s="11">
        <v>205</v>
      </c>
      <c r="I33" s="11">
        <v>185</v>
      </c>
      <c r="J33" s="12">
        <f>Tabel2425678910[[#This Row],[Stand Espresso Einde maand]]-Tabel2425678910[[#This Row],[Espresso vorige maand]]</f>
        <v>20</v>
      </c>
      <c r="K33" s="11">
        <v>528</v>
      </c>
      <c r="L33" s="11">
        <v>461</v>
      </c>
      <c r="M33">
        <f>Tabel2425678910[[#This Row],[Stand Latte Macchiato einde maand]]-Tabel2425678910[[#This Row],[Latte Macchiato vorige maand]]</f>
        <v>67</v>
      </c>
      <c r="N33" s="11">
        <v>324</v>
      </c>
      <c r="O33" s="11">
        <v>275</v>
      </c>
      <c r="P33">
        <f>Tabel2425678910[[#This Row],[Stand Coffee Latte einde maand]]-Tabel2425678910[[#This Row],[Coffee Latte vorige maand]]</f>
        <v>49</v>
      </c>
      <c r="Q33" s="11">
        <v>1</v>
      </c>
      <c r="R33" s="11">
        <v>1</v>
      </c>
      <c r="S33">
        <f>Tabel2425678910[[#This Row],[Stand Hot Water einde maand]]-Tabel2425678910[[#This Row],[Hot Water vorige maand]]</f>
        <v>0</v>
      </c>
      <c r="T33" s="11">
        <v>1264</v>
      </c>
      <c r="U33" s="11">
        <v>1084</v>
      </c>
      <c r="V33">
        <f>Tabel2425678910[[#This Row],[Stand Cappucino einde maand]]-Tabel2425678910[[#This Row],[Stand Cappucino vorige maand]]</f>
        <v>180</v>
      </c>
      <c r="W33" s="11">
        <v>178</v>
      </c>
      <c r="X33" s="11">
        <v>147</v>
      </c>
      <c r="Y33">
        <f>Tabel2425678910[[#This Row],[Stand Cappucino Plantaardig einde maand]]-Tabel2425678910[[#This Row],[Stand Cappucino Plantaardig vorige maand]]</f>
        <v>31</v>
      </c>
      <c r="Z33" s="11">
        <v>32</v>
      </c>
      <c r="AA33" s="11">
        <v>29</v>
      </c>
      <c r="AB33" s="12">
        <f>Tabel2425678910[[#This Row],[Stand Latte Macchiato Plantaardig einde maand]]-Tabel2425678910[[#This Row],[Stand Latte Macchiato Plantaardig vorige maand]]</f>
        <v>3</v>
      </c>
      <c r="AC33" s="3">
        <f>Tabel2425678910[[#This Row],[Verbruik Stand Latte Macchiato Plantaardig deze maand]]+Tabel2425678910[[#This Row],[Verbruik  Cappucino Plantaardig deze maand]]+Tabel2425678910[[#This Row],[Verbruik Cappucino deze maand]]+Tabel2425678910[[#This Row],[Verbruik Hot Water deze maand]]+Tabel2425678910[[#This Row],[Verbruik Coffee Latte deze maand]]+Tabel2425678910[[#This Row],[Verbruik Latte Macchiato deze maand]]+Tabel2425678910[[#This Row],[Verbruik Espresso deze maand]]+Tabel2425678910[[#This Row],[Verbruik Coffee deze maand]]</f>
        <v>646</v>
      </c>
      <c r="AD33" s="11">
        <v>63.3</v>
      </c>
      <c r="AE33" s="11">
        <v>57.8</v>
      </c>
      <c r="AF33">
        <f>Tabel2425678910[[#This Row],[Stand Kamertemp liter einde maand]]-Tabel2425678910[[#This Row],[Stand Kamertemp liter vorige maand]]</f>
        <v>5.5</v>
      </c>
      <c r="AG33" s="2">
        <f>Tabel2425678910[[#This Row],[Verbruik Kamertemp liter deze maand]]/0.15</f>
        <v>36.666666666666671</v>
      </c>
      <c r="AH33" s="11">
        <v>281.39999999999998</v>
      </c>
      <c r="AI33" s="11">
        <v>235.6</v>
      </c>
      <c r="AJ33">
        <f>Tabel2425678910[[#This Row],[Stand Gekoeld liter einde maand]]-Tabel2425678910[[#This Row],[Stand Gekoeld liter vorige maand]]</f>
        <v>45.799999999999983</v>
      </c>
      <c r="AK33" s="2">
        <f>Tabel2425678910[[#This Row],[Verbruik Gekoeld liter deze maand]]/0.15</f>
        <v>305.33333333333326</v>
      </c>
      <c r="AL33" s="11">
        <v>385.4</v>
      </c>
      <c r="AM33" s="11">
        <v>344</v>
      </c>
      <c r="AN33">
        <f>Tabel2425678910[[#This Row],[Stand Bruisend liter einde maand]]-Tabel2425678910[[#This Row],[Stand Bruisend liter vorige maand]]</f>
        <v>41.399999999999977</v>
      </c>
      <c r="AO33" s="2">
        <f>Tabel2425678910[[#This Row],[Verbruik Bruisend liter deze maand]]/0.15</f>
        <v>275.99999999999989</v>
      </c>
      <c r="AP33" s="11">
        <v>104.2</v>
      </c>
      <c r="AQ33" s="11">
        <v>85.7</v>
      </c>
      <c r="AR33">
        <f>Tabel2425678910[[#This Row],[Stand licht bruisend liter einde maand]]-Tabel2425678910[[#This Row],[Stand licht bruisend liter vorige maand]]</f>
        <v>18.5</v>
      </c>
      <c r="AS33" s="2">
        <f>Tabel2425678910[[#This Row],[Verbruik licht bruisend liter deze maand]]/0.15</f>
        <v>123.33333333333334</v>
      </c>
      <c r="AT33" s="11">
        <v>1020.1</v>
      </c>
      <c r="AU33" s="11">
        <v>910.8</v>
      </c>
      <c r="AV33">
        <f>Tabel2425678910[[#This Row],[Stand heet water liter einde maand]]-Tabel2425678910[[#This Row],[Stand heet water liter vorige maand]]</f>
        <v>109.30000000000007</v>
      </c>
      <c r="AW33" s="20">
        <f>Tabel2425678910[[#This Row],[Verbruik heet Water liter deze maand ]]/0.15</f>
        <v>728.6666666666672</v>
      </c>
      <c r="AX33" s="4">
        <f>Tabel2425678910[[#This Row],[Aantal consumpties heet water deze maand]]+Tabel2425678910[[#This Row],[Aantal consumpties licht bruisend water deze maand]]+Tabel2425678910[[#This Row],[aantal consumpties Bruisend water deze maand]]+Tabel2425678910[[#This Row],[Aantal consumpties gekoeld water deze maand]]+Tabel2425678910[[#This Row],[Aantal consumpties Kamertemp deze maand]]</f>
        <v>1470.0000000000005</v>
      </c>
      <c r="AY33" s="4">
        <f>Tabel2425678910[[#This Row],[Subtotaal waterbar in consumpties]]+Tabel2425678910[[#This Row],[Subtotaal koffieautomaten]]</f>
        <v>2116.0000000000005</v>
      </c>
    </row>
    <row r="34" spans="1:51" x14ac:dyDescent="0.25">
      <c r="A34" t="s">
        <v>52</v>
      </c>
      <c r="B34" t="s">
        <v>83</v>
      </c>
      <c r="C34" t="s">
        <v>47</v>
      </c>
      <c r="E34" s="11">
        <v>2585</v>
      </c>
      <c r="F34" s="11">
        <v>2297</v>
      </c>
      <c r="G34" s="12">
        <f>Tabel2425678910[[#This Row],[Stand Coffee einde maand]]-Tabel2425678910[[#This Row],[Coffee vorige maand]]</f>
        <v>288</v>
      </c>
      <c r="H34" s="11">
        <v>1061</v>
      </c>
      <c r="I34" s="11">
        <v>854</v>
      </c>
      <c r="J34" s="12">
        <f>Tabel2425678910[[#This Row],[Stand Espresso Einde maand]]-Tabel2425678910[[#This Row],[Espresso vorige maand]]</f>
        <v>207</v>
      </c>
      <c r="K34" s="11">
        <v>424</v>
      </c>
      <c r="L34" s="11">
        <v>383</v>
      </c>
      <c r="M34">
        <f>Tabel2425678910[[#This Row],[Stand Latte Macchiato einde maand]]-Tabel2425678910[[#This Row],[Latte Macchiato vorige maand]]</f>
        <v>41</v>
      </c>
      <c r="N34" s="11">
        <v>142</v>
      </c>
      <c r="O34" s="11">
        <v>138</v>
      </c>
      <c r="P34">
        <f>Tabel2425678910[[#This Row],[Stand Coffee Latte einde maand]]-Tabel2425678910[[#This Row],[Coffee Latte vorige maand]]</f>
        <v>4</v>
      </c>
      <c r="Q34" s="11">
        <v>1</v>
      </c>
      <c r="R34" s="11">
        <v>1</v>
      </c>
      <c r="S34">
        <f>Tabel2425678910[[#This Row],[Stand Hot Water einde maand]]-Tabel2425678910[[#This Row],[Hot Water vorige maand]]</f>
        <v>0</v>
      </c>
      <c r="T34" s="11">
        <v>803</v>
      </c>
      <c r="U34" s="11">
        <v>737</v>
      </c>
      <c r="V34">
        <f>Tabel2425678910[[#This Row],[Stand Cappucino einde maand]]-Tabel2425678910[[#This Row],[Stand Cappucino vorige maand]]</f>
        <v>66</v>
      </c>
      <c r="W34" s="11">
        <v>335</v>
      </c>
      <c r="X34" s="11">
        <v>304</v>
      </c>
      <c r="Y34">
        <f>Tabel2425678910[[#This Row],[Stand Cappucino Plantaardig einde maand]]-Tabel2425678910[[#This Row],[Stand Cappucino Plantaardig vorige maand]]</f>
        <v>31</v>
      </c>
      <c r="Z34" s="11">
        <v>376</v>
      </c>
      <c r="AA34" s="11">
        <v>374</v>
      </c>
      <c r="AB34" s="12">
        <f>Tabel2425678910[[#This Row],[Stand Latte Macchiato Plantaardig einde maand]]-Tabel2425678910[[#This Row],[Stand Latte Macchiato Plantaardig vorige maand]]</f>
        <v>2</v>
      </c>
      <c r="AC34" s="3">
        <f>Tabel2425678910[[#This Row],[Verbruik Stand Latte Macchiato Plantaardig deze maand]]+Tabel2425678910[[#This Row],[Verbruik  Cappucino Plantaardig deze maand]]+Tabel2425678910[[#This Row],[Verbruik Cappucino deze maand]]+Tabel2425678910[[#This Row],[Verbruik Hot Water deze maand]]+Tabel2425678910[[#This Row],[Verbruik Coffee Latte deze maand]]+Tabel2425678910[[#This Row],[Verbruik Latte Macchiato deze maand]]+Tabel2425678910[[#This Row],[Verbruik Espresso deze maand]]+Tabel2425678910[[#This Row],[Verbruik Coffee deze maand]]</f>
        <v>639</v>
      </c>
      <c r="AD34" s="11">
        <v>70.099999999999994</v>
      </c>
      <c r="AE34" s="11">
        <v>64.3</v>
      </c>
      <c r="AF34">
        <f>Tabel2425678910[[#This Row],[Stand Kamertemp liter einde maand]]-Tabel2425678910[[#This Row],[Stand Kamertemp liter vorige maand]]</f>
        <v>5.7999999999999972</v>
      </c>
      <c r="AG34" s="2">
        <f>Tabel2425678910[[#This Row],[Verbruik Kamertemp liter deze maand]]/0.15</f>
        <v>38.66666666666665</v>
      </c>
      <c r="AH34" s="11">
        <v>380.3</v>
      </c>
      <c r="AI34" s="11">
        <v>327.60000000000002</v>
      </c>
      <c r="AJ34">
        <f>Tabel2425678910[[#This Row],[Stand Gekoeld liter einde maand]]-Tabel2425678910[[#This Row],[Stand Gekoeld liter vorige maand]]</f>
        <v>52.699999999999989</v>
      </c>
      <c r="AK34" s="2">
        <f>Tabel2425678910[[#This Row],[Verbruik Gekoeld liter deze maand]]/0.15</f>
        <v>351.33333333333326</v>
      </c>
      <c r="AL34" s="11">
        <v>269.39999999999998</v>
      </c>
      <c r="AM34" s="11">
        <v>223.4</v>
      </c>
      <c r="AN34">
        <f>Tabel2425678910[[#This Row],[Stand Bruisend liter einde maand]]-Tabel2425678910[[#This Row],[Stand Bruisend liter vorige maand]]</f>
        <v>45.999999999999972</v>
      </c>
      <c r="AO34" s="2">
        <f>Tabel2425678910[[#This Row],[Verbruik Bruisend liter deze maand]]/0.15</f>
        <v>306.66666666666652</v>
      </c>
      <c r="AP34" s="11">
        <v>109.6</v>
      </c>
      <c r="AQ34" s="11">
        <v>98.7</v>
      </c>
      <c r="AR34">
        <f>Tabel2425678910[[#This Row],[Stand licht bruisend liter einde maand]]-Tabel2425678910[[#This Row],[Stand licht bruisend liter vorige maand]]</f>
        <v>10.899999999999991</v>
      </c>
      <c r="AS34" s="2">
        <f>Tabel2425678910[[#This Row],[Verbruik licht bruisend liter deze maand]]/0.15</f>
        <v>72.666666666666615</v>
      </c>
      <c r="AT34" s="11">
        <v>1812</v>
      </c>
      <c r="AU34" s="11">
        <v>1661.4</v>
      </c>
      <c r="AV34">
        <f>Tabel2425678910[[#This Row],[Stand heet water liter einde maand]]-Tabel2425678910[[#This Row],[Stand heet water liter vorige maand]]</f>
        <v>150.59999999999991</v>
      </c>
      <c r="AW34" s="20">
        <f>Tabel2425678910[[#This Row],[Verbruik heet Water liter deze maand ]]/0.15</f>
        <v>1003.9999999999994</v>
      </c>
      <c r="AX34" s="4">
        <f>Tabel2425678910[[#This Row],[Aantal consumpties heet water deze maand]]+Tabel2425678910[[#This Row],[Aantal consumpties licht bruisend water deze maand]]+Tabel2425678910[[#This Row],[aantal consumpties Bruisend water deze maand]]+Tabel2425678910[[#This Row],[Aantal consumpties gekoeld water deze maand]]+Tabel2425678910[[#This Row],[Aantal consumpties Kamertemp deze maand]]</f>
        <v>1773.3333333333326</v>
      </c>
      <c r="AY34" s="4">
        <f>Tabel2425678910[[#This Row],[Subtotaal waterbar in consumpties]]+Tabel2425678910[[#This Row],[Subtotaal koffieautomaten]]</f>
        <v>2412.3333333333326</v>
      </c>
    </row>
    <row r="35" spans="1:51" x14ac:dyDescent="0.25">
      <c r="A35" t="s">
        <v>54</v>
      </c>
      <c r="B35" t="s">
        <v>84</v>
      </c>
      <c r="C35" t="s">
        <v>31</v>
      </c>
      <c r="E35" s="11">
        <v>2892</v>
      </c>
      <c r="F35" s="11">
        <v>2555</v>
      </c>
      <c r="G35" s="12">
        <f>Tabel2425678910[[#This Row],[Stand Coffee einde maand]]-Tabel2425678910[[#This Row],[Coffee vorige maand]]</f>
        <v>337</v>
      </c>
      <c r="H35" s="11">
        <v>563</v>
      </c>
      <c r="I35" s="11">
        <v>494</v>
      </c>
      <c r="J35" s="12">
        <f>Tabel2425678910[[#This Row],[Stand Espresso Einde maand]]-Tabel2425678910[[#This Row],[Espresso vorige maand]]</f>
        <v>69</v>
      </c>
      <c r="K35" s="11">
        <v>330</v>
      </c>
      <c r="L35" s="11">
        <v>279</v>
      </c>
      <c r="M35">
        <f>Tabel2425678910[[#This Row],[Stand Latte Macchiato einde maand]]-Tabel2425678910[[#This Row],[Latte Macchiato vorige maand]]</f>
        <v>51</v>
      </c>
      <c r="N35" s="11">
        <v>104</v>
      </c>
      <c r="O35" s="11">
        <v>92</v>
      </c>
      <c r="P35">
        <f>Tabel2425678910[[#This Row],[Stand Coffee Latte einde maand]]-Tabel2425678910[[#This Row],[Coffee Latte vorige maand]]</f>
        <v>12</v>
      </c>
      <c r="Q35" s="11">
        <v>4632</v>
      </c>
      <c r="R35" s="11">
        <v>4133</v>
      </c>
      <c r="S35">
        <f>Tabel2425678910[[#This Row],[Stand Hot Water einde maand]]-Tabel2425678910[[#This Row],[Hot Water vorige maand]]</f>
        <v>499</v>
      </c>
      <c r="T35" s="11">
        <v>1044</v>
      </c>
      <c r="U35" s="11">
        <v>926</v>
      </c>
      <c r="V35">
        <f>Tabel2425678910[[#This Row],[Stand Cappucino einde maand]]-Tabel2425678910[[#This Row],[Stand Cappucino vorige maand]]</f>
        <v>118</v>
      </c>
      <c r="W35" s="11">
        <v>137</v>
      </c>
      <c r="X35" s="11">
        <v>122</v>
      </c>
      <c r="Y35">
        <f>Tabel2425678910[[#This Row],[Stand Cappucino Plantaardig einde maand]]-Tabel2425678910[[#This Row],[Stand Cappucino Plantaardig vorige maand]]</f>
        <v>15</v>
      </c>
      <c r="Z35" s="11">
        <v>247</v>
      </c>
      <c r="AA35" s="11">
        <v>220</v>
      </c>
      <c r="AB35" s="12">
        <f>Tabel2425678910[[#This Row],[Stand Latte Macchiato Plantaardig einde maand]]-Tabel2425678910[[#This Row],[Stand Latte Macchiato Plantaardig vorige maand]]</f>
        <v>27</v>
      </c>
      <c r="AC35" s="3">
        <f>Tabel2425678910[[#This Row],[Verbruik Stand Latte Macchiato Plantaardig deze maand]]+Tabel2425678910[[#This Row],[Verbruik  Cappucino Plantaardig deze maand]]+Tabel2425678910[[#This Row],[Verbruik Cappucino deze maand]]+Tabel2425678910[[#This Row],[Verbruik Hot Water deze maand]]+Tabel2425678910[[#This Row],[Verbruik Coffee Latte deze maand]]+Tabel2425678910[[#This Row],[Verbruik Latte Macchiato deze maand]]+Tabel2425678910[[#This Row],[Verbruik Espresso deze maand]]+Tabel2425678910[[#This Row],[Verbruik Coffee deze maand]]</f>
        <v>1128</v>
      </c>
      <c r="AD35" s="26"/>
      <c r="AE35" s="26"/>
      <c r="AF35" s="5"/>
      <c r="AG35" s="5"/>
      <c r="AH35" s="26"/>
      <c r="AI35" s="26"/>
      <c r="AJ35" s="5"/>
      <c r="AK35" s="5"/>
      <c r="AL35" s="26"/>
      <c r="AM35" s="26"/>
      <c r="AN35" s="5"/>
      <c r="AO35" s="7"/>
      <c r="AP35" s="26"/>
      <c r="AQ35" s="26"/>
      <c r="AR35" s="5"/>
      <c r="AS35" s="7"/>
      <c r="AT35" s="26"/>
      <c r="AU35" s="26"/>
      <c r="AV35" s="5"/>
      <c r="AW35" s="21"/>
      <c r="AX35" s="8"/>
      <c r="AY35" s="4">
        <f>Tabel2425678910[[#This Row],[Subtotaal waterbar in consumpties]]+Tabel2425678910[[#This Row],[Subtotaal koffieautomaten]]</f>
        <v>1128</v>
      </c>
    </row>
    <row r="36" spans="1:51" x14ac:dyDescent="0.25">
      <c r="A36" t="s">
        <v>56</v>
      </c>
      <c r="B36" t="s">
        <v>85</v>
      </c>
      <c r="C36" t="s">
        <v>36</v>
      </c>
      <c r="E36" s="42"/>
      <c r="F36" s="42"/>
      <c r="G36" s="43"/>
      <c r="H36" s="42"/>
      <c r="I36" s="42"/>
      <c r="J36" s="43"/>
      <c r="K36" s="42"/>
      <c r="L36" s="42"/>
      <c r="M36" s="43"/>
      <c r="N36" s="42"/>
      <c r="O36" s="42"/>
      <c r="P36" s="43"/>
      <c r="Q36" s="42"/>
      <c r="R36" s="42"/>
      <c r="S36" s="43"/>
      <c r="T36" s="42"/>
      <c r="U36" s="42"/>
      <c r="V36" s="43"/>
      <c r="W36" s="42"/>
      <c r="X36" s="42"/>
      <c r="Y36" s="43"/>
      <c r="Z36" s="42"/>
      <c r="AA36" s="42"/>
      <c r="AB36" s="43"/>
      <c r="AC36" s="43"/>
      <c r="AD36" s="11">
        <v>40.1</v>
      </c>
      <c r="AE36" s="11">
        <v>35.299999999999997</v>
      </c>
      <c r="AF36">
        <f>Tabel2425678910[[#This Row],[Stand Kamertemp liter einde maand]]-Tabel2425678910[[#This Row],[Stand Kamertemp liter vorige maand]]</f>
        <v>4.8000000000000043</v>
      </c>
      <c r="AG36" s="2">
        <f>Tabel2425678910[[#This Row],[Verbruik Kamertemp liter deze maand]]/0.15</f>
        <v>32.000000000000028</v>
      </c>
      <c r="AH36" s="11">
        <v>455.8</v>
      </c>
      <c r="AI36" s="11">
        <v>408.5</v>
      </c>
      <c r="AJ36">
        <f>Tabel2425678910[[#This Row],[Stand Gekoeld liter einde maand]]-Tabel2425678910[[#This Row],[Stand Gekoeld liter vorige maand]]</f>
        <v>47.300000000000011</v>
      </c>
      <c r="AK36" s="2">
        <f>Tabel2425678910[[#This Row],[Verbruik Gekoeld liter deze maand]]/0.15</f>
        <v>315.33333333333343</v>
      </c>
      <c r="AL36" s="11">
        <v>207.5</v>
      </c>
      <c r="AM36" s="11">
        <v>182.5</v>
      </c>
      <c r="AN36">
        <f>Tabel2425678910[[#This Row],[Stand Bruisend liter einde maand]]-Tabel2425678910[[#This Row],[Stand Bruisend liter vorige maand]]</f>
        <v>25</v>
      </c>
      <c r="AO36" s="2">
        <f>Tabel2425678910[[#This Row],[Verbruik Bruisend liter deze maand]]/0.15</f>
        <v>166.66666666666669</v>
      </c>
      <c r="AP36" s="11">
        <v>175.4</v>
      </c>
      <c r="AQ36" s="11">
        <v>159.69999999999999</v>
      </c>
      <c r="AR36">
        <f>Tabel2425678910[[#This Row],[Stand licht bruisend liter einde maand]]-Tabel2425678910[[#This Row],[Stand licht bruisend liter vorige maand]]</f>
        <v>15.700000000000017</v>
      </c>
      <c r="AS36" s="2">
        <f>Tabel2425678910[[#This Row],[Verbruik licht bruisend liter deze maand]]/0.15</f>
        <v>104.66666666666679</v>
      </c>
      <c r="AT36" s="11">
        <v>1429.7</v>
      </c>
      <c r="AU36" s="11">
        <v>1296.5999999999999</v>
      </c>
      <c r="AV36">
        <f>Tabel2425678910[[#This Row],[Stand heet water liter einde maand]]-Tabel2425678910[[#This Row],[Stand heet water liter vorige maand]]</f>
        <v>133.10000000000014</v>
      </c>
      <c r="AW36" s="20">
        <f>Tabel2425678910[[#This Row],[Verbruik heet Water liter deze maand ]]/0.15</f>
        <v>887.33333333333428</v>
      </c>
      <c r="AX36" s="4">
        <f>Tabel2425678910[[#This Row],[Aantal consumpties heet water deze maand]]+Tabel2425678910[[#This Row],[Aantal consumpties licht bruisend water deze maand]]+Tabel2425678910[[#This Row],[aantal consumpties Bruisend water deze maand]]+Tabel2425678910[[#This Row],[Aantal consumpties gekoeld water deze maand]]+Tabel2425678910[[#This Row],[Aantal consumpties Kamertemp deze maand]]</f>
        <v>1506.0000000000011</v>
      </c>
      <c r="AY36" s="4">
        <f>Tabel2425678910[[#This Row],[Subtotaal waterbar in consumpties]]+Tabel2425678910[[#This Row],[Subtotaal koffieautomaten]]</f>
        <v>1506.0000000000011</v>
      </c>
    </row>
    <row r="37" spans="1:51" x14ac:dyDescent="0.25">
      <c r="A37" t="s">
        <v>58</v>
      </c>
      <c r="B37" t="s">
        <v>86</v>
      </c>
      <c r="C37" t="s">
        <v>47</v>
      </c>
      <c r="E37" s="11">
        <v>4099</v>
      </c>
      <c r="F37" s="11">
        <v>3584</v>
      </c>
      <c r="G37" s="12">
        <f>Tabel2425678910[[#This Row],[Stand Coffee einde maand]]-Tabel2425678910[[#This Row],[Coffee vorige maand]]</f>
        <v>515</v>
      </c>
      <c r="H37" s="11">
        <v>1108</v>
      </c>
      <c r="I37" s="11">
        <v>1030</v>
      </c>
      <c r="J37" s="12">
        <f>Tabel2425678910[[#This Row],[Stand Espresso Einde maand]]-Tabel2425678910[[#This Row],[Espresso vorige maand]]</f>
        <v>78</v>
      </c>
      <c r="K37" s="11">
        <v>403</v>
      </c>
      <c r="L37" s="11">
        <v>352</v>
      </c>
      <c r="M37">
        <f>Tabel2425678910[[#This Row],[Stand Latte Macchiato einde maand]]-Tabel2425678910[[#This Row],[Latte Macchiato vorige maand]]</f>
        <v>51</v>
      </c>
      <c r="N37" s="11">
        <v>273</v>
      </c>
      <c r="O37" s="11">
        <v>229</v>
      </c>
      <c r="P37">
        <f>Tabel2425678910[[#This Row],[Stand Coffee Latte einde maand]]-Tabel2425678910[[#This Row],[Coffee Latte vorige maand]]</f>
        <v>44</v>
      </c>
      <c r="Q37" s="11">
        <v>1</v>
      </c>
      <c r="R37" s="11">
        <v>1</v>
      </c>
      <c r="S37">
        <f>Tabel2425678910[[#This Row],[Stand Hot Water einde maand]]-Tabel2425678910[[#This Row],[Hot Water vorige maand]]</f>
        <v>0</v>
      </c>
      <c r="T37" s="11">
        <v>2161</v>
      </c>
      <c r="U37" s="11">
        <v>1898</v>
      </c>
      <c r="V37">
        <f>Tabel2425678910[[#This Row],[Stand Cappucino einde maand]]-Tabel2425678910[[#This Row],[Stand Cappucino vorige maand]]</f>
        <v>263</v>
      </c>
      <c r="W37" s="11">
        <v>328</v>
      </c>
      <c r="X37" s="11">
        <v>307</v>
      </c>
      <c r="Y37">
        <f>Tabel2425678910[[#This Row],[Stand Cappucino Plantaardig einde maand]]-Tabel2425678910[[#This Row],[Stand Cappucino Plantaardig vorige maand]]</f>
        <v>21</v>
      </c>
      <c r="Z37" s="11">
        <v>285</v>
      </c>
      <c r="AA37" s="11">
        <v>253</v>
      </c>
      <c r="AB37" s="12">
        <f>Tabel2425678910[[#This Row],[Stand Latte Macchiato Plantaardig einde maand]]-Tabel2425678910[[#This Row],[Stand Latte Macchiato Plantaardig vorige maand]]</f>
        <v>32</v>
      </c>
      <c r="AC37" s="3">
        <f>Tabel2425678910[[#This Row],[Verbruik Stand Latte Macchiato Plantaardig deze maand]]+Tabel2425678910[[#This Row],[Verbruik  Cappucino Plantaardig deze maand]]+Tabel2425678910[[#This Row],[Verbruik Cappucino deze maand]]+Tabel2425678910[[#This Row],[Verbruik Hot Water deze maand]]+Tabel2425678910[[#This Row],[Verbruik Coffee Latte deze maand]]+Tabel2425678910[[#This Row],[Verbruik Latte Macchiato deze maand]]+Tabel2425678910[[#This Row],[Verbruik Espresso deze maand]]+Tabel2425678910[[#This Row],[Verbruik Coffee deze maand]]</f>
        <v>1004</v>
      </c>
      <c r="AD37" s="11">
        <v>104.5</v>
      </c>
      <c r="AE37" s="11">
        <v>85.1</v>
      </c>
      <c r="AF37">
        <f>Tabel2425678910[[#This Row],[Stand Kamertemp liter einde maand]]-Tabel2425678910[[#This Row],[Stand Kamertemp liter vorige maand]]</f>
        <v>19.400000000000006</v>
      </c>
      <c r="AG37" s="2">
        <f>Tabel2425678910[[#This Row],[Verbruik Kamertemp liter deze maand]]/0.15</f>
        <v>129.33333333333337</v>
      </c>
      <c r="AH37" s="11">
        <v>612.5</v>
      </c>
      <c r="AI37" s="11">
        <v>515.5</v>
      </c>
      <c r="AJ37">
        <f>Tabel2425678910[[#This Row],[Stand Gekoeld liter einde maand]]-Tabel2425678910[[#This Row],[Stand Gekoeld liter vorige maand]]</f>
        <v>97</v>
      </c>
      <c r="AK37" s="2">
        <f>Tabel2425678910[[#This Row],[Verbruik Gekoeld liter deze maand]]/0.15</f>
        <v>646.66666666666674</v>
      </c>
      <c r="AL37" s="11">
        <v>287.10000000000002</v>
      </c>
      <c r="AM37" s="11">
        <v>242.5</v>
      </c>
      <c r="AN37">
        <f>Tabel2425678910[[#This Row],[Stand Bruisend liter einde maand]]-Tabel2425678910[[#This Row],[Stand Bruisend liter vorige maand]]</f>
        <v>44.600000000000023</v>
      </c>
      <c r="AO37" s="2">
        <f>Tabel2425678910[[#This Row],[Verbruik Bruisend liter deze maand]]/0.15</f>
        <v>297.33333333333348</v>
      </c>
      <c r="AP37" s="11">
        <v>96.1</v>
      </c>
      <c r="AQ37" s="11">
        <v>84.6</v>
      </c>
      <c r="AR37">
        <f>Tabel2425678910[[#This Row],[Stand licht bruisend liter einde maand]]-Tabel2425678910[[#This Row],[Stand licht bruisend liter vorige maand]]</f>
        <v>11.5</v>
      </c>
      <c r="AS37" s="2">
        <f>Tabel2425678910[[#This Row],[Verbruik licht bruisend liter deze maand]]/0.15</f>
        <v>76.666666666666671</v>
      </c>
      <c r="AT37" s="11">
        <v>1511.8</v>
      </c>
      <c r="AU37" s="11">
        <v>1361.4</v>
      </c>
      <c r="AV37">
        <f>Tabel2425678910[[#This Row],[Stand heet water liter einde maand]]-Tabel2425678910[[#This Row],[Stand heet water liter vorige maand]]</f>
        <v>150.39999999999986</v>
      </c>
      <c r="AW37" s="20">
        <f>Tabel2425678910[[#This Row],[Verbruik heet Water liter deze maand ]]/0.15</f>
        <v>1002.6666666666658</v>
      </c>
      <c r="AX37" s="4">
        <f>Tabel2425678910[[#This Row],[Aantal consumpties heet water deze maand]]+Tabel2425678910[[#This Row],[Aantal consumpties licht bruisend water deze maand]]+Tabel2425678910[[#This Row],[aantal consumpties Bruisend water deze maand]]+Tabel2425678910[[#This Row],[Aantal consumpties gekoeld water deze maand]]+Tabel2425678910[[#This Row],[Aantal consumpties Kamertemp deze maand]]</f>
        <v>2152.6666666666661</v>
      </c>
      <c r="AY37" s="4">
        <f>Tabel2425678910[[#This Row],[Subtotaal waterbar in consumpties]]+Tabel2425678910[[#This Row],[Subtotaal koffieautomaten]]</f>
        <v>3156.6666666666661</v>
      </c>
    </row>
    <row r="38" spans="1:51" x14ac:dyDescent="0.25">
      <c r="A38" t="s">
        <v>60</v>
      </c>
      <c r="B38" t="s">
        <v>87</v>
      </c>
      <c r="C38" t="s">
        <v>31</v>
      </c>
      <c r="E38" s="11">
        <v>1537</v>
      </c>
      <c r="F38" s="11">
        <v>1537</v>
      </c>
      <c r="G38" s="12">
        <f>Tabel2425678910[[#This Row],[Stand Coffee einde maand]]-Tabel2425678910[[#This Row],[Coffee vorige maand]]</f>
        <v>0</v>
      </c>
      <c r="H38" s="11">
        <v>327</v>
      </c>
      <c r="I38" s="11">
        <v>327</v>
      </c>
      <c r="J38" s="12">
        <f>Tabel2425678910[[#This Row],[Stand Espresso Einde maand]]-Tabel2425678910[[#This Row],[Espresso vorige maand]]</f>
        <v>0</v>
      </c>
      <c r="K38" s="11">
        <v>340</v>
      </c>
      <c r="L38" s="11">
        <v>340</v>
      </c>
      <c r="M38">
        <f>Tabel2425678910[[#This Row],[Stand Latte Macchiato einde maand]]-Tabel2425678910[[#This Row],[Latte Macchiato vorige maand]]</f>
        <v>0</v>
      </c>
      <c r="N38" s="11">
        <v>251</v>
      </c>
      <c r="O38" s="11">
        <v>251</v>
      </c>
      <c r="P38">
        <f>Tabel2425678910[[#This Row],[Stand Coffee Latte einde maand]]-Tabel2425678910[[#This Row],[Coffee Latte vorige maand]]</f>
        <v>0</v>
      </c>
      <c r="Q38" s="11">
        <v>6043</v>
      </c>
      <c r="R38" s="11">
        <v>6043</v>
      </c>
      <c r="S38">
        <f>Tabel2425678910[[#This Row],[Stand Hot Water einde maand]]-Tabel2425678910[[#This Row],[Hot Water vorige maand]]</f>
        <v>0</v>
      </c>
      <c r="T38" s="11">
        <v>1217</v>
      </c>
      <c r="U38" s="11">
        <v>1217</v>
      </c>
      <c r="V38">
        <f>Tabel2425678910[[#This Row],[Stand Cappucino einde maand]]-Tabel2425678910[[#This Row],[Stand Cappucino vorige maand]]</f>
        <v>0</v>
      </c>
      <c r="W38" s="11">
        <v>186</v>
      </c>
      <c r="X38" s="11">
        <v>186</v>
      </c>
      <c r="Y38">
        <f>Tabel2425678910[[#This Row],[Stand Cappucino Plantaardig einde maand]]-Tabel2425678910[[#This Row],[Stand Cappucino Plantaardig vorige maand]]</f>
        <v>0</v>
      </c>
      <c r="Z38" s="11">
        <v>120</v>
      </c>
      <c r="AA38" s="11">
        <v>120</v>
      </c>
      <c r="AB38" s="12">
        <f>Tabel2425678910[[#This Row],[Stand Latte Macchiato Plantaardig einde maand]]-Tabel2425678910[[#This Row],[Stand Latte Macchiato Plantaardig vorige maand]]</f>
        <v>0</v>
      </c>
      <c r="AC38" s="3">
        <f>Tabel2425678910[[#This Row],[Verbruik Stand Latte Macchiato Plantaardig deze maand]]+Tabel2425678910[[#This Row],[Verbruik  Cappucino Plantaardig deze maand]]+Tabel2425678910[[#This Row],[Verbruik Cappucino deze maand]]+Tabel2425678910[[#This Row],[Verbruik Hot Water deze maand]]+Tabel2425678910[[#This Row],[Verbruik Coffee Latte deze maand]]+Tabel2425678910[[#This Row],[Verbruik Latte Macchiato deze maand]]+Tabel2425678910[[#This Row],[Verbruik Espresso deze maand]]+Tabel2425678910[[#This Row],[Verbruik Coffee deze maand]]</f>
        <v>0</v>
      </c>
      <c r="AD38" s="26"/>
      <c r="AE38" s="26"/>
      <c r="AF38" s="5"/>
      <c r="AG38" s="5"/>
      <c r="AH38" s="26"/>
      <c r="AI38" s="26"/>
      <c r="AJ38" s="5"/>
      <c r="AK38" s="5"/>
      <c r="AL38" s="26"/>
      <c r="AM38" s="26"/>
      <c r="AN38" s="5"/>
      <c r="AO38" s="5"/>
      <c r="AP38" s="26"/>
      <c r="AQ38" s="26"/>
      <c r="AR38" s="5"/>
      <c r="AS38" s="5"/>
      <c r="AT38" s="26"/>
      <c r="AU38" s="26"/>
      <c r="AV38" s="5"/>
      <c r="AW38" s="16"/>
      <c r="AX38" s="6"/>
      <c r="AY38" s="4">
        <f>Tabel2425678910[[#This Row],[Subtotaal waterbar in consumpties]]+Tabel2425678910[[#This Row],[Subtotaal koffieautomaten]]</f>
        <v>0</v>
      </c>
    </row>
    <row r="39" spans="1:51" x14ac:dyDescent="0.25">
      <c r="A39" s="3" t="s">
        <v>88</v>
      </c>
      <c r="F39" s="11"/>
      <c r="H39" s="11"/>
      <c r="I39" s="11"/>
      <c r="J39" s="12"/>
      <c r="K39" s="11"/>
      <c r="L39" s="11"/>
      <c r="O39" s="11"/>
      <c r="R39" s="11"/>
      <c r="U39" s="11"/>
      <c r="X39" s="11"/>
      <c r="AA39" s="11"/>
      <c r="AC39" s="3">
        <f>Tabel2425678910[[#This Row],[Verbruik Stand Latte Macchiato Plantaardig deze maand]]+Tabel2425678910[[#This Row],[Verbruik  Cappucino Plantaardig deze maand]]+Tabel2425678910[[#This Row],[Verbruik Cappucino deze maand]]+Tabel2425678910[[#This Row],[Verbruik Hot Water deze maand]]+Tabel2425678910[[#This Row],[Verbruik Coffee Latte deze maand]]+Tabel2425678910[[#This Row],[Verbruik Latte Macchiato deze maand]]+Tabel2425678910[[#This Row],[Verbruik Espresso deze maand]]+Tabel2425678910[[#This Row],[Verbruik Coffee deze maand]]</f>
        <v>0</v>
      </c>
      <c r="AE39" s="11"/>
      <c r="AG39" s="2"/>
      <c r="AI39" s="11"/>
      <c r="AK39" s="2"/>
      <c r="AM39" s="11"/>
      <c r="AO39" s="2"/>
      <c r="AQ39" s="11"/>
      <c r="AS39" s="2"/>
      <c r="AU39" s="11"/>
      <c r="AW39" s="20"/>
      <c r="AX39" s="4"/>
      <c r="AY39" s="4">
        <f>Tabel2425678910[[#This Row],[Subtotaal waterbar in consumpties]]+Tabel2425678910[[#This Row],[Subtotaal koffieautomaten]]</f>
        <v>0</v>
      </c>
    </row>
    <row r="40" spans="1:51" x14ac:dyDescent="0.25">
      <c r="A40" t="s">
        <v>39</v>
      </c>
      <c r="B40" t="s">
        <v>89</v>
      </c>
      <c r="C40" t="s">
        <v>36</v>
      </c>
      <c r="E40" s="42"/>
      <c r="F40" s="42"/>
      <c r="G40" s="43"/>
      <c r="H40" s="42"/>
      <c r="I40" s="42"/>
      <c r="J40" s="43"/>
      <c r="K40" s="42"/>
      <c r="L40" s="42"/>
      <c r="M40" s="43"/>
      <c r="N40" s="42"/>
      <c r="O40" s="42"/>
      <c r="P40" s="43"/>
      <c r="Q40" s="42"/>
      <c r="R40" s="42"/>
      <c r="S40" s="43"/>
      <c r="T40" s="42"/>
      <c r="U40" s="42"/>
      <c r="V40" s="43"/>
      <c r="W40" s="42"/>
      <c r="X40" s="42"/>
      <c r="Y40" s="43"/>
      <c r="Z40" s="42"/>
      <c r="AA40" s="42"/>
      <c r="AB40" s="43"/>
      <c r="AC40" s="43"/>
      <c r="AD40" s="11">
        <v>141.30000000000001</v>
      </c>
      <c r="AE40" s="11">
        <v>111.1</v>
      </c>
      <c r="AF40">
        <f>Tabel2425678910[[#This Row],[Stand Kamertemp liter einde maand]]-Tabel2425678910[[#This Row],[Stand Kamertemp liter vorige maand]]</f>
        <v>30.200000000000017</v>
      </c>
      <c r="AG40" s="2">
        <f>Tabel2425678910[[#This Row],[Verbruik Kamertemp liter deze maand]]/0.15</f>
        <v>201.33333333333346</v>
      </c>
      <c r="AH40" s="11">
        <v>1291.0999999999999</v>
      </c>
      <c r="AI40" s="11">
        <v>1144.2</v>
      </c>
      <c r="AJ40">
        <f>Tabel2425678910[[#This Row],[Stand Gekoeld liter einde maand]]-Tabel2425678910[[#This Row],[Stand Gekoeld liter vorige maand]]</f>
        <v>146.89999999999986</v>
      </c>
      <c r="AK40" s="2">
        <f>Tabel2425678910[[#This Row],[Verbruik Gekoeld liter deze maand]]/0.15</f>
        <v>979.33333333333246</v>
      </c>
      <c r="AL40" s="11">
        <v>608.70000000000005</v>
      </c>
      <c r="AM40" s="11">
        <v>548.79999999999995</v>
      </c>
      <c r="AN40">
        <f>Tabel2425678910[[#This Row],[Stand Bruisend liter einde maand]]-Tabel2425678910[[#This Row],[Stand Bruisend liter vorige maand]]</f>
        <v>59.900000000000091</v>
      </c>
      <c r="AO40" s="2">
        <f>Tabel2425678910[[#This Row],[Verbruik Bruisend liter deze maand]]/0.15</f>
        <v>399.33333333333394</v>
      </c>
      <c r="AP40" s="11">
        <v>189.3</v>
      </c>
      <c r="AQ40" s="11">
        <v>177.4</v>
      </c>
      <c r="AR40">
        <f>Tabel2425678910[[#This Row],[Stand licht bruisend liter einde maand]]-Tabel2425678910[[#This Row],[Stand licht bruisend liter vorige maand]]</f>
        <v>11.900000000000006</v>
      </c>
      <c r="AS40" s="2">
        <f>Tabel2425678910[[#This Row],[Verbruik licht bruisend liter deze maand]]/0.15</f>
        <v>79.333333333333371</v>
      </c>
      <c r="AT40" s="11">
        <v>960.8</v>
      </c>
      <c r="AU40" s="11">
        <v>874.5</v>
      </c>
      <c r="AV40">
        <f>Tabel2425678910[[#This Row],[Stand heet water liter einde maand]]-Tabel2425678910[[#This Row],[Stand heet water liter vorige maand]]</f>
        <v>86.299999999999955</v>
      </c>
      <c r="AW40" s="20">
        <f>Tabel2425678910[[#This Row],[Verbruik heet Water liter deze maand ]]/0.15</f>
        <v>575.33333333333303</v>
      </c>
      <c r="AX40" s="4">
        <f>Tabel2425678910[[#This Row],[Aantal consumpties heet water deze maand]]+Tabel2425678910[[#This Row],[Aantal consumpties licht bruisend water deze maand]]+Tabel2425678910[[#This Row],[aantal consumpties Bruisend water deze maand]]+Tabel2425678910[[#This Row],[Aantal consumpties gekoeld water deze maand]]+Tabel2425678910[[#This Row],[Aantal consumpties Kamertemp deze maand]]</f>
        <v>2234.6666666666665</v>
      </c>
      <c r="AY40" s="4">
        <f>Tabel2425678910[[#This Row],[Subtotaal waterbar in consumpties]]+Tabel2425678910[[#This Row],[Subtotaal koffieautomaten]]</f>
        <v>2234.6666666666665</v>
      </c>
    </row>
    <row r="41" spans="1:51" x14ac:dyDescent="0.25">
      <c r="A41" t="s">
        <v>41</v>
      </c>
      <c r="B41" t="s">
        <v>90</v>
      </c>
      <c r="C41" t="s">
        <v>31</v>
      </c>
      <c r="E41" s="11">
        <v>3831</v>
      </c>
      <c r="F41" s="11">
        <v>3300</v>
      </c>
      <c r="G41" s="12">
        <f>Tabel2425678910[[#This Row],[Stand Coffee einde maand]]-Tabel2425678910[[#This Row],[Coffee vorige maand]]</f>
        <v>531</v>
      </c>
      <c r="H41" s="11">
        <v>1398</v>
      </c>
      <c r="I41" s="11">
        <v>1168</v>
      </c>
      <c r="J41" s="12">
        <f>Tabel2425678910[[#This Row],[Stand Espresso Einde maand]]-Tabel2425678910[[#This Row],[Espresso vorige maand]]</f>
        <v>230</v>
      </c>
      <c r="K41" s="11">
        <v>563</v>
      </c>
      <c r="L41" s="11">
        <v>474</v>
      </c>
      <c r="M41">
        <f>Tabel2425678910[[#This Row],[Stand Latte Macchiato einde maand]]-Tabel2425678910[[#This Row],[Latte Macchiato vorige maand]]</f>
        <v>89</v>
      </c>
      <c r="N41" s="11">
        <v>522</v>
      </c>
      <c r="O41" s="11">
        <v>469</v>
      </c>
      <c r="P41">
        <f>Tabel2425678910[[#This Row],[Stand Coffee Latte einde maand]]-Tabel2425678910[[#This Row],[Coffee Latte vorige maand]]</f>
        <v>53</v>
      </c>
      <c r="Q41" s="11">
        <v>10498</v>
      </c>
      <c r="R41" s="11">
        <v>9278</v>
      </c>
      <c r="S41">
        <f>Tabel2425678910[[#This Row],[Stand Hot Water einde maand]]-Tabel2425678910[[#This Row],[Hot Water vorige maand]]</f>
        <v>1220</v>
      </c>
      <c r="T41" s="11">
        <v>1662</v>
      </c>
      <c r="U41" s="11">
        <v>1433</v>
      </c>
      <c r="V41">
        <f>Tabel2425678910[[#This Row],[Stand Cappucino einde maand]]-Tabel2425678910[[#This Row],[Stand Cappucino vorige maand]]</f>
        <v>229</v>
      </c>
      <c r="W41" s="11">
        <v>196</v>
      </c>
      <c r="X41" s="11">
        <v>172</v>
      </c>
      <c r="Y41">
        <f>Tabel2425678910[[#This Row],[Stand Cappucino Plantaardig einde maand]]-Tabel2425678910[[#This Row],[Stand Cappucino Plantaardig vorige maand]]</f>
        <v>24</v>
      </c>
      <c r="Z41" s="11">
        <v>75</v>
      </c>
      <c r="AA41" s="11">
        <v>59</v>
      </c>
      <c r="AB41" s="12">
        <f>Tabel2425678910[[#This Row],[Stand Latte Macchiato Plantaardig einde maand]]-Tabel2425678910[[#This Row],[Stand Latte Macchiato Plantaardig vorige maand]]</f>
        <v>16</v>
      </c>
      <c r="AC41" s="3">
        <f>Tabel2425678910[[#This Row],[Verbruik Stand Latte Macchiato Plantaardig deze maand]]+Tabel2425678910[[#This Row],[Verbruik  Cappucino Plantaardig deze maand]]+Tabel2425678910[[#This Row],[Verbruik Cappucino deze maand]]+Tabel2425678910[[#This Row],[Verbruik Hot Water deze maand]]+Tabel2425678910[[#This Row],[Verbruik Coffee Latte deze maand]]+Tabel2425678910[[#This Row],[Verbruik Latte Macchiato deze maand]]+Tabel2425678910[[#This Row],[Verbruik Espresso deze maand]]+Tabel2425678910[[#This Row],[Verbruik Coffee deze maand]]</f>
        <v>2392</v>
      </c>
      <c r="AD41" s="26"/>
      <c r="AE41" s="26"/>
      <c r="AF41" s="5"/>
      <c r="AG41" s="5"/>
      <c r="AH41" s="26"/>
      <c r="AI41" s="26"/>
      <c r="AJ41" s="5"/>
      <c r="AK41" s="5"/>
      <c r="AL41" s="26"/>
      <c r="AM41" s="26"/>
      <c r="AN41" s="5"/>
      <c r="AO41" s="5"/>
      <c r="AP41" s="26"/>
      <c r="AQ41" s="26"/>
      <c r="AR41" s="5"/>
      <c r="AS41" s="5"/>
      <c r="AT41" s="26"/>
      <c r="AU41" s="26"/>
      <c r="AV41" s="5"/>
      <c r="AW41" s="16"/>
      <c r="AX41" s="6"/>
      <c r="AY41" s="4">
        <f>Tabel2425678910[[#This Row],[Subtotaal waterbar in consumpties]]+Tabel2425678910[[#This Row],[Subtotaal koffieautomaten]]</f>
        <v>2392</v>
      </c>
    </row>
    <row r="42" spans="1:51" x14ac:dyDescent="0.25">
      <c r="A42" t="s">
        <v>43</v>
      </c>
      <c r="B42" t="s">
        <v>91</v>
      </c>
      <c r="C42" t="s">
        <v>47</v>
      </c>
      <c r="E42" s="11">
        <v>4453</v>
      </c>
      <c r="F42" s="11">
        <v>3999</v>
      </c>
      <c r="G42" s="12">
        <f>Tabel2425678910[[#This Row],[Stand Coffee einde maand]]-Tabel2425678910[[#This Row],[Coffee vorige maand]]</f>
        <v>454</v>
      </c>
      <c r="H42" s="11">
        <v>1166</v>
      </c>
      <c r="I42" s="11">
        <v>1090</v>
      </c>
      <c r="J42" s="12">
        <f>Tabel2425678910[[#This Row],[Stand Espresso Einde maand]]-Tabel2425678910[[#This Row],[Espresso vorige maand]]</f>
        <v>76</v>
      </c>
      <c r="K42" s="11">
        <v>233</v>
      </c>
      <c r="L42" s="11">
        <v>224</v>
      </c>
      <c r="M42">
        <f>Tabel2425678910[[#This Row],[Stand Latte Macchiato einde maand]]-Tabel2425678910[[#This Row],[Latte Macchiato vorige maand]]</f>
        <v>9</v>
      </c>
      <c r="N42" s="11">
        <v>244</v>
      </c>
      <c r="O42" s="11">
        <v>211</v>
      </c>
      <c r="P42">
        <f>Tabel2425678910[[#This Row],[Stand Coffee Latte einde maand]]-Tabel2425678910[[#This Row],[Coffee Latte vorige maand]]</f>
        <v>33</v>
      </c>
      <c r="Q42" s="11">
        <v>384</v>
      </c>
      <c r="R42" s="11">
        <v>328</v>
      </c>
      <c r="S42">
        <f>Tabel2425678910[[#This Row],[Stand Hot Water einde maand]]-Tabel2425678910[[#This Row],[Hot Water vorige maand]]</f>
        <v>56</v>
      </c>
      <c r="T42" s="11">
        <v>1678</v>
      </c>
      <c r="U42" s="11">
        <v>1461</v>
      </c>
      <c r="V42">
        <f>Tabel2425678910[[#This Row],[Stand Cappucino einde maand]]-Tabel2425678910[[#This Row],[Stand Cappucino vorige maand]]</f>
        <v>217</v>
      </c>
      <c r="W42" s="11">
        <v>1526</v>
      </c>
      <c r="X42" s="11">
        <v>1402</v>
      </c>
      <c r="Y42">
        <f>Tabel2425678910[[#This Row],[Stand Cappucino Plantaardig einde maand]]-Tabel2425678910[[#This Row],[Stand Cappucino Plantaardig vorige maand]]</f>
        <v>124</v>
      </c>
      <c r="Z42" s="11">
        <v>140</v>
      </c>
      <c r="AA42" s="11">
        <v>127</v>
      </c>
      <c r="AB42" s="12">
        <f>Tabel2425678910[[#This Row],[Stand Latte Macchiato Plantaardig einde maand]]-Tabel2425678910[[#This Row],[Stand Latte Macchiato Plantaardig vorige maand]]</f>
        <v>13</v>
      </c>
      <c r="AC42" s="3">
        <f>Tabel2425678910[[#This Row],[Verbruik Stand Latte Macchiato Plantaardig deze maand]]+Tabel2425678910[[#This Row],[Verbruik  Cappucino Plantaardig deze maand]]+Tabel2425678910[[#This Row],[Verbruik Cappucino deze maand]]+Tabel2425678910[[#This Row],[Verbruik Hot Water deze maand]]+Tabel2425678910[[#This Row],[Verbruik Coffee Latte deze maand]]+Tabel2425678910[[#This Row],[Verbruik Latte Macchiato deze maand]]+Tabel2425678910[[#This Row],[Verbruik Espresso deze maand]]+Tabel2425678910[[#This Row],[Verbruik Coffee deze maand]]</f>
        <v>982</v>
      </c>
      <c r="AD42" s="11">
        <v>74.8</v>
      </c>
      <c r="AE42" s="11">
        <v>60.3</v>
      </c>
      <c r="AF42">
        <f>Tabel2425678910[[#This Row],[Stand Kamertemp liter einde maand]]-Tabel2425678910[[#This Row],[Stand Kamertemp liter vorige maand]]</f>
        <v>14.5</v>
      </c>
      <c r="AG42" s="2">
        <f>Tabel2425678910[[#This Row],[Verbruik Kamertemp liter deze maand]]/0.15</f>
        <v>96.666666666666671</v>
      </c>
      <c r="AH42" s="11">
        <v>908.3</v>
      </c>
      <c r="AI42" s="11">
        <v>795.6</v>
      </c>
      <c r="AJ42">
        <f>Tabel2425678910[[#This Row],[Stand Gekoeld liter einde maand]]-Tabel2425678910[[#This Row],[Stand Gekoeld liter vorige maand]]</f>
        <v>112.69999999999993</v>
      </c>
      <c r="AK42" s="2">
        <f>Tabel2425678910[[#This Row],[Verbruik Gekoeld liter deze maand]]/0.15</f>
        <v>751.33333333333292</v>
      </c>
      <c r="AL42" s="11">
        <v>1216</v>
      </c>
      <c r="AM42" s="11">
        <v>1086.2</v>
      </c>
      <c r="AN42">
        <f>Tabel2425678910[[#This Row],[Stand Bruisend liter einde maand]]-Tabel2425678910[[#This Row],[Stand Bruisend liter vorige maand]]</f>
        <v>129.79999999999995</v>
      </c>
      <c r="AO42" s="2">
        <f>Tabel2425678910[[#This Row],[Verbruik Bruisend liter deze maand]]/0.15</f>
        <v>865.33333333333303</v>
      </c>
      <c r="AP42" s="11">
        <v>669.8</v>
      </c>
      <c r="AQ42" s="11">
        <v>629.29999999999995</v>
      </c>
      <c r="AR42">
        <f>Tabel2425678910[[#This Row],[Stand licht bruisend liter einde maand]]-Tabel2425678910[[#This Row],[Stand licht bruisend liter vorige maand]]</f>
        <v>40.5</v>
      </c>
      <c r="AS42" s="2">
        <f>Tabel2425678910[[#This Row],[Verbruik licht bruisend liter deze maand]]/0.15</f>
        <v>270</v>
      </c>
      <c r="AT42" s="11">
        <v>3727.8</v>
      </c>
      <c r="AU42" s="11">
        <v>3292.9</v>
      </c>
      <c r="AV42">
        <f>Tabel2425678910[[#This Row],[Stand heet water liter einde maand]]-Tabel2425678910[[#This Row],[Stand heet water liter vorige maand]]</f>
        <v>434.90000000000009</v>
      </c>
      <c r="AW42" s="20">
        <f>Tabel2425678910[[#This Row],[Verbruik heet Water liter deze maand ]]/0.15</f>
        <v>2899.3333333333339</v>
      </c>
      <c r="AX42" s="4">
        <f>Tabel2425678910[[#This Row],[Aantal consumpties heet water deze maand]]+Tabel2425678910[[#This Row],[Aantal consumpties licht bruisend water deze maand]]+Tabel2425678910[[#This Row],[aantal consumpties Bruisend water deze maand]]+Tabel2425678910[[#This Row],[Aantal consumpties gekoeld water deze maand]]+Tabel2425678910[[#This Row],[Aantal consumpties Kamertemp deze maand]]</f>
        <v>4882.666666666667</v>
      </c>
      <c r="AY42" s="4">
        <f>Tabel2425678910[[#This Row],[Subtotaal waterbar in consumpties]]+Tabel2425678910[[#This Row],[Subtotaal koffieautomaten]]</f>
        <v>5864.666666666667</v>
      </c>
    </row>
    <row r="43" spans="1:51" x14ac:dyDescent="0.25">
      <c r="A43" t="s">
        <v>45</v>
      </c>
      <c r="B43" t="s">
        <v>92</v>
      </c>
      <c r="C43" t="s">
        <v>36</v>
      </c>
      <c r="E43" s="42"/>
      <c r="F43" s="42"/>
      <c r="G43" s="43"/>
      <c r="H43" s="42"/>
      <c r="I43" s="42"/>
      <c r="J43" s="43"/>
      <c r="K43" s="42"/>
      <c r="L43" s="42"/>
      <c r="M43" s="43"/>
      <c r="N43" s="42"/>
      <c r="O43" s="42"/>
      <c r="P43" s="43"/>
      <c r="Q43" s="42"/>
      <c r="R43" s="42"/>
      <c r="S43" s="43"/>
      <c r="T43" s="42"/>
      <c r="U43" s="42"/>
      <c r="V43" s="43"/>
      <c r="W43" s="42"/>
      <c r="X43" s="42"/>
      <c r="Y43" s="43"/>
      <c r="Z43" s="42"/>
      <c r="AA43" s="42"/>
      <c r="AB43" s="43"/>
      <c r="AC43" s="43"/>
      <c r="AD43" s="11">
        <v>55.4</v>
      </c>
      <c r="AE43" s="11">
        <v>49.2</v>
      </c>
      <c r="AF43">
        <f>Tabel2425678910[[#This Row],[Stand Kamertemp liter einde maand]]-Tabel2425678910[[#This Row],[Stand Kamertemp liter vorige maand]]</f>
        <v>6.1999999999999957</v>
      </c>
      <c r="AG43" s="2">
        <f>Tabel2425678910[[#This Row],[Verbruik Kamertemp liter deze maand]]/0.15</f>
        <v>41.333333333333307</v>
      </c>
      <c r="AH43" s="11">
        <v>456.5</v>
      </c>
      <c r="AI43" s="11">
        <v>410</v>
      </c>
      <c r="AJ43">
        <f>Tabel2425678910[[#This Row],[Stand Gekoeld liter einde maand]]-Tabel2425678910[[#This Row],[Stand Gekoeld liter vorige maand]]</f>
        <v>46.5</v>
      </c>
      <c r="AK43" s="2">
        <f>Tabel2425678910[[#This Row],[Verbruik Gekoeld liter deze maand]]/0.15</f>
        <v>310</v>
      </c>
      <c r="AL43" s="11">
        <v>396.1</v>
      </c>
      <c r="AM43" s="11">
        <v>351.5</v>
      </c>
      <c r="AN43">
        <f>Tabel2425678910[[#This Row],[Stand Bruisend liter einde maand]]-Tabel2425678910[[#This Row],[Stand Bruisend liter vorige maand]]</f>
        <v>44.600000000000023</v>
      </c>
      <c r="AO43" s="2">
        <f>Tabel2425678910[[#This Row],[Verbruik Bruisend liter deze maand]]/0.15</f>
        <v>297.33333333333348</v>
      </c>
      <c r="AP43" s="11">
        <v>109.4</v>
      </c>
      <c r="AQ43" s="11">
        <v>88.5</v>
      </c>
      <c r="AR43">
        <f>Tabel2425678910[[#This Row],[Stand licht bruisend liter einde maand]]-Tabel2425678910[[#This Row],[Stand licht bruisend liter vorige maand]]</f>
        <v>20.900000000000006</v>
      </c>
      <c r="AS43" s="2">
        <f>Tabel2425678910[[#This Row],[Verbruik licht bruisend liter deze maand]]/0.15</f>
        <v>139.33333333333337</v>
      </c>
      <c r="AT43" s="11">
        <v>1371.4</v>
      </c>
      <c r="AU43" s="11">
        <v>1250.0999999999999</v>
      </c>
      <c r="AV43">
        <f>Tabel2425678910[[#This Row],[Stand heet water liter einde maand]]-Tabel2425678910[[#This Row],[Stand heet water liter vorige maand]]</f>
        <v>121.30000000000018</v>
      </c>
      <c r="AW43" s="20">
        <f>Tabel2425678910[[#This Row],[Verbruik heet Water liter deze maand ]]/0.15</f>
        <v>808.66666666666788</v>
      </c>
      <c r="AX43" s="4">
        <f>Tabel2425678910[[#This Row],[Aantal consumpties heet water deze maand]]+Tabel2425678910[[#This Row],[Aantal consumpties licht bruisend water deze maand]]+Tabel2425678910[[#This Row],[aantal consumpties Bruisend water deze maand]]+Tabel2425678910[[#This Row],[Aantal consumpties gekoeld water deze maand]]+Tabel2425678910[[#This Row],[Aantal consumpties Kamertemp deze maand]]</f>
        <v>1596.6666666666681</v>
      </c>
      <c r="AY43" s="4">
        <f>Tabel2425678910[[#This Row],[Subtotaal waterbar in consumpties]]+Tabel2425678910[[#This Row],[Subtotaal koffieautomaten]]</f>
        <v>1596.6666666666681</v>
      </c>
    </row>
    <row r="44" spans="1:51" x14ac:dyDescent="0.25">
      <c r="A44" t="s">
        <v>48</v>
      </c>
      <c r="B44" t="s">
        <v>158</v>
      </c>
      <c r="C44" t="s">
        <v>31</v>
      </c>
      <c r="E44" s="11">
        <v>6065</v>
      </c>
      <c r="F44" s="11">
        <v>5355</v>
      </c>
      <c r="G44" s="12">
        <f>Tabel2425678910[[#This Row],[Stand Coffee einde maand]]-Tabel2425678910[[#This Row],[Coffee vorige maand]]</f>
        <v>710</v>
      </c>
      <c r="H44" s="11">
        <v>1484</v>
      </c>
      <c r="I44" s="11">
        <v>1346</v>
      </c>
      <c r="J44" s="12">
        <f>Tabel2425678910[[#This Row],[Stand Espresso Einde maand]]-Tabel2425678910[[#This Row],[Espresso vorige maand]]</f>
        <v>138</v>
      </c>
      <c r="K44" s="11">
        <v>742</v>
      </c>
      <c r="L44" s="11">
        <v>689</v>
      </c>
      <c r="M44">
        <f>Tabel2425678910[[#This Row],[Stand Latte Macchiato einde maand]]-Tabel2425678910[[#This Row],[Latte Macchiato vorige maand]]</f>
        <v>53</v>
      </c>
      <c r="N44" s="11">
        <v>180</v>
      </c>
      <c r="O44" s="11">
        <v>168</v>
      </c>
      <c r="P44">
        <f>Tabel2425678910[[#This Row],[Stand Coffee Latte einde maand]]-Tabel2425678910[[#This Row],[Coffee Latte vorige maand]]</f>
        <v>12</v>
      </c>
      <c r="Q44" s="11">
        <v>6233</v>
      </c>
      <c r="R44" s="11">
        <v>5559</v>
      </c>
      <c r="S44">
        <f>Tabel2425678910[[#This Row],[Stand Hot Water einde maand]]-Tabel2425678910[[#This Row],[Hot Water vorige maand]]</f>
        <v>674</v>
      </c>
      <c r="T44" s="11">
        <v>2598</v>
      </c>
      <c r="U44" s="11">
        <v>2210</v>
      </c>
      <c r="V44">
        <f>Tabel2425678910[[#This Row],[Stand Cappucino einde maand]]-Tabel2425678910[[#This Row],[Stand Cappucino vorige maand]]</f>
        <v>388</v>
      </c>
      <c r="W44" s="11">
        <v>413</v>
      </c>
      <c r="X44" s="11">
        <v>381</v>
      </c>
      <c r="Y44">
        <f>Tabel2425678910[[#This Row],[Stand Cappucino Plantaardig einde maand]]-Tabel2425678910[[#This Row],[Stand Cappucino Plantaardig vorige maand]]</f>
        <v>32</v>
      </c>
      <c r="Z44" s="11">
        <v>341</v>
      </c>
      <c r="AA44" s="11">
        <v>306</v>
      </c>
      <c r="AB44" s="12">
        <f>Tabel2425678910[[#This Row],[Stand Latte Macchiato Plantaardig einde maand]]-Tabel2425678910[[#This Row],[Stand Latte Macchiato Plantaardig vorige maand]]</f>
        <v>35</v>
      </c>
      <c r="AC44" s="3">
        <f>Tabel2425678910[[#This Row],[Verbruik Stand Latte Macchiato Plantaardig deze maand]]+Tabel2425678910[[#This Row],[Verbruik  Cappucino Plantaardig deze maand]]+Tabel2425678910[[#This Row],[Verbruik Cappucino deze maand]]+Tabel2425678910[[#This Row],[Verbruik Hot Water deze maand]]+Tabel2425678910[[#This Row],[Verbruik Coffee Latte deze maand]]+Tabel2425678910[[#This Row],[Verbruik Latte Macchiato deze maand]]+Tabel2425678910[[#This Row],[Verbruik Espresso deze maand]]+Tabel2425678910[[#This Row],[Verbruik Coffee deze maand]]</f>
        <v>2042</v>
      </c>
      <c r="AD44" s="26"/>
      <c r="AE44" s="26"/>
      <c r="AF44" s="5"/>
      <c r="AG44" s="7"/>
      <c r="AH44" s="26"/>
      <c r="AI44" s="26"/>
      <c r="AJ44" s="5"/>
      <c r="AK44" s="7"/>
      <c r="AL44" s="26"/>
      <c r="AM44" s="26"/>
      <c r="AN44" s="5"/>
      <c r="AO44" s="7"/>
      <c r="AP44" s="26"/>
      <c r="AQ44" s="26"/>
      <c r="AR44" s="5"/>
      <c r="AS44" s="7"/>
      <c r="AT44" s="26"/>
      <c r="AU44" s="26"/>
      <c r="AV44" s="5"/>
      <c r="AW44" s="21"/>
      <c r="AX44" s="4">
        <f>Tabel2425678910[[#This Row],[Aantal consumpties heet water deze maand]]+Tabel2425678910[[#This Row],[Aantal consumpties licht bruisend water deze maand]]+Tabel2425678910[[#This Row],[aantal consumpties Bruisend water deze maand]]+Tabel2425678910[[#This Row],[Aantal consumpties gekoeld water deze maand]]+Tabel2425678910[[#This Row],[Aantal consumpties Kamertemp deze maand]]</f>
        <v>0</v>
      </c>
      <c r="AY44" s="4">
        <f>Tabel2425678910[[#This Row],[Subtotaal waterbar in consumpties]]+Tabel2425678910[[#This Row],[Subtotaal koffieautomaten]]</f>
        <v>2042</v>
      </c>
    </row>
    <row r="45" spans="1:51" x14ac:dyDescent="0.25">
      <c r="A45" t="s">
        <v>50</v>
      </c>
      <c r="B45" t="s">
        <v>93</v>
      </c>
      <c r="C45" t="s">
        <v>36</v>
      </c>
      <c r="E45" s="42"/>
      <c r="F45" s="42"/>
      <c r="G45" s="43"/>
      <c r="H45" s="42"/>
      <c r="I45" s="42"/>
      <c r="J45" s="43"/>
      <c r="K45" s="42"/>
      <c r="L45" s="42"/>
      <c r="M45" s="43"/>
      <c r="N45" s="42"/>
      <c r="O45" s="42"/>
      <c r="P45" s="43"/>
      <c r="Q45" s="42"/>
      <c r="R45" s="42"/>
      <c r="S45" s="43"/>
      <c r="T45" s="42"/>
      <c r="U45" s="42"/>
      <c r="V45" s="43"/>
      <c r="W45" s="42"/>
      <c r="X45" s="42"/>
      <c r="Y45" s="43"/>
      <c r="Z45" s="42"/>
      <c r="AA45" s="42"/>
      <c r="AB45" s="43"/>
      <c r="AC45" s="43"/>
      <c r="AD45" s="11">
        <v>66.8</v>
      </c>
      <c r="AE45" s="11">
        <v>56.4</v>
      </c>
      <c r="AF45">
        <f>Tabel2425678910[[#This Row],[Stand Kamertemp liter einde maand]]-Tabel2425678910[[#This Row],[Stand Kamertemp liter vorige maand]]</f>
        <v>10.399999999999999</v>
      </c>
      <c r="AG45" s="2">
        <f>Tabel2425678910[[#This Row],[Verbruik Kamertemp liter deze maand]]/0.15</f>
        <v>69.333333333333329</v>
      </c>
      <c r="AH45" s="25">
        <v>566</v>
      </c>
      <c r="AI45" s="25">
        <v>479.4</v>
      </c>
      <c r="AJ45">
        <f>Tabel2425678910[[#This Row],[Stand Gekoeld liter einde maand]]-Tabel2425678910[[#This Row],[Stand Gekoeld liter vorige maand]]</f>
        <v>86.600000000000023</v>
      </c>
      <c r="AK45" s="2">
        <f>Tabel2425678910[[#This Row],[Verbruik Gekoeld liter deze maand]]/0.15</f>
        <v>577.33333333333348</v>
      </c>
      <c r="AL45" s="25">
        <v>493.4</v>
      </c>
      <c r="AM45" s="25">
        <v>417.7</v>
      </c>
      <c r="AN45">
        <f>Tabel2425678910[[#This Row],[Stand Bruisend liter einde maand]]-Tabel2425678910[[#This Row],[Stand Bruisend liter vorige maand]]</f>
        <v>75.699999999999989</v>
      </c>
      <c r="AO45" s="2">
        <f>Tabel2425678910[[#This Row],[Verbruik Bruisend liter deze maand]]/0.15</f>
        <v>504.66666666666663</v>
      </c>
      <c r="AP45" s="25">
        <v>222.6</v>
      </c>
      <c r="AQ45" s="25">
        <v>199.6</v>
      </c>
      <c r="AR45">
        <f>Tabel2425678910[[#This Row],[Stand licht bruisend liter einde maand]]-Tabel2425678910[[#This Row],[Stand licht bruisend liter vorige maand]]</f>
        <v>23</v>
      </c>
      <c r="AS45" s="2">
        <f>Tabel2425678910[[#This Row],[Verbruik licht bruisend liter deze maand]]/0.15</f>
        <v>153.33333333333334</v>
      </c>
      <c r="AT45" s="25">
        <v>1606.7</v>
      </c>
      <c r="AU45" s="25">
        <v>1426.9</v>
      </c>
      <c r="AV45">
        <f>Tabel2425678910[[#This Row],[Stand heet water liter einde maand]]-Tabel2425678910[[#This Row],[Stand heet water liter vorige maand]]</f>
        <v>179.79999999999995</v>
      </c>
      <c r="AW45" s="20">
        <f>Tabel2425678910[[#This Row],[Verbruik heet Water liter deze maand ]]/0.15</f>
        <v>1198.6666666666665</v>
      </c>
      <c r="AX45" s="4">
        <f>Tabel2425678910[[#This Row],[Aantal consumpties heet water deze maand]]+Tabel2425678910[[#This Row],[Aantal consumpties licht bruisend water deze maand]]+Tabel2425678910[[#This Row],[aantal consumpties Bruisend water deze maand]]+Tabel2425678910[[#This Row],[Aantal consumpties gekoeld water deze maand]]+Tabel2425678910[[#This Row],[Aantal consumpties Kamertemp deze maand]]</f>
        <v>2503.3333333333335</v>
      </c>
      <c r="AY45" s="4">
        <f>Tabel2425678910[[#This Row],[Subtotaal waterbar in consumpties]]+Tabel2425678910[[#This Row],[Subtotaal koffieautomaten]]</f>
        <v>2503.3333333333335</v>
      </c>
    </row>
    <row r="46" spans="1:51" x14ac:dyDescent="0.25">
      <c r="A46" t="s">
        <v>52</v>
      </c>
      <c r="B46" t="s">
        <v>94</v>
      </c>
      <c r="C46" t="s">
        <v>31</v>
      </c>
      <c r="E46" s="11">
        <v>2932</v>
      </c>
      <c r="F46" s="11">
        <v>2552</v>
      </c>
      <c r="G46" s="12">
        <f>Tabel2425678910[[#This Row],[Stand Coffee einde maand]]-Tabel2425678910[[#This Row],[Coffee vorige maand]]</f>
        <v>380</v>
      </c>
      <c r="H46" s="11">
        <v>1686</v>
      </c>
      <c r="I46" s="11">
        <v>1512</v>
      </c>
      <c r="J46" s="12">
        <f>Tabel2425678910[[#This Row],[Stand Espresso Einde maand]]-Tabel2425678910[[#This Row],[Espresso vorige maand]]</f>
        <v>174</v>
      </c>
      <c r="K46" s="11">
        <v>418</v>
      </c>
      <c r="L46" s="11">
        <v>370</v>
      </c>
      <c r="M46">
        <f>Tabel2425678910[[#This Row],[Stand Latte Macchiato einde maand]]-Tabel2425678910[[#This Row],[Latte Macchiato vorige maand]]</f>
        <v>48</v>
      </c>
      <c r="N46" s="11">
        <v>227</v>
      </c>
      <c r="O46" s="11">
        <v>213</v>
      </c>
      <c r="P46">
        <f>Tabel2425678910[[#This Row],[Stand Coffee Latte einde maand]]-Tabel2425678910[[#This Row],[Coffee Latte vorige maand]]</f>
        <v>14</v>
      </c>
      <c r="Q46" s="11">
        <v>5313</v>
      </c>
      <c r="R46" s="11">
        <v>4749</v>
      </c>
      <c r="S46">
        <f>Tabel2425678910[[#This Row],[Stand Hot Water einde maand]]-Tabel2425678910[[#This Row],[Hot Water vorige maand]]</f>
        <v>564</v>
      </c>
      <c r="T46" s="11">
        <v>2631</v>
      </c>
      <c r="U46" s="11">
        <v>2313</v>
      </c>
      <c r="V46">
        <f>Tabel2425678910[[#This Row],[Stand Cappucino einde maand]]-Tabel2425678910[[#This Row],[Stand Cappucino vorige maand]]</f>
        <v>318</v>
      </c>
      <c r="W46" s="11">
        <v>360</v>
      </c>
      <c r="X46" s="11">
        <v>289</v>
      </c>
      <c r="Y46">
        <f>Tabel2425678910[[#This Row],[Stand Cappucino Plantaardig einde maand]]-Tabel2425678910[[#This Row],[Stand Cappucino Plantaardig vorige maand]]</f>
        <v>71</v>
      </c>
      <c r="Z46" s="11">
        <v>61</v>
      </c>
      <c r="AA46" s="11">
        <v>57</v>
      </c>
      <c r="AB46" s="12">
        <f>Tabel2425678910[[#This Row],[Stand Latte Macchiato Plantaardig einde maand]]-Tabel2425678910[[#This Row],[Stand Latte Macchiato Plantaardig vorige maand]]</f>
        <v>4</v>
      </c>
      <c r="AC46" s="3">
        <f>Tabel2425678910[[#This Row],[Verbruik Stand Latte Macchiato Plantaardig deze maand]]+Tabel2425678910[[#This Row],[Verbruik  Cappucino Plantaardig deze maand]]+Tabel2425678910[[#This Row],[Verbruik Cappucino deze maand]]+Tabel2425678910[[#This Row],[Verbruik Hot Water deze maand]]+Tabel2425678910[[#This Row],[Verbruik Coffee Latte deze maand]]+Tabel2425678910[[#This Row],[Verbruik Latte Macchiato deze maand]]+Tabel2425678910[[#This Row],[Verbruik Espresso deze maand]]+Tabel2425678910[[#This Row],[Verbruik Coffee deze maand]]</f>
        <v>1573</v>
      </c>
      <c r="AD46" s="26"/>
      <c r="AE46" s="26"/>
      <c r="AF46" s="5"/>
      <c r="AG46" s="7"/>
      <c r="AH46" s="26"/>
      <c r="AI46" s="26"/>
      <c r="AJ46" s="5"/>
      <c r="AK46" s="7"/>
      <c r="AL46" s="26"/>
      <c r="AM46" s="26"/>
      <c r="AN46" s="5"/>
      <c r="AO46" s="7"/>
      <c r="AP46" s="26"/>
      <c r="AQ46" s="26"/>
      <c r="AR46" s="5"/>
      <c r="AS46" s="7"/>
      <c r="AT46" s="26"/>
      <c r="AU46" s="26"/>
      <c r="AV46" s="5"/>
      <c r="AW46" s="21"/>
      <c r="AX46" s="8">
        <f>Tabel2425678910[[#This Row],[Aantal consumpties heet water deze maand]]+Tabel2425678910[[#This Row],[Aantal consumpties licht bruisend water deze maand]]+Tabel2425678910[[#This Row],[aantal consumpties Bruisend water deze maand]]+Tabel2425678910[[#This Row],[Aantal consumpties gekoeld water deze maand]]+Tabel2425678910[[#This Row],[Aantal consumpties Kamertemp deze maand]]</f>
        <v>0</v>
      </c>
      <c r="AY46" s="4">
        <f>Tabel2425678910[[#This Row],[Subtotaal waterbar in consumpties]]+Tabel2425678910[[#This Row],[Subtotaal koffieautomaten]]</f>
        <v>1573</v>
      </c>
    </row>
    <row r="47" spans="1:51" x14ac:dyDescent="0.25">
      <c r="A47" t="s">
        <v>54</v>
      </c>
      <c r="B47" t="s">
        <v>95</v>
      </c>
      <c r="C47" t="s">
        <v>47</v>
      </c>
      <c r="E47" s="11">
        <v>3903</v>
      </c>
      <c r="F47" s="11">
        <v>3541</v>
      </c>
      <c r="G47" s="12">
        <f>Tabel2425678910[[#This Row],[Stand Coffee einde maand]]-Tabel2425678910[[#This Row],[Coffee vorige maand]]</f>
        <v>362</v>
      </c>
      <c r="H47" s="11">
        <v>1206</v>
      </c>
      <c r="I47" s="11">
        <v>1034</v>
      </c>
      <c r="J47" s="12">
        <f>Tabel2425678910[[#This Row],[Stand Espresso Einde maand]]-Tabel2425678910[[#This Row],[Espresso vorige maand]]</f>
        <v>172</v>
      </c>
      <c r="K47" s="11">
        <v>378</v>
      </c>
      <c r="L47" s="11">
        <v>328</v>
      </c>
      <c r="M47">
        <f>Tabel2425678910[[#This Row],[Stand Latte Macchiato einde maand]]-Tabel2425678910[[#This Row],[Latte Macchiato vorige maand]]</f>
        <v>50</v>
      </c>
      <c r="N47" s="11">
        <v>240</v>
      </c>
      <c r="O47" s="11">
        <v>206</v>
      </c>
      <c r="P47">
        <f>Tabel2425678910[[#This Row],[Stand Coffee Latte einde maand]]-Tabel2425678910[[#This Row],[Coffee Latte vorige maand]]</f>
        <v>34</v>
      </c>
      <c r="Q47" s="11">
        <v>0</v>
      </c>
      <c r="R47" s="11">
        <v>0</v>
      </c>
      <c r="S47">
        <f>Tabel2425678910[[#This Row],[Stand Hot Water einde maand]]-Tabel2425678910[[#This Row],[Hot Water vorige maand]]</f>
        <v>0</v>
      </c>
      <c r="T47" s="11">
        <v>1732</v>
      </c>
      <c r="U47" s="11">
        <v>1607</v>
      </c>
      <c r="V47">
        <f>Tabel2425678910[[#This Row],[Stand Cappucino einde maand]]-Tabel2425678910[[#This Row],[Stand Cappucino vorige maand]]</f>
        <v>125</v>
      </c>
      <c r="W47" s="11">
        <v>577</v>
      </c>
      <c r="X47" s="11">
        <v>553</v>
      </c>
      <c r="Y47">
        <f>Tabel2425678910[[#This Row],[Stand Cappucino Plantaardig einde maand]]-Tabel2425678910[[#This Row],[Stand Cappucino Plantaardig vorige maand]]</f>
        <v>24</v>
      </c>
      <c r="Z47" s="11">
        <v>326</v>
      </c>
      <c r="AA47" s="11">
        <v>305</v>
      </c>
      <c r="AB47" s="12">
        <f>Tabel2425678910[[#This Row],[Stand Latte Macchiato Plantaardig einde maand]]-Tabel2425678910[[#This Row],[Stand Latte Macchiato Plantaardig vorige maand]]</f>
        <v>21</v>
      </c>
      <c r="AC47" s="3">
        <f>Tabel2425678910[[#This Row],[Verbruik Stand Latte Macchiato Plantaardig deze maand]]+Tabel2425678910[[#This Row],[Verbruik  Cappucino Plantaardig deze maand]]+Tabel2425678910[[#This Row],[Verbruik Cappucino deze maand]]+Tabel2425678910[[#This Row],[Verbruik Hot Water deze maand]]+Tabel2425678910[[#This Row],[Verbruik Coffee Latte deze maand]]+Tabel2425678910[[#This Row],[Verbruik Latte Macchiato deze maand]]+Tabel2425678910[[#This Row],[Verbruik Espresso deze maand]]+Tabel2425678910[[#This Row],[Verbruik Coffee deze maand]]</f>
        <v>788</v>
      </c>
      <c r="AD47" s="11">
        <v>154.6</v>
      </c>
      <c r="AE47" s="11">
        <v>140.30000000000001</v>
      </c>
      <c r="AF47">
        <f>Tabel2425678910[[#This Row],[Stand Kamertemp liter einde maand]]-Tabel2425678910[[#This Row],[Stand Kamertemp liter vorige maand]]</f>
        <v>14.299999999999983</v>
      </c>
      <c r="AG47" s="2">
        <f>Tabel2425678910[[#This Row],[Verbruik Kamertemp liter deze maand]]/0.15</f>
        <v>95.333333333333229</v>
      </c>
      <c r="AH47" s="11">
        <v>706.4</v>
      </c>
      <c r="AI47" s="11">
        <v>607.1</v>
      </c>
      <c r="AJ47">
        <f>Tabel2425678910[[#This Row],[Stand Gekoeld liter einde maand]]-Tabel2425678910[[#This Row],[Stand Gekoeld liter vorige maand]]</f>
        <v>99.299999999999955</v>
      </c>
      <c r="AK47" s="2">
        <f>Tabel2425678910[[#This Row],[Verbruik Gekoeld liter deze maand]]/0.15</f>
        <v>661.99999999999977</v>
      </c>
      <c r="AL47" s="11">
        <v>547</v>
      </c>
      <c r="AM47" s="11">
        <v>471.7</v>
      </c>
      <c r="AN47">
        <f>Tabel2425678910[[#This Row],[Stand Bruisend liter einde maand]]-Tabel2425678910[[#This Row],[Stand Bruisend liter vorige maand]]</f>
        <v>75.300000000000011</v>
      </c>
      <c r="AO47" s="2">
        <f>Tabel2425678910[[#This Row],[Verbruik Bruisend liter deze maand]]/0.15</f>
        <v>502.00000000000011</v>
      </c>
      <c r="AP47" s="11">
        <v>272</v>
      </c>
      <c r="AQ47" s="11">
        <v>213.4</v>
      </c>
      <c r="AR47">
        <f>Tabel2425678910[[#This Row],[Stand licht bruisend liter einde maand]]-Tabel2425678910[[#This Row],[Stand licht bruisend liter vorige maand]]</f>
        <v>58.599999999999994</v>
      </c>
      <c r="AS47" s="2">
        <f>Tabel2425678910[[#This Row],[Verbruik licht bruisend liter deze maand]]/0.15</f>
        <v>390.66666666666663</v>
      </c>
      <c r="AT47" s="11">
        <v>1945.9</v>
      </c>
      <c r="AU47" s="11">
        <v>1730.6</v>
      </c>
      <c r="AV47">
        <f>Tabel2425678910[[#This Row],[Stand heet water liter einde maand]]-Tabel2425678910[[#This Row],[Stand heet water liter vorige maand]]</f>
        <v>215.30000000000018</v>
      </c>
      <c r="AW47" s="20">
        <f>Tabel2425678910[[#This Row],[Verbruik heet Water liter deze maand ]]/0.15</f>
        <v>1435.3333333333346</v>
      </c>
      <c r="AX47" s="4">
        <f>Tabel2425678910[[#This Row],[Aantal consumpties heet water deze maand]]+Tabel2425678910[[#This Row],[Aantal consumpties licht bruisend water deze maand]]+Tabel2425678910[[#This Row],[aantal consumpties Bruisend water deze maand]]+Tabel2425678910[[#This Row],[Aantal consumpties gekoeld water deze maand]]+Tabel2425678910[[#This Row],[Aantal consumpties Kamertemp deze maand]]</f>
        <v>3085.3333333333339</v>
      </c>
      <c r="AY47" s="4">
        <f>Tabel2425678910[[#This Row],[Subtotaal waterbar in consumpties]]+Tabel2425678910[[#This Row],[Subtotaal koffieautomaten]]</f>
        <v>3873.3333333333339</v>
      </c>
    </row>
    <row r="48" spans="1:51" x14ac:dyDescent="0.25">
      <c r="A48" t="s">
        <v>56</v>
      </c>
      <c r="B48" t="s">
        <v>96</v>
      </c>
      <c r="C48" t="s">
        <v>36</v>
      </c>
      <c r="E48" s="42"/>
      <c r="F48" s="42"/>
      <c r="G48" s="43"/>
      <c r="H48" s="42"/>
      <c r="I48" s="42"/>
      <c r="J48" s="43"/>
      <c r="K48" s="42"/>
      <c r="L48" s="42"/>
      <c r="M48" s="43"/>
      <c r="N48" s="42"/>
      <c r="O48" s="42"/>
      <c r="P48" s="43"/>
      <c r="Q48" s="42"/>
      <c r="R48" s="42"/>
      <c r="S48" s="43"/>
      <c r="T48" s="42"/>
      <c r="U48" s="42"/>
      <c r="V48" s="43"/>
      <c r="W48" s="42"/>
      <c r="X48" s="42"/>
      <c r="Y48" s="43"/>
      <c r="Z48" s="42"/>
      <c r="AA48" s="42"/>
      <c r="AB48" s="43"/>
      <c r="AC48" s="43"/>
      <c r="AD48" s="11">
        <v>149.9</v>
      </c>
      <c r="AE48" s="11">
        <v>137.5</v>
      </c>
      <c r="AF48">
        <f>Tabel2425678910[[#This Row],[Stand Kamertemp liter einde maand]]-Tabel2425678910[[#This Row],[Stand Kamertemp liter vorige maand]]</f>
        <v>12.400000000000006</v>
      </c>
      <c r="AG48" s="2">
        <f>Tabel2425678910[[#This Row],[Verbruik Kamertemp liter deze maand]]/0.15</f>
        <v>82.666666666666714</v>
      </c>
      <c r="AH48" s="11">
        <v>1027.2</v>
      </c>
      <c r="AI48" s="11">
        <v>888.5</v>
      </c>
      <c r="AJ48">
        <f>Tabel2425678910[[#This Row],[Stand Gekoeld liter einde maand]]-Tabel2425678910[[#This Row],[Stand Gekoeld liter vorige maand]]</f>
        <v>138.70000000000005</v>
      </c>
      <c r="AK48" s="2">
        <f>Tabel2425678910[[#This Row],[Verbruik Gekoeld liter deze maand]]/0.15</f>
        <v>924.66666666666697</v>
      </c>
      <c r="AL48" s="11">
        <v>407</v>
      </c>
      <c r="AM48" s="11">
        <v>366.1</v>
      </c>
      <c r="AN48">
        <f>Tabel2425678910[[#This Row],[Stand Bruisend liter einde maand]]-Tabel2425678910[[#This Row],[Stand Bruisend liter vorige maand]]</f>
        <v>40.899999999999977</v>
      </c>
      <c r="AO48" s="2">
        <f>Tabel2425678910[[#This Row],[Verbruik Bruisend liter deze maand]]/0.15</f>
        <v>272.66666666666652</v>
      </c>
      <c r="AP48" s="11">
        <v>299.89999999999998</v>
      </c>
      <c r="AQ48" s="11">
        <v>291.89999999999998</v>
      </c>
      <c r="AR48">
        <f>Tabel2425678910[[#This Row],[Stand licht bruisend liter einde maand]]-Tabel2425678910[[#This Row],[Stand licht bruisend liter vorige maand]]</f>
        <v>8</v>
      </c>
      <c r="AS48" s="2">
        <f>Tabel2425678910[[#This Row],[Verbruik licht bruisend liter deze maand]]/0.15</f>
        <v>53.333333333333336</v>
      </c>
      <c r="AT48" s="11">
        <v>2783.3</v>
      </c>
      <c r="AU48" s="11">
        <v>2595.6</v>
      </c>
      <c r="AV48">
        <f>Tabel2425678910[[#This Row],[Stand heet water liter einde maand]]-Tabel2425678910[[#This Row],[Stand heet water liter vorige maand]]</f>
        <v>187.70000000000027</v>
      </c>
      <c r="AW48" s="20">
        <f>Tabel2425678910[[#This Row],[Verbruik heet Water liter deze maand ]]/0.15</f>
        <v>1251.3333333333353</v>
      </c>
      <c r="AX48" s="4">
        <f>Tabel2425678910[[#This Row],[Aantal consumpties heet water deze maand]]+Tabel2425678910[[#This Row],[Aantal consumpties licht bruisend water deze maand]]+Tabel2425678910[[#This Row],[aantal consumpties Bruisend water deze maand]]+Tabel2425678910[[#This Row],[Aantal consumpties gekoeld water deze maand]]+Tabel2425678910[[#This Row],[Aantal consumpties Kamertemp deze maand]]</f>
        <v>2584.6666666666683</v>
      </c>
      <c r="AY48" s="4">
        <f>Tabel2425678910[[#This Row],[Subtotaal waterbar in consumpties]]+Tabel2425678910[[#This Row],[Subtotaal koffieautomaten]]</f>
        <v>2584.6666666666683</v>
      </c>
    </row>
    <row r="49" spans="1:51" x14ac:dyDescent="0.25">
      <c r="A49" t="s">
        <v>58</v>
      </c>
      <c r="B49" t="s">
        <v>97</v>
      </c>
      <c r="C49" t="s">
        <v>31</v>
      </c>
      <c r="E49" s="11">
        <v>3744</v>
      </c>
      <c r="F49" s="11">
        <v>3412</v>
      </c>
      <c r="G49" s="12">
        <f>Tabel2425678910[[#This Row],[Stand Coffee einde maand]]-Tabel2425678910[[#This Row],[Coffee vorige maand]]</f>
        <v>332</v>
      </c>
      <c r="H49" s="11">
        <v>996</v>
      </c>
      <c r="I49" s="11">
        <v>875</v>
      </c>
      <c r="J49" s="12">
        <f>Tabel2425678910[[#This Row],[Stand Espresso Einde maand]]-Tabel2425678910[[#This Row],[Espresso vorige maand]]</f>
        <v>121</v>
      </c>
      <c r="K49" s="11">
        <v>515</v>
      </c>
      <c r="L49" s="11">
        <v>437</v>
      </c>
      <c r="M49">
        <f>Tabel2425678910[[#This Row],[Stand Latte Macchiato einde maand]]-Tabel2425678910[[#This Row],[Latte Macchiato vorige maand]]</f>
        <v>78</v>
      </c>
      <c r="N49" s="11">
        <v>501</v>
      </c>
      <c r="O49" s="11">
        <v>437</v>
      </c>
      <c r="P49">
        <f>Tabel2425678910[[#This Row],[Stand Coffee Latte einde maand]]-Tabel2425678910[[#This Row],[Coffee Latte vorige maand]]</f>
        <v>64</v>
      </c>
      <c r="Q49" s="11">
        <v>3765</v>
      </c>
      <c r="R49" s="11">
        <v>3439</v>
      </c>
      <c r="S49">
        <f>Tabel2425678910[[#This Row],[Stand Hot Water einde maand]]-Tabel2425678910[[#This Row],[Hot Water vorige maand]]</f>
        <v>326</v>
      </c>
      <c r="T49" s="11">
        <v>2319</v>
      </c>
      <c r="U49" s="11">
        <v>2038</v>
      </c>
      <c r="V49">
        <f>Tabel2425678910[[#This Row],[Stand Cappucino einde maand]]-Tabel2425678910[[#This Row],[Stand Cappucino vorige maand]]</f>
        <v>281</v>
      </c>
      <c r="W49" s="11">
        <v>744</v>
      </c>
      <c r="X49" s="11">
        <v>711</v>
      </c>
      <c r="Y49">
        <f>Tabel2425678910[[#This Row],[Stand Cappucino Plantaardig einde maand]]-Tabel2425678910[[#This Row],[Stand Cappucino Plantaardig vorige maand]]</f>
        <v>33</v>
      </c>
      <c r="Z49" s="11">
        <v>135</v>
      </c>
      <c r="AA49" s="11">
        <v>127</v>
      </c>
      <c r="AB49" s="12">
        <f>Tabel2425678910[[#This Row],[Stand Latte Macchiato Plantaardig einde maand]]-Tabel2425678910[[#This Row],[Stand Latte Macchiato Plantaardig vorige maand]]</f>
        <v>8</v>
      </c>
      <c r="AC49" s="3">
        <f>Tabel2425678910[[#This Row],[Verbruik Stand Latte Macchiato Plantaardig deze maand]]+Tabel2425678910[[#This Row],[Verbruik  Cappucino Plantaardig deze maand]]+Tabel2425678910[[#This Row],[Verbruik Cappucino deze maand]]+Tabel2425678910[[#This Row],[Verbruik Hot Water deze maand]]+Tabel2425678910[[#This Row],[Verbruik Coffee Latte deze maand]]+Tabel2425678910[[#This Row],[Verbruik Latte Macchiato deze maand]]+Tabel2425678910[[#This Row],[Verbruik Espresso deze maand]]+Tabel2425678910[[#This Row],[Verbruik Coffee deze maand]]</f>
        <v>1243</v>
      </c>
      <c r="AD49" s="26"/>
      <c r="AE49" s="26"/>
      <c r="AF49" s="5"/>
      <c r="AG49" s="7"/>
      <c r="AH49" s="26"/>
      <c r="AI49" s="26"/>
      <c r="AJ49" s="5"/>
      <c r="AK49" s="7"/>
      <c r="AL49" s="26"/>
      <c r="AM49" s="26"/>
      <c r="AN49" s="5"/>
      <c r="AO49" s="7"/>
      <c r="AP49" s="26"/>
      <c r="AQ49" s="26"/>
      <c r="AR49" s="5"/>
      <c r="AS49" s="7"/>
      <c r="AT49" s="26"/>
      <c r="AU49" s="26"/>
      <c r="AV49" s="5"/>
      <c r="AW49" s="21"/>
      <c r="AX49" s="8">
        <f>Tabel2425678910[[#This Row],[Aantal consumpties heet water deze maand]]+Tabel2425678910[[#This Row],[Aantal consumpties licht bruisend water deze maand]]+Tabel2425678910[[#This Row],[aantal consumpties Bruisend water deze maand]]+Tabel2425678910[[#This Row],[Aantal consumpties gekoeld water deze maand]]+Tabel2425678910[[#This Row],[Aantal consumpties Kamertemp deze maand]]</f>
        <v>0</v>
      </c>
      <c r="AY49" s="4">
        <f>Tabel2425678910[[#This Row],[Subtotaal waterbar in consumpties]]+Tabel2425678910[[#This Row],[Subtotaal koffieautomaten]]</f>
        <v>1243</v>
      </c>
    </row>
    <row r="50" spans="1:51" x14ac:dyDescent="0.25">
      <c r="A50" t="s">
        <v>60</v>
      </c>
      <c r="B50" t="s">
        <v>98</v>
      </c>
      <c r="C50" t="s">
        <v>47</v>
      </c>
      <c r="E50" s="11">
        <v>1752</v>
      </c>
      <c r="F50" s="11">
        <v>1583</v>
      </c>
      <c r="G50" s="12">
        <f>Tabel2425678910[[#This Row],[Stand Coffee einde maand]]-Tabel2425678910[[#This Row],[Coffee vorige maand]]</f>
        <v>169</v>
      </c>
      <c r="H50" s="11">
        <v>534</v>
      </c>
      <c r="I50" s="11">
        <v>491</v>
      </c>
      <c r="J50" s="12">
        <f>Tabel2425678910[[#This Row],[Stand Espresso Einde maand]]-Tabel2425678910[[#This Row],[Espresso vorige maand]]</f>
        <v>43</v>
      </c>
      <c r="K50" s="11">
        <v>363</v>
      </c>
      <c r="L50" s="11">
        <v>338</v>
      </c>
      <c r="M50">
        <f>Tabel2425678910[[#This Row],[Stand Latte Macchiato einde maand]]-Tabel2425678910[[#This Row],[Latte Macchiato vorige maand]]</f>
        <v>25</v>
      </c>
      <c r="N50" s="11">
        <v>206</v>
      </c>
      <c r="O50" s="11">
        <v>193</v>
      </c>
      <c r="P50">
        <f>Tabel2425678910[[#This Row],[Stand Coffee Latte einde maand]]-Tabel2425678910[[#This Row],[Coffee Latte vorige maand]]</f>
        <v>13</v>
      </c>
      <c r="Q50" s="11">
        <v>1</v>
      </c>
      <c r="R50" s="11">
        <v>1</v>
      </c>
      <c r="S50">
        <f>Tabel2425678910[[#This Row],[Stand Hot Water einde maand]]-Tabel2425678910[[#This Row],[Hot Water vorige maand]]</f>
        <v>0</v>
      </c>
      <c r="T50" s="11">
        <v>1193</v>
      </c>
      <c r="U50" s="11">
        <v>1078</v>
      </c>
      <c r="V50">
        <f>Tabel2425678910[[#This Row],[Stand Cappucino einde maand]]-Tabel2425678910[[#This Row],[Stand Cappucino vorige maand]]</f>
        <v>115</v>
      </c>
      <c r="W50" s="11">
        <v>302</v>
      </c>
      <c r="X50" s="11">
        <v>277</v>
      </c>
      <c r="Y50">
        <f>Tabel2425678910[[#This Row],[Stand Cappucino Plantaardig einde maand]]-Tabel2425678910[[#This Row],[Stand Cappucino Plantaardig vorige maand]]</f>
        <v>25</v>
      </c>
      <c r="Z50" s="11">
        <v>91</v>
      </c>
      <c r="AA50" s="11">
        <v>84</v>
      </c>
      <c r="AB50" s="12">
        <f>Tabel2425678910[[#This Row],[Stand Latte Macchiato Plantaardig einde maand]]-Tabel2425678910[[#This Row],[Stand Latte Macchiato Plantaardig vorige maand]]</f>
        <v>7</v>
      </c>
      <c r="AC50" s="3">
        <f>Tabel2425678910[[#This Row],[Verbruik Stand Latte Macchiato Plantaardig deze maand]]+Tabel2425678910[[#This Row],[Verbruik  Cappucino Plantaardig deze maand]]+Tabel2425678910[[#This Row],[Verbruik Cappucino deze maand]]+Tabel2425678910[[#This Row],[Verbruik Hot Water deze maand]]+Tabel2425678910[[#This Row],[Verbruik Coffee Latte deze maand]]+Tabel2425678910[[#This Row],[Verbruik Latte Macchiato deze maand]]+Tabel2425678910[[#This Row],[Verbruik Espresso deze maand]]+Tabel2425678910[[#This Row],[Verbruik Coffee deze maand]]</f>
        <v>397</v>
      </c>
      <c r="AD50" s="11">
        <v>107.7</v>
      </c>
      <c r="AE50" s="11">
        <v>94.6</v>
      </c>
      <c r="AF50">
        <f>Tabel2425678910[[#This Row],[Stand Kamertemp liter einde maand]]-Tabel2425678910[[#This Row],[Stand Kamertemp liter vorige maand]]</f>
        <v>13.100000000000009</v>
      </c>
      <c r="AG50" s="2">
        <f>Tabel2425678910[[#This Row],[Verbruik Kamertemp liter deze maand]]/0.15</f>
        <v>87.3333333333334</v>
      </c>
      <c r="AH50" s="11">
        <v>626.9</v>
      </c>
      <c r="AI50" s="11">
        <v>521.9</v>
      </c>
      <c r="AJ50">
        <f>Tabel2425678910[[#This Row],[Stand Gekoeld liter einde maand]]-Tabel2425678910[[#This Row],[Stand Gekoeld liter vorige maand]]</f>
        <v>105</v>
      </c>
      <c r="AK50" s="2">
        <f>Tabel2425678910[[#This Row],[Verbruik Gekoeld liter deze maand]]/0.15</f>
        <v>700</v>
      </c>
      <c r="AL50" s="11">
        <v>295.3</v>
      </c>
      <c r="AM50" s="11">
        <v>272.89999999999998</v>
      </c>
      <c r="AN50">
        <f>Tabel2425678910[[#This Row],[Stand Bruisend liter einde maand]]-Tabel2425678910[[#This Row],[Stand Bruisend liter vorige maand]]</f>
        <v>22.400000000000034</v>
      </c>
      <c r="AO50" s="2">
        <f>Tabel2425678910[[#This Row],[Verbruik Bruisend liter deze maand]]/0.15</f>
        <v>149.33333333333357</v>
      </c>
      <c r="AP50" s="11">
        <v>137.69999999999999</v>
      </c>
      <c r="AQ50" s="11">
        <v>115.4</v>
      </c>
      <c r="AR50">
        <f>Tabel2425678910[[#This Row],[Stand licht bruisend liter einde maand]]-Tabel2425678910[[#This Row],[Stand licht bruisend liter vorige maand]]</f>
        <v>22.299999999999983</v>
      </c>
      <c r="AS50" s="2">
        <f>Tabel2425678910[[#This Row],[Verbruik licht bruisend liter deze maand]]/0.15</f>
        <v>148.66666666666657</v>
      </c>
      <c r="AT50" s="11">
        <v>1694.1</v>
      </c>
      <c r="AU50" s="11">
        <v>1520.9</v>
      </c>
      <c r="AV50">
        <f>Tabel2425678910[[#This Row],[Stand heet water liter einde maand]]-Tabel2425678910[[#This Row],[Stand heet water liter vorige maand]]</f>
        <v>173.19999999999982</v>
      </c>
      <c r="AW50" s="20">
        <f>Tabel2425678910[[#This Row],[Verbruik heet Water liter deze maand ]]/0.15</f>
        <v>1154.6666666666656</v>
      </c>
      <c r="AX50" s="4">
        <f>Tabel2425678910[[#This Row],[Aantal consumpties heet water deze maand]]+Tabel2425678910[[#This Row],[Aantal consumpties licht bruisend water deze maand]]+Tabel2425678910[[#This Row],[aantal consumpties Bruisend water deze maand]]+Tabel2425678910[[#This Row],[Aantal consumpties gekoeld water deze maand]]+Tabel2425678910[[#This Row],[Aantal consumpties Kamertemp deze maand]]</f>
        <v>2239.9999999999991</v>
      </c>
      <c r="AY50" s="4">
        <f>Tabel2425678910[[#This Row],[Subtotaal waterbar in consumpties]]+Tabel2425678910[[#This Row],[Subtotaal koffieautomaten]]</f>
        <v>2636.9999999999991</v>
      </c>
    </row>
    <row r="51" spans="1:51" x14ac:dyDescent="0.25">
      <c r="A51" s="3" t="s">
        <v>99</v>
      </c>
      <c r="F51" s="11"/>
      <c r="H51" s="11"/>
      <c r="I51" s="11"/>
      <c r="J51" s="12"/>
      <c r="K51" s="11"/>
      <c r="L51" s="11"/>
      <c r="O51" s="11"/>
      <c r="R51" s="11"/>
      <c r="U51" s="11"/>
      <c r="X51" s="11"/>
      <c r="AA51" s="11"/>
      <c r="AC51" s="3">
        <f>Tabel2425678910[[#This Row],[Verbruik Stand Latte Macchiato Plantaardig deze maand]]+Tabel2425678910[[#This Row],[Verbruik  Cappucino Plantaardig deze maand]]+Tabel2425678910[[#This Row],[Verbruik Cappucino deze maand]]+Tabel2425678910[[#This Row],[Verbruik Hot Water deze maand]]+Tabel2425678910[[#This Row],[Verbruik Coffee Latte deze maand]]+Tabel2425678910[[#This Row],[Verbruik Latte Macchiato deze maand]]+Tabel2425678910[[#This Row],[Verbruik Espresso deze maand]]+Tabel2425678910[[#This Row],[Verbruik Coffee deze maand]]</f>
        <v>0</v>
      </c>
      <c r="AE51" s="11"/>
      <c r="AG51" s="2"/>
      <c r="AI51" s="11"/>
      <c r="AK51" s="2"/>
      <c r="AM51" s="11"/>
      <c r="AO51" s="2"/>
      <c r="AQ51" s="11"/>
      <c r="AS51" s="2"/>
      <c r="AU51" s="11"/>
      <c r="AV51">
        <f>Tabel2425678910[[#This Row],[Stand heet water liter einde maand]]-Tabel2425678910[[#This Row],[Stand heet water liter vorige maand]]</f>
        <v>0</v>
      </c>
      <c r="AW51" s="20">
        <f>Tabel2425678910[[#This Row],[Verbruik heet Water liter deze maand ]]/0.15</f>
        <v>0</v>
      </c>
      <c r="AX51" s="4"/>
      <c r="AY51" s="4">
        <f>Tabel2425678910[[#This Row],[Subtotaal waterbar in consumpties]]+Tabel2425678910[[#This Row],[Subtotaal koffieautomaten]]</f>
        <v>0</v>
      </c>
    </row>
    <row r="52" spans="1:51" x14ac:dyDescent="0.25">
      <c r="A52" t="s">
        <v>43</v>
      </c>
      <c r="B52" t="s">
        <v>100</v>
      </c>
      <c r="C52" t="s">
        <v>31</v>
      </c>
      <c r="E52" s="11">
        <v>3342</v>
      </c>
      <c r="F52" s="11">
        <v>2890</v>
      </c>
      <c r="G52" s="12">
        <f>Tabel2425678910[[#This Row],[Stand Coffee einde maand]]-Tabel2425678910[[#This Row],[Coffee vorige maand]]</f>
        <v>452</v>
      </c>
      <c r="H52" s="11">
        <v>824</v>
      </c>
      <c r="I52" s="11">
        <v>824</v>
      </c>
      <c r="J52" s="12">
        <f>Tabel2425678910[[#This Row],[Stand Espresso Einde maand]]-Tabel2425678910[[#This Row],[Espresso vorige maand]]</f>
        <v>0</v>
      </c>
      <c r="K52" s="11">
        <v>465</v>
      </c>
      <c r="L52" s="11">
        <v>411</v>
      </c>
      <c r="M52">
        <f>Tabel2425678910[[#This Row],[Stand Latte Macchiato einde maand]]-Tabel2425678910[[#This Row],[Latte Macchiato vorige maand]]</f>
        <v>54</v>
      </c>
      <c r="N52" s="11">
        <v>235</v>
      </c>
      <c r="O52" s="11">
        <v>225</v>
      </c>
      <c r="P52">
        <f>Tabel2425678910[[#This Row],[Stand Coffee Latte einde maand]]-Tabel2425678910[[#This Row],[Coffee Latte vorige maand]]</f>
        <v>10</v>
      </c>
      <c r="Q52" s="11">
        <v>8585</v>
      </c>
      <c r="R52" s="11">
        <v>7577</v>
      </c>
      <c r="S52">
        <f>Tabel2425678910[[#This Row],[Stand Hot Water einde maand]]-Tabel2425678910[[#This Row],[Hot Water vorige maand]]</f>
        <v>1008</v>
      </c>
      <c r="T52" s="11">
        <v>1061</v>
      </c>
      <c r="U52" s="11">
        <v>932</v>
      </c>
      <c r="V52">
        <f>Tabel2425678910[[#This Row],[Stand Cappucino einde maand]]-Tabel2425678910[[#This Row],[Stand Cappucino vorige maand]]</f>
        <v>129</v>
      </c>
      <c r="W52" s="11">
        <v>292</v>
      </c>
      <c r="X52" s="11">
        <v>221</v>
      </c>
      <c r="Y52">
        <f>Tabel2425678910[[#This Row],[Stand Cappucino Plantaardig einde maand]]-Tabel2425678910[[#This Row],[Stand Cappucino Plantaardig vorige maand]]</f>
        <v>71</v>
      </c>
      <c r="Z52" s="11">
        <v>100</v>
      </c>
      <c r="AA52" s="11">
        <v>90</v>
      </c>
      <c r="AB52" s="12">
        <f>Tabel2425678910[[#This Row],[Stand Latte Macchiato Plantaardig einde maand]]-Tabel2425678910[[#This Row],[Stand Latte Macchiato Plantaardig vorige maand]]</f>
        <v>10</v>
      </c>
      <c r="AC52" s="3">
        <f>Tabel2425678910[[#This Row],[Verbruik Stand Latte Macchiato Plantaardig deze maand]]+Tabel2425678910[[#This Row],[Verbruik  Cappucino Plantaardig deze maand]]+Tabel2425678910[[#This Row],[Verbruik Cappucino deze maand]]+Tabel2425678910[[#This Row],[Verbruik Hot Water deze maand]]+Tabel2425678910[[#This Row],[Verbruik Coffee Latte deze maand]]+Tabel2425678910[[#This Row],[Verbruik Latte Macchiato deze maand]]+Tabel2425678910[[#This Row],[Verbruik Espresso deze maand]]+Tabel2425678910[[#This Row],[Verbruik Coffee deze maand]]</f>
        <v>1734</v>
      </c>
      <c r="AD52" s="26"/>
      <c r="AE52" s="26"/>
      <c r="AF52" s="5"/>
      <c r="AG52" s="7"/>
      <c r="AH52" s="26"/>
      <c r="AI52" s="26"/>
      <c r="AJ52" s="5"/>
      <c r="AK52" s="7"/>
      <c r="AL52" s="26"/>
      <c r="AM52" s="26"/>
      <c r="AN52" s="5"/>
      <c r="AO52" s="7"/>
      <c r="AP52" s="26"/>
      <c r="AQ52" s="26"/>
      <c r="AR52" s="5"/>
      <c r="AS52" s="7"/>
      <c r="AT52" s="26"/>
      <c r="AU52" s="26"/>
      <c r="AV52" s="5"/>
      <c r="AW52" s="21"/>
      <c r="AX52" s="8"/>
      <c r="AY52" s="4">
        <f>Tabel2425678910[[#This Row],[Subtotaal waterbar in consumpties]]+Tabel2425678910[[#This Row],[Subtotaal koffieautomaten]]</f>
        <v>1734</v>
      </c>
    </row>
    <row r="53" spans="1:51" x14ac:dyDescent="0.25">
      <c r="A53" t="s">
        <v>45</v>
      </c>
      <c r="B53" t="s">
        <v>101</v>
      </c>
      <c r="C53" t="s">
        <v>47</v>
      </c>
      <c r="E53" s="11">
        <v>3136</v>
      </c>
      <c r="F53" s="11">
        <v>2783</v>
      </c>
      <c r="G53" s="12">
        <f>Tabel2425678910[[#This Row],[Stand Coffee einde maand]]-Tabel2425678910[[#This Row],[Coffee vorige maand]]</f>
        <v>353</v>
      </c>
      <c r="H53" s="11">
        <v>1109</v>
      </c>
      <c r="I53" s="11">
        <v>982</v>
      </c>
      <c r="J53" s="12">
        <f>Tabel2425678910[[#This Row],[Stand Espresso Einde maand]]-Tabel2425678910[[#This Row],[Espresso vorige maand]]</f>
        <v>127</v>
      </c>
      <c r="K53" s="11">
        <v>272</v>
      </c>
      <c r="L53" s="11">
        <v>240</v>
      </c>
      <c r="M53">
        <f>Tabel2425678910[[#This Row],[Stand Latte Macchiato einde maand]]-Tabel2425678910[[#This Row],[Latte Macchiato vorige maand]]</f>
        <v>32</v>
      </c>
      <c r="N53" s="11">
        <v>264</v>
      </c>
      <c r="O53" s="11">
        <v>242</v>
      </c>
      <c r="P53">
        <f>Tabel2425678910[[#This Row],[Stand Coffee Latte einde maand]]-Tabel2425678910[[#This Row],[Coffee Latte vorige maand]]</f>
        <v>22</v>
      </c>
      <c r="Q53" s="11">
        <v>1</v>
      </c>
      <c r="R53" s="11">
        <v>1</v>
      </c>
      <c r="S53">
        <f>Tabel2425678910[[#This Row],[Stand Hot Water einde maand]]-Tabel2425678910[[#This Row],[Hot Water vorige maand]]</f>
        <v>0</v>
      </c>
      <c r="T53" s="11">
        <v>1461</v>
      </c>
      <c r="U53" s="11">
        <v>1303</v>
      </c>
      <c r="V53">
        <f>Tabel2425678910[[#This Row],[Stand Cappucino einde maand]]-Tabel2425678910[[#This Row],[Stand Cappucino vorige maand]]</f>
        <v>158</v>
      </c>
      <c r="W53" s="11">
        <v>335</v>
      </c>
      <c r="X53" s="11">
        <v>312</v>
      </c>
      <c r="Y53">
        <f>Tabel2425678910[[#This Row],[Stand Cappucino Plantaardig einde maand]]-Tabel2425678910[[#This Row],[Stand Cappucino Plantaardig vorige maand]]</f>
        <v>23</v>
      </c>
      <c r="Z53" s="11">
        <v>131</v>
      </c>
      <c r="AA53" s="11">
        <v>115</v>
      </c>
      <c r="AB53" s="12">
        <f>Tabel2425678910[[#This Row],[Stand Latte Macchiato Plantaardig einde maand]]-Tabel2425678910[[#This Row],[Stand Latte Macchiato Plantaardig vorige maand]]</f>
        <v>16</v>
      </c>
      <c r="AC53" s="3">
        <f>Tabel2425678910[[#This Row],[Verbruik Stand Latte Macchiato Plantaardig deze maand]]+Tabel2425678910[[#This Row],[Verbruik  Cappucino Plantaardig deze maand]]+Tabel2425678910[[#This Row],[Verbruik Cappucino deze maand]]+Tabel2425678910[[#This Row],[Verbruik Hot Water deze maand]]+Tabel2425678910[[#This Row],[Verbruik Coffee Latte deze maand]]+Tabel2425678910[[#This Row],[Verbruik Latte Macchiato deze maand]]+Tabel2425678910[[#This Row],[Verbruik Espresso deze maand]]+Tabel2425678910[[#This Row],[Verbruik Coffee deze maand]]</f>
        <v>731</v>
      </c>
      <c r="AD53" s="11">
        <v>181.6</v>
      </c>
      <c r="AE53" s="11">
        <v>149.1</v>
      </c>
      <c r="AF53">
        <f>Tabel2425678910[[#This Row],[Stand Kamertemp liter einde maand]]-Tabel2425678910[[#This Row],[Stand Kamertemp liter vorige maand]]</f>
        <v>32.5</v>
      </c>
      <c r="AG53" s="2">
        <f>Tabel2425678910[[#This Row],[Verbruik Kamertemp liter deze maand]]/0.15</f>
        <v>216.66666666666669</v>
      </c>
      <c r="AH53" s="11">
        <v>787.8</v>
      </c>
      <c r="AI53" s="11">
        <v>696</v>
      </c>
      <c r="AJ53">
        <f>Tabel2425678910[[#This Row],[Stand Gekoeld liter einde maand]]-Tabel2425678910[[#This Row],[Stand Gekoeld liter vorige maand]]</f>
        <v>91.799999999999955</v>
      </c>
      <c r="AK53" s="2">
        <f>Tabel2425678910[[#This Row],[Verbruik Gekoeld liter deze maand]]/0.15</f>
        <v>611.99999999999977</v>
      </c>
      <c r="AL53" s="11">
        <v>1084.7</v>
      </c>
      <c r="AM53" s="11">
        <v>951</v>
      </c>
      <c r="AN53">
        <f>Tabel2425678910[[#This Row],[Stand Bruisend liter einde maand]]-Tabel2425678910[[#This Row],[Stand Bruisend liter vorige maand]]</f>
        <v>133.70000000000005</v>
      </c>
      <c r="AO53" s="2">
        <f>Tabel2425678910[[#This Row],[Verbruik Bruisend liter deze maand]]/0.15</f>
        <v>891.33333333333371</v>
      </c>
      <c r="AP53" s="11">
        <v>384.8</v>
      </c>
      <c r="AQ53" s="11">
        <v>341.8</v>
      </c>
      <c r="AR53">
        <f>Tabel2425678910[[#This Row],[Stand licht bruisend liter einde maand]]-Tabel2425678910[[#This Row],[Stand licht bruisend liter vorige maand]]</f>
        <v>43</v>
      </c>
      <c r="AS53" s="2">
        <f>Tabel2425678910[[#This Row],[Verbruik licht bruisend liter deze maand]]/0.15</f>
        <v>286.66666666666669</v>
      </c>
      <c r="AT53" s="11">
        <v>2381.8000000000002</v>
      </c>
      <c r="AU53" s="11">
        <v>2112</v>
      </c>
      <c r="AV53">
        <f>Tabel2425678910[[#This Row],[Stand heet water liter einde maand]]-Tabel2425678910[[#This Row],[Stand heet water liter vorige maand]]</f>
        <v>269.80000000000018</v>
      </c>
      <c r="AW53" s="20">
        <f>Tabel2425678910[[#This Row],[Verbruik heet Water liter deze maand ]]/0.15</f>
        <v>1798.6666666666679</v>
      </c>
      <c r="AX53" s="4">
        <f>Tabel2425678910[[#This Row],[Aantal consumpties heet water deze maand]]+Tabel2425678910[[#This Row],[Aantal consumpties licht bruisend water deze maand]]+Tabel2425678910[[#This Row],[aantal consumpties Bruisend water deze maand]]+Tabel2425678910[[#This Row],[Aantal consumpties gekoeld water deze maand]]+Tabel2425678910[[#This Row],[Aantal consumpties Kamertemp deze maand]]</f>
        <v>3805.3333333333344</v>
      </c>
      <c r="AY53" s="4">
        <f>Tabel2425678910[[#This Row],[Subtotaal waterbar in consumpties]]+Tabel2425678910[[#This Row],[Subtotaal koffieautomaten]]</f>
        <v>4536.3333333333339</v>
      </c>
    </row>
    <row r="54" spans="1:51" x14ac:dyDescent="0.25">
      <c r="A54" t="s">
        <v>48</v>
      </c>
      <c r="B54" t="s">
        <v>102</v>
      </c>
      <c r="C54" t="s">
        <v>31</v>
      </c>
      <c r="E54" s="11">
        <v>2276</v>
      </c>
      <c r="F54" s="11">
        <v>1956</v>
      </c>
      <c r="G54" s="12">
        <f>Tabel2425678910[[#This Row],[Stand Coffee einde maand]]-Tabel2425678910[[#This Row],[Coffee vorige maand]]</f>
        <v>320</v>
      </c>
      <c r="H54" s="11">
        <v>545</v>
      </c>
      <c r="I54" s="11">
        <v>388</v>
      </c>
      <c r="J54" s="12">
        <f>Tabel2425678910[[#This Row],[Stand Espresso Einde maand]]-Tabel2425678910[[#This Row],[Espresso vorige maand]]</f>
        <v>157</v>
      </c>
      <c r="K54" s="11">
        <v>91</v>
      </c>
      <c r="L54" s="11">
        <v>83</v>
      </c>
      <c r="M54">
        <f>Tabel2425678910[[#This Row],[Stand Latte Macchiato einde maand]]-Tabel2425678910[[#This Row],[Latte Macchiato vorige maand]]</f>
        <v>8</v>
      </c>
      <c r="N54" s="11">
        <v>162</v>
      </c>
      <c r="O54" s="11">
        <v>144</v>
      </c>
      <c r="P54">
        <f>Tabel2425678910[[#This Row],[Stand Coffee Latte einde maand]]-Tabel2425678910[[#This Row],[Coffee Latte vorige maand]]</f>
        <v>18</v>
      </c>
      <c r="Q54" s="11">
        <v>5203</v>
      </c>
      <c r="R54" s="11">
        <v>4509</v>
      </c>
      <c r="S54">
        <f>Tabel2425678910[[#This Row],[Stand Hot Water einde maand]]-Tabel2425678910[[#This Row],[Hot Water vorige maand]]</f>
        <v>694</v>
      </c>
      <c r="T54" s="11">
        <v>1001</v>
      </c>
      <c r="U54" s="11">
        <v>877</v>
      </c>
      <c r="V54">
        <f>Tabel2425678910[[#This Row],[Stand Cappucino einde maand]]-Tabel2425678910[[#This Row],[Stand Cappucino vorige maand]]</f>
        <v>124</v>
      </c>
      <c r="W54" s="11">
        <v>753</v>
      </c>
      <c r="X54" s="11">
        <v>708</v>
      </c>
      <c r="Y54">
        <f>Tabel2425678910[[#This Row],[Stand Cappucino Plantaardig einde maand]]-Tabel2425678910[[#This Row],[Stand Cappucino Plantaardig vorige maand]]</f>
        <v>45</v>
      </c>
      <c r="Z54" s="11">
        <v>67</v>
      </c>
      <c r="AA54" s="11">
        <v>63</v>
      </c>
      <c r="AB54" s="12">
        <f>Tabel2425678910[[#This Row],[Stand Latte Macchiato Plantaardig einde maand]]-Tabel2425678910[[#This Row],[Stand Latte Macchiato Plantaardig vorige maand]]</f>
        <v>4</v>
      </c>
      <c r="AC54" s="3">
        <f>Tabel2425678910[[#This Row],[Verbruik Stand Latte Macchiato Plantaardig deze maand]]+Tabel2425678910[[#This Row],[Verbruik  Cappucino Plantaardig deze maand]]+Tabel2425678910[[#This Row],[Verbruik Cappucino deze maand]]+Tabel2425678910[[#This Row],[Verbruik Hot Water deze maand]]+Tabel2425678910[[#This Row],[Verbruik Coffee Latte deze maand]]+Tabel2425678910[[#This Row],[Verbruik Latte Macchiato deze maand]]+Tabel2425678910[[#This Row],[Verbruik Espresso deze maand]]+Tabel2425678910[[#This Row],[Verbruik Coffee deze maand]]</f>
        <v>1370</v>
      </c>
      <c r="AD54" s="26"/>
      <c r="AE54" s="26"/>
      <c r="AF54" s="5"/>
      <c r="AG54" s="7"/>
      <c r="AH54" s="26"/>
      <c r="AI54" s="26"/>
      <c r="AJ54" s="5"/>
      <c r="AK54" s="7"/>
      <c r="AL54" s="26"/>
      <c r="AM54" s="26"/>
      <c r="AN54" s="5"/>
      <c r="AO54" s="7"/>
      <c r="AP54" s="26"/>
      <c r="AQ54" s="26"/>
      <c r="AR54" s="5"/>
      <c r="AS54" s="7"/>
      <c r="AT54" s="26"/>
      <c r="AU54" s="26"/>
      <c r="AV54" s="5"/>
      <c r="AW54" s="21"/>
      <c r="AX54" s="8"/>
      <c r="AY54" s="4">
        <f>Tabel2425678910[[#This Row],[Subtotaal waterbar in consumpties]]+Tabel2425678910[[#This Row],[Subtotaal koffieautomaten]]</f>
        <v>1370</v>
      </c>
    </row>
    <row r="55" spans="1:51" x14ac:dyDescent="0.25">
      <c r="A55" t="s">
        <v>50</v>
      </c>
      <c r="B55" t="s">
        <v>103</v>
      </c>
      <c r="C55" t="s">
        <v>47</v>
      </c>
      <c r="E55" s="11">
        <v>3573</v>
      </c>
      <c r="F55" s="11">
        <v>3210</v>
      </c>
      <c r="G55" s="12">
        <f>Tabel2425678910[[#This Row],[Stand Coffee einde maand]]-Tabel2425678910[[#This Row],[Coffee vorige maand]]</f>
        <v>363</v>
      </c>
      <c r="H55" s="11">
        <v>1677</v>
      </c>
      <c r="I55" s="11">
        <v>1598</v>
      </c>
      <c r="J55" s="12">
        <f>Tabel2425678910[[#This Row],[Stand Espresso Einde maand]]-Tabel2425678910[[#This Row],[Espresso vorige maand]]</f>
        <v>79</v>
      </c>
      <c r="K55" s="11">
        <v>169</v>
      </c>
      <c r="L55" s="11">
        <v>154</v>
      </c>
      <c r="M55">
        <f>Tabel2425678910[[#This Row],[Stand Latte Macchiato einde maand]]-Tabel2425678910[[#This Row],[Latte Macchiato vorige maand]]</f>
        <v>15</v>
      </c>
      <c r="N55" s="11">
        <v>55</v>
      </c>
      <c r="O55" s="11">
        <v>49</v>
      </c>
      <c r="P55">
        <f>Tabel2425678910[[#This Row],[Stand Coffee Latte einde maand]]-Tabel2425678910[[#This Row],[Coffee Latte vorige maand]]</f>
        <v>6</v>
      </c>
      <c r="Q55" s="11">
        <v>1</v>
      </c>
      <c r="R55" s="11">
        <v>1</v>
      </c>
      <c r="S55">
        <f>Tabel2425678910[[#This Row],[Stand Hot Water einde maand]]-Tabel2425678910[[#This Row],[Hot Water vorige maand]]</f>
        <v>0</v>
      </c>
      <c r="T55" s="11">
        <v>3526</v>
      </c>
      <c r="U55" s="11">
        <v>3131</v>
      </c>
      <c r="V55">
        <f>Tabel2425678910[[#This Row],[Stand Cappucino einde maand]]-Tabel2425678910[[#This Row],[Stand Cappucino vorige maand]]</f>
        <v>395</v>
      </c>
      <c r="W55" s="11">
        <v>292</v>
      </c>
      <c r="X55" s="11">
        <v>261</v>
      </c>
      <c r="Y55">
        <f>Tabel2425678910[[#This Row],[Stand Cappucino Plantaardig einde maand]]-Tabel2425678910[[#This Row],[Stand Cappucino Plantaardig vorige maand]]</f>
        <v>31</v>
      </c>
      <c r="Z55" s="11">
        <v>69</v>
      </c>
      <c r="AA55" s="11">
        <v>62</v>
      </c>
      <c r="AB55" s="12">
        <f>Tabel2425678910[[#This Row],[Stand Latte Macchiato Plantaardig einde maand]]-Tabel2425678910[[#This Row],[Stand Latte Macchiato Plantaardig vorige maand]]</f>
        <v>7</v>
      </c>
      <c r="AC55" s="3">
        <f>Tabel2425678910[[#This Row],[Verbruik Stand Latte Macchiato Plantaardig deze maand]]+Tabel2425678910[[#This Row],[Verbruik  Cappucino Plantaardig deze maand]]+Tabel2425678910[[#This Row],[Verbruik Cappucino deze maand]]+Tabel2425678910[[#This Row],[Verbruik Hot Water deze maand]]+Tabel2425678910[[#This Row],[Verbruik Coffee Latte deze maand]]+Tabel2425678910[[#This Row],[Verbruik Latte Macchiato deze maand]]+Tabel2425678910[[#This Row],[Verbruik Espresso deze maand]]+Tabel2425678910[[#This Row],[Verbruik Coffee deze maand]]</f>
        <v>896</v>
      </c>
      <c r="AD55" s="11">
        <v>133.69999999999999</v>
      </c>
      <c r="AE55" s="11">
        <v>122.4</v>
      </c>
      <c r="AF55">
        <f>Tabel2425678910[[#This Row],[Stand Kamertemp liter einde maand]]-Tabel2425678910[[#This Row],[Stand Kamertemp liter vorige maand]]</f>
        <v>11.299999999999983</v>
      </c>
      <c r="AG55" s="2">
        <f>Tabel2425678910[[#This Row],[Verbruik Kamertemp liter deze maand]]/0.15</f>
        <v>75.333333333333229</v>
      </c>
      <c r="AH55" s="11">
        <v>425.4</v>
      </c>
      <c r="AI55" s="11">
        <v>362.5</v>
      </c>
      <c r="AJ55">
        <f>Tabel2425678910[[#This Row],[Stand Gekoeld liter einde maand]]-Tabel2425678910[[#This Row],[Stand Gekoeld liter vorige maand]]</f>
        <v>62.899999999999977</v>
      </c>
      <c r="AK55" s="2">
        <f>Tabel2425678910[[#This Row],[Verbruik Gekoeld liter deze maand]]/0.15</f>
        <v>419.3333333333332</v>
      </c>
      <c r="AL55" s="11">
        <v>862.1</v>
      </c>
      <c r="AM55" s="11">
        <v>759.3</v>
      </c>
      <c r="AN55">
        <f>Tabel2425678910[[#This Row],[Stand Bruisend liter einde maand]]-Tabel2425678910[[#This Row],[Stand Bruisend liter vorige maand]]</f>
        <v>102.80000000000007</v>
      </c>
      <c r="AO55" s="2">
        <f>Tabel2425678910[[#This Row],[Verbruik Bruisend liter deze maand]]/0.15</f>
        <v>685.33333333333383</v>
      </c>
      <c r="AP55" s="11">
        <v>306.3</v>
      </c>
      <c r="AQ55" s="11">
        <v>272.39999999999998</v>
      </c>
      <c r="AR55">
        <f>Tabel2425678910[[#This Row],[Stand licht bruisend liter einde maand]]-Tabel2425678910[[#This Row],[Stand licht bruisend liter vorige maand]]</f>
        <v>33.900000000000034</v>
      </c>
      <c r="AS55" s="2">
        <f>Tabel2425678910[[#This Row],[Verbruik licht bruisend liter deze maand]]/0.15</f>
        <v>226.00000000000023</v>
      </c>
      <c r="AT55" s="11">
        <v>2061.1</v>
      </c>
      <c r="AU55" s="11">
        <v>1822.1</v>
      </c>
      <c r="AV55">
        <f>Tabel2425678910[[#This Row],[Stand heet water liter einde maand]]-Tabel2425678910[[#This Row],[Stand heet water liter vorige maand]]</f>
        <v>239</v>
      </c>
      <c r="AW55" s="20">
        <f>Tabel2425678910[[#This Row],[Verbruik heet Water liter deze maand ]]/0.15</f>
        <v>1593.3333333333335</v>
      </c>
      <c r="AX55" s="4">
        <f>Tabel2425678910[[#This Row],[Aantal consumpties heet water deze maand]]+Tabel2425678910[[#This Row],[Aantal consumpties licht bruisend water deze maand]]+Tabel2425678910[[#This Row],[aantal consumpties Bruisend water deze maand]]+Tabel2425678910[[#This Row],[Aantal consumpties gekoeld water deze maand]]+Tabel2425678910[[#This Row],[Aantal consumpties Kamertemp deze maand]]</f>
        <v>2999.3333333333335</v>
      </c>
      <c r="AY55" s="4">
        <f>Tabel2425678910[[#This Row],[Subtotaal waterbar in consumpties]]+Tabel2425678910[[#This Row],[Subtotaal koffieautomaten]]</f>
        <v>3895.3333333333335</v>
      </c>
    </row>
    <row r="56" spans="1:51" x14ac:dyDescent="0.25">
      <c r="A56" t="s">
        <v>52</v>
      </c>
      <c r="B56" t="s">
        <v>104</v>
      </c>
      <c r="C56" t="s">
        <v>36</v>
      </c>
      <c r="E56" s="42"/>
      <c r="F56" s="42"/>
      <c r="G56" s="43"/>
      <c r="H56" s="42"/>
      <c r="I56" s="42"/>
      <c r="J56" s="43"/>
      <c r="K56" s="42"/>
      <c r="L56" s="42"/>
      <c r="M56" s="43"/>
      <c r="N56" s="42"/>
      <c r="O56" s="42"/>
      <c r="P56" s="43"/>
      <c r="Q56" s="42"/>
      <c r="R56" s="42"/>
      <c r="S56" s="43"/>
      <c r="T56" s="42"/>
      <c r="U56" s="42"/>
      <c r="V56" s="43"/>
      <c r="W56" s="42"/>
      <c r="X56" s="42"/>
      <c r="Y56" s="43"/>
      <c r="Z56" s="42"/>
      <c r="AA56" s="42"/>
      <c r="AB56" s="43"/>
      <c r="AC56" s="43"/>
      <c r="AD56" s="11">
        <v>61.9</v>
      </c>
      <c r="AE56" s="11">
        <v>60.3</v>
      </c>
      <c r="AF56">
        <f>Tabel2425678910[[#This Row],[Stand Kamertemp liter einde maand]]-Tabel2425678910[[#This Row],[Stand Kamertemp liter vorige maand]]</f>
        <v>1.6000000000000014</v>
      </c>
      <c r="AG56" s="2">
        <f>Tabel2425678910[[#This Row],[Verbruik Kamertemp liter deze maand]]/0.15</f>
        <v>10.666666666666677</v>
      </c>
      <c r="AH56" s="11">
        <v>488.4</v>
      </c>
      <c r="AI56" s="11">
        <v>419</v>
      </c>
      <c r="AJ56">
        <f>Tabel2425678910[[#This Row],[Stand Gekoeld liter einde maand]]-Tabel2425678910[[#This Row],[Stand Gekoeld liter vorige maand]]</f>
        <v>69.399999999999977</v>
      </c>
      <c r="AK56" s="2">
        <f>Tabel2425678910[[#This Row],[Verbruik Gekoeld liter deze maand]]/0.15</f>
        <v>462.66666666666652</v>
      </c>
      <c r="AL56" s="11">
        <v>564.20000000000005</v>
      </c>
      <c r="AM56" s="11">
        <v>492.4</v>
      </c>
      <c r="AN56">
        <f>Tabel2425678910[[#This Row],[Stand Bruisend liter einde maand]]-Tabel2425678910[[#This Row],[Stand Bruisend liter vorige maand]]</f>
        <v>71.800000000000068</v>
      </c>
      <c r="AO56" s="2">
        <f>Tabel2425678910[[#This Row],[Verbruik Bruisend liter deze maand]]/0.15</f>
        <v>478.66666666666714</v>
      </c>
      <c r="AP56" s="11">
        <v>524.9</v>
      </c>
      <c r="AQ56" s="11">
        <v>469.9</v>
      </c>
      <c r="AR56">
        <f>Tabel2425678910[[#This Row],[Stand licht bruisend liter einde maand]]-Tabel2425678910[[#This Row],[Stand licht bruisend liter vorige maand]]</f>
        <v>55</v>
      </c>
      <c r="AS56" s="2">
        <f>Tabel2425678910[[#This Row],[Verbruik licht bruisend liter deze maand]]/0.15</f>
        <v>366.66666666666669</v>
      </c>
      <c r="AT56" s="11">
        <v>2721.1</v>
      </c>
      <c r="AU56" s="11">
        <v>2467.3000000000002</v>
      </c>
      <c r="AV56">
        <f>Tabel2425678910[[#This Row],[Stand heet water liter einde maand]]-Tabel2425678910[[#This Row],[Stand heet water liter vorige maand]]</f>
        <v>253.79999999999973</v>
      </c>
      <c r="AW56" s="20">
        <f>Tabel2425678910[[#This Row],[Verbruik heet Water liter deze maand ]]/0.15</f>
        <v>1691.9999999999982</v>
      </c>
      <c r="AX56" s="4">
        <f>Tabel2425678910[[#This Row],[Aantal consumpties heet water deze maand]]+Tabel2425678910[[#This Row],[Aantal consumpties licht bruisend water deze maand]]+Tabel2425678910[[#This Row],[aantal consumpties Bruisend water deze maand]]+Tabel2425678910[[#This Row],[Aantal consumpties gekoeld water deze maand]]+Tabel2425678910[[#This Row],[Aantal consumpties Kamertemp deze maand]]</f>
        <v>3010.6666666666647</v>
      </c>
      <c r="AY56" s="4">
        <f>Tabel2425678910[[#This Row],[Subtotaal waterbar in consumpties]]+Tabel2425678910[[#This Row],[Subtotaal koffieautomaten]]</f>
        <v>3010.6666666666647</v>
      </c>
    </row>
    <row r="57" spans="1:51" x14ac:dyDescent="0.25">
      <c r="A57" t="s">
        <v>54</v>
      </c>
      <c r="B57" t="s">
        <v>105</v>
      </c>
      <c r="C57" t="s">
        <v>31</v>
      </c>
      <c r="E57" s="11">
        <v>2663</v>
      </c>
      <c r="F57" s="11">
        <v>2395</v>
      </c>
      <c r="G57" s="12">
        <f>Tabel2425678910[[#This Row],[Stand Coffee einde maand]]-Tabel2425678910[[#This Row],[Coffee vorige maand]]</f>
        <v>268</v>
      </c>
      <c r="H57" s="11">
        <v>1497</v>
      </c>
      <c r="I57" s="11">
        <v>1333</v>
      </c>
      <c r="J57" s="12">
        <f>Tabel2425678910[[#This Row],[Stand Espresso Einde maand]]-Tabel2425678910[[#This Row],[Espresso vorige maand]]</f>
        <v>164</v>
      </c>
      <c r="K57" s="11">
        <v>955</v>
      </c>
      <c r="L57" s="11">
        <v>757</v>
      </c>
      <c r="M57">
        <f>Tabel2425678910[[#This Row],[Stand Latte Macchiato einde maand]]-Tabel2425678910[[#This Row],[Latte Macchiato vorige maand]]</f>
        <v>198</v>
      </c>
      <c r="N57" s="11">
        <v>109</v>
      </c>
      <c r="O57" s="11">
        <v>108</v>
      </c>
      <c r="P57">
        <f>Tabel2425678910[[#This Row],[Stand Coffee Latte einde maand]]-Tabel2425678910[[#This Row],[Coffee Latte vorige maand]]</f>
        <v>1</v>
      </c>
      <c r="Q57" s="11">
        <v>9254</v>
      </c>
      <c r="R57" s="11">
        <v>8123</v>
      </c>
      <c r="S57">
        <f>Tabel2425678910[[#This Row],[Stand Hot Water einde maand]]-Tabel2425678910[[#This Row],[Hot Water vorige maand]]</f>
        <v>1131</v>
      </c>
      <c r="T57" s="11">
        <v>2280</v>
      </c>
      <c r="U57" s="11">
        <v>2032</v>
      </c>
      <c r="V57">
        <f>Tabel2425678910[[#This Row],[Stand Cappucino einde maand]]-Tabel2425678910[[#This Row],[Stand Cappucino vorige maand]]</f>
        <v>248</v>
      </c>
      <c r="W57" s="11">
        <v>484</v>
      </c>
      <c r="X57" s="11">
        <v>451</v>
      </c>
      <c r="Y57">
        <f>Tabel2425678910[[#This Row],[Stand Cappucino Plantaardig einde maand]]-Tabel2425678910[[#This Row],[Stand Cappucino Plantaardig vorige maand]]</f>
        <v>33</v>
      </c>
      <c r="Z57" s="11">
        <v>51</v>
      </c>
      <c r="AA57" s="11">
        <v>49</v>
      </c>
      <c r="AB57" s="12">
        <f>Tabel2425678910[[#This Row],[Stand Latte Macchiato Plantaardig einde maand]]-Tabel2425678910[[#This Row],[Stand Latte Macchiato Plantaardig vorige maand]]</f>
        <v>2</v>
      </c>
      <c r="AC57" s="3">
        <f>Tabel2425678910[[#This Row],[Verbruik Stand Latte Macchiato Plantaardig deze maand]]+Tabel2425678910[[#This Row],[Verbruik  Cappucino Plantaardig deze maand]]+Tabel2425678910[[#This Row],[Verbruik Cappucino deze maand]]+Tabel2425678910[[#This Row],[Verbruik Hot Water deze maand]]+Tabel2425678910[[#This Row],[Verbruik Coffee Latte deze maand]]+Tabel2425678910[[#This Row],[Verbruik Latte Macchiato deze maand]]+Tabel2425678910[[#This Row],[Verbruik Espresso deze maand]]+Tabel2425678910[[#This Row],[Verbruik Coffee deze maand]]</f>
        <v>2045</v>
      </c>
      <c r="AD57" s="26"/>
      <c r="AE57" s="26"/>
      <c r="AF57" s="5"/>
      <c r="AG57" s="7"/>
      <c r="AH57" s="26"/>
      <c r="AI57" s="26"/>
      <c r="AJ57" s="5"/>
      <c r="AK57" s="7"/>
      <c r="AL57" s="26"/>
      <c r="AM57" s="26"/>
      <c r="AN57" s="5"/>
      <c r="AO57" s="7"/>
      <c r="AP57" s="26"/>
      <c r="AQ57" s="26"/>
      <c r="AR57" s="5"/>
      <c r="AS57" s="7"/>
      <c r="AT57" s="26"/>
      <c r="AU57" s="26"/>
      <c r="AV57" s="5"/>
      <c r="AW57" s="21"/>
      <c r="AX57" s="8"/>
      <c r="AY57" s="4">
        <f>Tabel2425678910[[#This Row],[Subtotaal waterbar in consumpties]]+Tabel2425678910[[#This Row],[Subtotaal koffieautomaten]]</f>
        <v>2045</v>
      </c>
    </row>
    <row r="58" spans="1:51" x14ac:dyDescent="0.25">
      <c r="A58" t="s">
        <v>56</v>
      </c>
      <c r="B58" t="s">
        <v>106</v>
      </c>
      <c r="C58" t="s">
        <v>47</v>
      </c>
      <c r="E58" s="11">
        <v>3824</v>
      </c>
      <c r="F58" s="11">
        <v>3331</v>
      </c>
      <c r="G58" s="12">
        <f>Tabel2425678910[[#This Row],[Stand Coffee einde maand]]-Tabel2425678910[[#This Row],[Coffee vorige maand]]</f>
        <v>493</v>
      </c>
      <c r="H58" s="11">
        <v>1072</v>
      </c>
      <c r="I58" s="11">
        <v>943</v>
      </c>
      <c r="J58" s="12">
        <f>Tabel2425678910[[#This Row],[Stand Espresso Einde maand]]-Tabel2425678910[[#This Row],[Espresso vorige maand]]</f>
        <v>129</v>
      </c>
      <c r="K58" s="11">
        <v>1251</v>
      </c>
      <c r="L58" s="11">
        <v>1138</v>
      </c>
      <c r="M58">
        <f>Tabel2425678910[[#This Row],[Stand Latte Macchiato einde maand]]-Tabel2425678910[[#This Row],[Latte Macchiato vorige maand]]</f>
        <v>113</v>
      </c>
      <c r="N58" s="11">
        <v>106</v>
      </c>
      <c r="O58" s="11">
        <v>102</v>
      </c>
      <c r="P58">
        <f>Tabel2425678910[[#This Row],[Stand Coffee Latte einde maand]]-Tabel2425678910[[#This Row],[Coffee Latte vorige maand]]</f>
        <v>4</v>
      </c>
      <c r="Q58" s="11">
        <v>1</v>
      </c>
      <c r="R58" s="11">
        <v>1</v>
      </c>
      <c r="S58">
        <f>Tabel2425678910[[#This Row],[Stand Hot Water einde maand]]-Tabel2425678910[[#This Row],[Hot Water vorige maand]]</f>
        <v>0</v>
      </c>
      <c r="T58" s="11">
        <v>2127</v>
      </c>
      <c r="U58" s="11">
        <v>1910</v>
      </c>
      <c r="V58">
        <f>Tabel2425678910[[#This Row],[Stand Cappucino einde maand]]-Tabel2425678910[[#This Row],[Stand Cappucino vorige maand]]</f>
        <v>217</v>
      </c>
      <c r="W58" s="11">
        <v>629</v>
      </c>
      <c r="X58" s="11">
        <v>591</v>
      </c>
      <c r="Y58">
        <f>Tabel2425678910[[#This Row],[Stand Cappucino Plantaardig einde maand]]-Tabel2425678910[[#This Row],[Stand Cappucino Plantaardig vorige maand]]</f>
        <v>38</v>
      </c>
      <c r="Z58" s="11">
        <v>72</v>
      </c>
      <c r="AA58" s="11">
        <v>71</v>
      </c>
      <c r="AB58" s="12">
        <f>Tabel2425678910[[#This Row],[Stand Latte Macchiato Plantaardig einde maand]]-Tabel2425678910[[#This Row],[Stand Latte Macchiato Plantaardig vorige maand]]</f>
        <v>1</v>
      </c>
      <c r="AC58" s="3">
        <f>Tabel2425678910[[#This Row],[Verbruik Stand Latte Macchiato Plantaardig deze maand]]+Tabel2425678910[[#This Row],[Verbruik  Cappucino Plantaardig deze maand]]+Tabel2425678910[[#This Row],[Verbruik Cappucino deze maand]]+Tabel2425678910[[#This Row],[Verbruik Hot Water deze maand]]+Tabel2425678910[[#This Row],[Verbruik Coffee Latte deze maand]]+Tabel2425678910[[#This Row],[Verbruik Latte Macchiato deze maand]]+Tabel2425678910[[#This Row],[Verbruik Espresso deze maand]]+Tabel2425678910[[#This Row],[Verbruik Coffee deze maand]]</f>
        <v>995</v>
      </c>
      <c r="AD58" s="11">
        <v>80.599999999999994</v>
      </c>
      <c r="AE58" s="11">
        <v>64.7</v>
      </c>
      <c r="AF58">
        <f>Tabel2425678910[[#This Row],[Stand Kamertemp liter einde maand]]-Tabel2425678910[[#This Row],[Stand Kamertemp liter vorige maand]]</f>
        <v>15.899999999999991</v>
      </c>
      <c r="AG58" s="2">
        <f>Tabel2425678910[[#This Row],[Verbruik Kamertemp liter deze maand]]/0.15</f>
        <v>105.99999999999994</v>
      </c>
      <c r="AH58" s="11">
        <v>750.8</v>
      </c>
      <c r="AI58" s="11">
        <v>627.9</v>
      </c>
      <c r="AJ58">
        <f>Tabel2425678910[[#This Row],[Stand Gekoeld liter einde maand]]-Tabel2425678910[[#This Row],[Stand Gekoeld liter vorige maand]]</f>
        <v>122.89999999999998</v>
      </c>
      <c r="AK58" s="2">
        <f>Tabel2425678910[[#This Row],[Verbruik Gekoeld liter deze maand]]/0.15</f>
        <v>819.33333333333326</v>
      </c>
      <c r="AL58" s="11">
        <v>701.5</v>
      </c>
      <c r="AM58" s="11">
        <v>610.9</v>
      </c>
      <c r="AN58">
        <f>Tabel2425678910[[#This Row],[Stand Bruisend liter einde maand]]-Tabel2425678910[[#This Row],[Stand Bruisend liter vorige maand]]</f>
        <v>90.600000000000023</v>
      </c>
      <c r="AO58" s="2">
        <f>Tabel2425678910[[#This Row],[Verbruik Bruisend liter deze maand]]/0.15</f>
        <v>604.00000000000023</v>
      </c>
      <c r="AP58" s="11">
        <v>369.7</v>
      </c>
      <c r="AQ58" s="11">
        <v>307.8</v>
      </c>
      <c r="AR58">
        <f>Tabel2425678910[[#This Row],[Stand licht bruisend liter einde maand]]-Tabel2425678910[[#This Row],[Stand licht bruisend liter vorige maand]]</f>
        <v>61.899999999999977</v>
      </c>
      <c r="AS58" s="2">
        <f>Tabel2425678910[[#This Row],[Verbruik licht bruisend liter deze maand]]/0.15</f>
        <v>412.66666666666652</v>
      </c>
      <c r="AT58" s="11">
        <v>2707.6</v>
      </c>
      <c r="AU58" s="11">
        <v>2434.4</v>
      </c>
      <c r="AV58">
        <f>Tabel2425678910[[#This Row],[Stand heet water liter einde maand]]-Tabel2425678910[[#This Row],[Stand heet water liter vorige maand]]</f>
        <v>273.19999999999982</v>
      </c>
      <c r="AW58" s="20">
        <f>Tabel2425678910[[#This Row],[Verbruik heet Water liter deze maand ]]/0.15</f>
        <v>1821.3333333333321</v>
      </c>
      <c r="AX58" s="4">
        <f>Tabel2425678910[[#This Row],[Aantal consumpties heet water deze maand]]+Tabel2425678910[[#This Row],[Aantal consumpties licht bruisend water deze maand]]+Tabel2425678910[[#This Row],[aantal consumpties Bruisend water deze maand]]+Tabel2425678910[[#This Row],[Aantal consumpties gekoeld water deze maand]]+Tabel2425678910[[#This Row],[Aantal consumpties Kamertemp deze maand]]</f>
        <v>3763.3333333333321</v>
      </c>
      <c r="AY58" s="4">
        <f>Tabel2425678910[[#This Row],[Subtotaal waterbar in consumpties]]+Tabel2425678910[[#This Row],[Subtotaal koffieautomaten]]</f>
        <v>4758.3333333333321</v>
      </c>
    </row>
    <row r="59" spans="1:51" x14ac:dyDescent="0.25">
      <c r="A59" t="s">
        <v>58</v>
      </c>
      <c r="B59" t="s">
        <v>107</v>
      </c>
      <c r="C59" t="s">
        <v>31</v>
      </c>
      <c r="E59" s="11">
        <v>2626</v>
      </c>
      <c r="F59" s="11">
        <v>2349</v>
      </c>
      <c r="G59" s="12">
        <f>Tabel2425678910[[#This Row],[Stand Coffee einde maand]]-Tabel2425678910[[#This Row],[Coffee vorige maand]]</f>
        <v>277</v>
      </c>
      <c r="H59" s="11">
        <v>616</v>
      </c>
      <c r="I59" s="11">
        <v>515</v>
      </c>
      <c r="J59" s="12">
        <f>Tabel2425678910[[#This Row],[Stand Espresso Einde maand]]-Tabel2425678910[[#This Row],[Espresso vorige maand]]</f>
        <v>101</v>
      </c>
      <c r="K59" s="11">
        <v>227</v>
      </c>
      <c r="L59" s="11">
        <v>165</v>
      </c>
      <c r="M59">
        <f>Tabel2425678910[[#This Row],[Stand Latte Macchiato einde maand]]-Tabel2425678910[[#This Row],[Latte Macchiato vorige maand]]</f>
        <v>62</v>
      </c>
      <c r="N59" s="11">
        <v>113</v>
      </c>
      <c r="O59" s="11">
        <v>104</v>
      </c>
      <c r="P59">
        <f>Tabel2425678910[[#This Row],[Stand Coffee Latte einde maand]]-Tabel2425678910[[#This Row],[Coffee Latte vorige maand]]</f>
        <v>9</v>
      </c>
      <c r="Q59" s="11">
        <v>6244</v>
      </c>
      <c r="R59" s="11">
        <v>5546</v>
      </c>
      <c r="S59">
        <f>Tabel2425678910[[#This Row],[Stand Hot Water einde maand]]-Tabel2425678910[[#This Row],[Hot Water vorige maand]]</f>
        <v>698</v>
      </c>
      <c r="T59" s="11">
        <v>891</v>
      </c>
      <c r="U59" s="11">
        <v>766</v>
      </c>
      <c r="V59">
        <f>Tabel2425678910[[#This Row],[Stand Cappucino einde maand]]-Tabel2425678910[[#This Row],[Stand Cappucino vorige maand]]</f>
        <v>125</v>
      </c>
      <c r="W59" s="11">
        <v>613</v>
      </c>
      <c r="X59" s="11">
        <v>529</v>
      </c>
      <c r="Y59">
        <f>Tabel2425678910[[#This Row],[Stand Cappucino Plantaardig einde maand]]-Tabel2425678910[[#This Row],[Stand Cappucino Plantaardig vorige maand]]</f>
        <v>84</v>
      </c>
      <c r="Z59" s="11">
        <v>303</v>
      </c>
      <c r="AA59" s="11">
        <v>299</v>
      </c>
      <c r="AB59" s="12">
        <f>Tabel2425678910[[#This Row],[Stand Latte Macchiato Plantaardig einde maand]]-Tabel2425678910[[#This Row],[Stand Latte Macchiato Plantaardig vorige maand]]</f>
        <v>4</v>
      </c>
      <c r="AC59" s="3">
        <f>Tabel2425678910[[#This Row],[Verbruik Stand Latte Macchiato Plantaardig deze maand]]+Tabel2425678910[[#This Row],[Verbruik  Cappucino Plantaardig deze maand]]+Tabel2425678910[[#This Row],[Verbruik Cappucino deze maand]]+Tabel2425678910[[#This Row],[Verbruik Hot Water deze maand]]+Tabel2425678910[[#This Row],[Verbruik Coffee Latte deze maand]]+Tabel2425678910[[#This Row],[Verbruik Latte Macchiato deze maand]]+Tabel2425678910[[#This Row],[Verbruik Espresso deze maand]]+Tabel2425678910[[#This Row],[Verbruik Coffee deze maand]]</f>
        <v>1360</v>
      </c>
      <c r="AD59" s="26" t="s">
        <v>159</v>
      </c>
      <c r="AE59" s="26" t="s">
        <v>159</v>
      </c>
      <c r="AF59" s="5"/>
      <c r="AG59" s="7"/>
      <c r="AH59" s="26"/>
      <c r="AI59" s="26"/>
      <c r="AJ59" s="5"/>
      <c r="AK59" s="7"/>
      <c r="AL59" s="26"/>
      <c r="AM59" s="26"/>
      <c r="AN59" s="5"/>
      <c r="AO59" s="7"/>
      <c r="AP59" s="26"/>
      <c r="AQ59" s="26"/>
      <c r="AR59" s="5"/>
      <c r="AS59" s="7"/>
      <c r="AT59" s="26"/>
      <c r="AU59" s="26"/>
      <c r="AV59" s="5"/>
      <c r="AW59" s="21"/>
      <c r="AX59" s="8"/>
      <c r="AY59" s="4">
        <f>Tabel2425678910[[#This Row],[Subtotaal waterbar in consumpties]]+Tabel2425678910[[#This Row],[Subtotaal koffieautomaten]]</f>
        <v>1360</v>
      </c>
    </row>
    <row r="60" spans="1:51" x14ac:dyDescent="0.25">
      <c r="A60" t="s">
        <v>60</v>
      </c>
      <c r="B60" t="s">
        <v>108</v>
      </c>
      <c r="C60" t="s">
        <v>36</v>
      </c>
      <c r="E60" s="42"/>
      <c r="F60" s="42"/>
      <c r="G60" s="43"/>
      <c r="H60" s="42"/>
      <c r="I60" s="42"/>
      <c r="J60" s="43"/>
      <c r="K60" s="42"/>
      <c r="L60" s="42"/>
      <c r="M60" s="43"/>
      <c r="N60" s="42"/>
      <c r="O60" s="42"/>
      <c r="P60" s="43"/>
      <c r="Q60" s="42"/>
      <c r="R60" s="42"/>
      <c r="S60" s="43"/>
      <c r="T60" s="42"/>
      <c r="U60" s="42"/>
      <c r="V60" s="43"/>
      <c r="W60" s="42"/>
      <c r="X60" s="42"/>
      <c r="Y60" s="43"/>
      <c r="Z60" s="42"/>
      <c r="AA60" s="42"/>
      <c r="AB60" s="43"/>
      <c r="AC60" s="43"/>
      <c r="AD60" s="11">
        <v>110.4</v>
      </c>
      <c r="AE60" s="11">
        <v>104.4</v>
      </c>
      <c r="AF60">
        <f>Tabel2425678910[[#This Row],[Stand Kamertemp liter einde maand]]-Tabel2425678910[[#This Row],[Stand Kamertemp liter vorige maand]]</f>
        <v>6</v>
      </c>
      <c r="AG60" s="2">
        <f>Tabel2425678910[[#This Row],[Verbruik Kamertemp liter deze maand]]/0.15</f>
        <v>40</v>
      </c>
      <c r="AH60" s="11">
        <v>479.1</v>
      </c>
      <c r="AI60" s="11">
        <v>432.2</v>
      </c>
      <c r="AJ60">
        <f>Tabel2425678910[[#This Row],[Stand Gekoeld liter einde maand]]-Tabel2425678910[[#This Row],[Stand Gekoeld liter vorige maand]]</f>
        <v>46.900000000000034</v>
      </c>
      <c r="AK60" s="2">
        <f>Tabel2425678910[[#This Row],[Verbruik Gekoeld liter deze maand]]/0.15</f>
        <v>312.66666666666691</v>
      </c>
      <c r="AL60" s="11">
        <v>339.9</v>
      </c>
      <c r="AM60" s="11">
        <v>301.8</v>
      </c>
      <c r="AN60">
        <f>Tabel2425678910[[#This Row],[Stand Bruisend liter einde maand]]-Tabel2425678910[[#This Row],[Stand Bruisend liter vorige maand]]</f>
        <v>38.099999999999966</v>
      </c>
      <c r="AO60" s="2">
        <f>Tabel2425678910[[#This Row],[Verbruik Bruisend liter deze maand]]/0.15</f>
        <v>253.99999999999977</v>
      </c>
      <c r="AP60" s="11">
        <v>355.9</v>
      </c>
      <c r="AQ60" s="11">
        <v>275.89999999999998</v>
      </c>
      <c r="AR60">
        <f>Tabel2425678910[[#This Row],[Stand licht bruisend liter einde maand]]-Tabel2425678910[[#This Row],[Stand licht bruisend liter vorige maand]]</f>
        <v>80</v>
      </c>
      <c r="AS60" s="2">
        <f>Tabel2425678910[[#This Row],[Verbruik licht bruisend liter deze maand]]/0.15</f>
        <v>533.33333333333337</v>
      </c>
      <c r="AT60" s="11">
        <v>1208.2</v>
      </c>
      <c r="AU60" s="11">
        <v>1121.5999999999999</v>
      </c>
      <c r="AV60">
        <f>Tabel2425678910[[#This Row],[Stand heet water liter einde maand]]-Tabel2425678910[[#This Row],[Stand heet water liter vorige maand]]</f>
        <v>86.600000000000136</v>
      </c>
      <c r="AW60" s="20">
        <f>Tabel2425678910[[#This Row],[Verbruik heet Water liter deze maand ]]/0.15</f>
        <v>577.33333333333428</v>
      </c>
      <c r="AX60" s="4">
        <f>Tabel2425678910[[#This Row],[Aantal consumpties heet water deze maand]]+Tabel2425678910[[#This Row],[Aantal consumpties licht bruisend water deze maand]]+Tabel2425678910[[#This Row],[aantal consumpties Bruisend water deze maand]]+Tabel2425678910[[#This Row],[Aantal consumpties gekoeld water deze maand]]+Tabel2425678910[[#This Row],[Aantal consumpties Kamertemp deze maand]]</f>
        <v>1717.3333333333344</v>
      </c>
      <c r="AY60" s="4">
        <f>Tabel2425678910[[#This Row],[Subtotaal waterbar in consumpties]]+Tabel2425678910[[#This Row],[Subtotaal koffieautomaten]]</f>
        <v>1717.3333333333344</v>
      </c>
    </row>
    <row r="61" spans="1:51" x14ac:dyDescent="0.25">
      <c r="A61" s="3" t="s">
        <v>109</v>
      </c>
      <c r="F61" s="11"/>
      <c r="H61" s="11"/>
      <c r="I61" s="11"/>
      <c r="J61" s="12"/>
      <c r="K61" s="11"/>
      <c r="L61" s="11"/>
      <c r="O61" s="11"/>
      <c r="R61" s="11"/>
      <c r="U61" s="11"/>
      <c r="X61" s="11"/>
      <c r="AA61" s="11"/>
      <c r="AC61" s="3">
        <f>Tabel2425678910[[#This Row],[Verbruik Stand Latte Macchiato Plantaardig deze maand]]+Tabel2425678910[[#This Row],[Verbruik  Cappucino Plantaardig deze maand]]+Tabel2425678910[[#This Row],[Verbruik Cappucino deze maand]]+Tabel2425678910[[#This Row],[Verbruik Hot Water deze maand]]+Tabel2425678910[[#This Row],[Verbruik Coffee Latte deze maand]]+Tabel2425678910[[#This Row],[Verbruik Latte Macchiato deze maand]]+Tabel2425678910[[#This Row],[Verbruik Espresso deze maand]]+Tabel2425678910[[#This Row],[Verbruik Coffee deze maand]]</f>
        <v>0</v>
      </c>
      <c r="AD61" s="25"/>
      <c r="AE61" s="25"/>
      <c r="AG61" s="2"/>
      <c r="AH61" s="25"/>
      <c r="AI61" s="25"/>
      <c r="AK61" s="2"/>
      <c r="AL61" s="25"/>
      <c r="AM61" s="25"/>
      <c r="AO61" s="2"/>
      <c r="AP61" s="25"/>
      <c r="AQ61" s="25"/>
      <c r="AS61" s="2"/>
      <c r="AT61" s="25"/>
      <c r="AU61" s="25"/>
      <c r="AW61" s="20"/>
      <c r="AX61" s="4"/>
      <c r="AY61" s="4">
        <f>Tabel2425678910[[#This Row],[Subtotaal waterbar in consumpties]]+Tabel2425678910[[#This Row],[Subtotaal koffieautomaten]]</f>
        <v>0</v>
      </c>
    </row>
    <row r="62" spans="1:51" x14ac:dyDescent="0.25">
      <c r="A62">
        <v>1</v>
      </c>
      <c r="B62" t="s">
        <v>110</v>
      </c>
      <c r="C62" t="s">
        <v>31</v>
      </c>
      <c r="E62" s="11">
        <v>4116</v>
      </c>
      <c r="F62" s="11">
        <v>3571</v>
      </c>
      <c r="G62" s="12">
        <f>Tabel2425678910[[#This Row],[Stand Coffee einde maand]]-Tabel2425678910[[#This Row],[Coffee vorige maand]]</f>
        <v>545</v>
      </c>
      <c r="H62" s="11">
        <v>390</v>
      </c>
      <c r="I62" s="11">
        <v>315</v>
      </c>
      <c r="J62" s="12">
        <f>Tabel2425678910[[#This Row],[Stand Espresso Einde maand]]-Tabel2425678910[[#This Row],[Espresso vorige maand]]</f>
        <v>75</v>
      </c>
      <c r="K62" s="11">
        <v>517</v>
      </c>
      <c r="L62" s="11">
        <v>423</v>
      </c>
      <c r="M62">
        <f>Tabel2425678910[[#This Row],[Stand Latte Macchiato einde maand]]-Tabel2425678910[[#This Row],[Latte Macchiato vorige maand]]</f>
        <v>94</v>
      </c>
      <c r="N62" s="11">
        <v>366</v>
      </c>
      <c r="O62" s="11">
        <v>281</v>
      </c>
      <c r="P62">
        <f>Tabel2425678910[[#This Row],[Stand Coffee Latte einde maand]]-Tabel2425678910[[#This Row],[Coffee Latte vorige maand]]</f>
        <v>85</v>
      </c>
      <c r="Q62" s="11">
        <v>2315</v>
      </c>
      <c r="R62" s="11">
        <v>1983</v>
      </c>
      <c r="S62">
        <f>Tabel2425678910[[#This Row],[Stand Hot Water einde maand]]-Tabel2425678910[[#This Row],[Hot Water vorige maand]]</f>
        <v>332</v>
      </c>
      <c r="T62" s="11">
        <v>1130</v>
      </c>
      <c r="U62" s="11">
        <v>981</v>
      </c>
      <c r="V62">
        <f>Tabel2425678910[[#This Row],[Stand Cappucino einde maand]]-Tabel2425678910[[#This Row],[Stand Cappucino vorige maand]]</f>
        <v>149</v>
      </c>
      <c r="W62" s="11">
        <v>27</v>
      </c>
      <c r="X62" s="11">
        <v>25</v>
      </c>
      <c r="Y62">
        <f>Tabel2425678910[[#This Row],[Stand Cappucino Plantaardig einde maand]]-Tabel2425678910[[#This Row],[Stand Cappucino Plantaardig vorige maand]]</f>
        <v>2</v>
      </c>
      <c r="Z62" s="11">
        <v>152</v>
      </c>
      <c r="AA62" s="11">
        <v>133</v>
      </c>
      <c r="AB62" s="12">
        <f>Tabel2425678910[[#This Row],[Stand Latte Macchiato Plantaardig einde maand]]-Tabel2425678910[[#This Row],[Stand Latte Macchiato Plantaardig vorige maand]]</f>
        <v>19</v>
      </c>
      <c r="AC62" s="3">
        <f>Tabel2425678910[[#This Row],[Verbruik Stand Latte Macchiato Plantaardig deze maand]]+Tabel2425678910[[#This Row],[Verbruik  Cappucino Plantaardig deze maand]]+Tabel2425678910[[#This Row],[Verbruik Cappucino deze maand]]+Tabel2425678910[[#This Row],[Verbruik Hot Water deze maand]]+Tabel2425678910[[#This Row],[Verbruik Coffee Latte deze maand]]+Tabel2425678910[[#This Row],[Verbruik Latte Macchiato deze maand]]+Tabel2425678910[[#This Row],[Verbruik Espresso deze maand]]+Tabel2425678910[[#This Row],[Verbruik Coffee deze maand]]</f>
        <v>1301</v>
      </c>
      <c r="AD62" s="26"/>
      <c r="AE62" s="26"/>
      <c r="AF62" s="5"/>
      <c r="AG62" s="5"/>
      <c r="AH62" s="26"/>
      <c r="AI62" s="26"/>
      <c r="AJ62" s="5"/>
      <c r="AK62" s="5"/>
      <c r="AL62" s="26"/>
      <c r="AM62" s="26"/>
      <c r="AN62" s="5"/>
      <c r="AO62" s="5"/>
      <c r="AP62" s="26"/>
      <c r="AQ62" s="26"/>
      <c r="AR62" s="5"/>
      <c r="AS62" s="5"/>
      <c r="AT62" s="26"/>
      <c r="AU62" s="26"/>
      <c r="AV62" s="5"/>
      <c r="AW62" s="21"/>
      <c r="AX62" s="8"/>
      <c r="AY62" s="4">
        <f>Tabel2425678910[[#This Row],[Subtotaal waterbar in consumpties]]+Tabel2425678910[[#This Row],[Subtotaal koffieautomaten]]</f>
        <v>1301</v>
      </c>
    </row>
    <row r="63" spans="1:51" x14ac:dyDescent="0.25">
      <c r="A63">
        <v>1</v>
      </c>
      <c r="B63" t="s">
        <v>111</v>
      </c>
      <c r="C63" t="s">
        <v>31</v>
      </c>
      <c r="E63" s="11">
        <v>4059</v>
      </c>
      <c r="F63" s="11">
        <v>3392</v>
      </c>
      <c r="G63" s="12">
        <f>Tabel2425678910[[#This Row],[Stand Coffee einde maand]]-Tabel2425678910[[#This Row],[Coffee vorige maand]]</f>
        <v>667</v>
      </c>
      <c r="H63" s="11">
        <v>218</v>
      </c>
      <c r="I63" s="11">
        <v>203</v>
      </c>
      <c r="J63" s="12">
        <f>Tabel2425678910[[#This Row],[Stand Espresso Einde maand]]-Tabel2425678910[[#This Row],[Espresso vorige maand]]</f>
        <v>15</v>
      </c>
      <c r="K63" s="11">
        <v>960</v>
      </c>
      <c r="L63" s="11">
        <v>813</v>
      </c>
      <c r="M63">
        <f>Tabel2425678910[[#This Row],[Stand Latte Macchiato einde maand]]-Tabel2425678910[[#This Row],[Latte Macchiato vorige maand]]</f>
        <v>147</v>
      </c>
      <c r="N63" s="11">
        <v>727</v>
      </c>
      <c r="O63" s="11">
        <v>559</v>
      </c>
      <c r="P63">
        <f>Tabel2425678910[[#This Row],[Stand Coffee Latte einde maand]]-Tabel2425678910[[#This Row],[Coffee Latte vorige maand]]</f>
        <v>168</v>
      </c>
      <c r="Q63" s="11">
        <v>3089</v>
      </c>
      <c r="R63" s="11">
        <v>2625</v>
      </c>
      <c r="S63">
        <f>Tabel2425678910[[#This Row],[Stand Hot Water einde maand]]-Tabel2425678910[[#This Row],[Hot Water vorige maand]]</f>
        <v>464</v>
      </c>
      <c r="T63" s="11">
        <v>982</v>
      </c>
      <c r="U63" s="11">
        <v>786</v>
      </c>
      <c r="V63">
        <f>Tabel2425678910[[#This Row],[Stand Cappucino einde maand]]-Tabel2425678910[[#This Row],[Stand Cappucino vorige maand]]</f>
        <v>196</v>
      </c>
      <c r="W63" s="11">
        <v>109</v>
      </c>
      <c r="X63" s="11">
        <v>98</v>
      </c>
      <c r="Y63">
        <f>Tabel2425678910[[#This Row],[Stand Cappucino Plantaardig einde maand]]-Tabel2425678910[[#This Row],[Stand Cappucino Plantaardig vorige maand]]</f>
        <v>11</v>
      </c>
      <c r="Z63" s="11">
        <v>243</v>
      </c>
      <c r="AA63" s="11">
        <v>238</v>
      </c>
      <c r="AB63" s="12">
        <f>Tabel2425678910[[#This Row],[Stand Latte Macchiato Plantaardig einde maand]]-Tabel2425678910[[#This Row],[Stand Latte Macchiato Plantaardig vorige maand]]</f>
        <v>5</v>
      </c>
      <c r="AC63" s="3">
        <f>Tabel2425678910[[#This Row],[Verbruik Stand Latte Macchiato Plantaardig deze maand]]+Tabel2425678910[[#This Row],[Verbruik  Cappucino Plantaardig deze maand]]+Tabel2425678910[[#This Row],[Verbruik Cappucino deze maand]]+Tabel2425678910[[#This Row],[Verbruik Hot Water deze maand]]+Tabel2425678910[[#This Row],[Verbruik Coffee Latte deze maand]]+Tabel2425678910[[#This Row],[Verbruik Latte Macchiato deze maand]]+Tabel2425678910[[#This Row],[Verbruik Espresso deze maand]]+Tabel2425678910[[#This Row],[Verbruik Coffee deze maand]]</f>
        <v>1673</v>
      </c>
      <c r="AD63" s="26"/>
      <c r="AE63" s="26"/>
      <c r="AF63" s="5"/>
      <c r="AG63" s="5"/>
      <c r="AH63" s="26"/>
      <c r="AI63" s="26"/>
      <c r="AJ63" s="5"/>
      <c r="AK63" s="5"/>
      <c r="AL63" s="26"/>
      <c r="AM63" s="26"/>
      <c r="AN63" s="5"/>
      <c r="AO63" s="5"/>
      <c r="AP63" s="26"/>
      <c r="AQ63" s="26"/>
      <c r="AR63" s="5"/>
      <c r="AS63" s="5"/>
      <c r="AT63" s="26"/>
      <c r="AU63" s="26"/>
      <c r="AV63" s="5"/>
      <c r="AW63" s="21"/>
      <c r="AX63" s="8"/>
      <c r="AY63" s="4">
        <f>Tabel2425678910[[#This Row],[Subtotaal waterbar in consumpties]]+Tabel2425678910[[#This Row],[Subtotaal koffieautomaten]]</f>
        <v>1673</v>
      </c>
    </row>
    <row r="64" spans="1:51" x14ac:dyDescent="0.25">
      <c r="A64" s="3" t="s">
        <v>112</v>
      </c>
      <c r="F64" s="24">
        <f>SUM(E3:E63)</f>
        <v>198544</v>
      </c>
      <c r="G64" s="24">
        <f t="shared" ref="G64" si="0">SUM(G3:G63)</f>
        <v>22938</v>
      </c>
      <c r="H64" s="11"/>
      <c r="I64" s="24">
        <f>SUM(H3:H63)</f>
        <v>49262</v>
      </c>
      <c r="J64" s="24">
        <f t="shared" ref="J64" si="1">SUM(J3:J63)</f>
        <v>5466</v>
      </c>
      <c r="K64" s="11"/>
      <c r="L64" s="24">
        <f>SUM(K3:K63)</f>
        <v>25928</v>
      </c>
      <c r="M64" s="24">
        <f t="shared" ref="M64" si="2">SUM(M3:M63)</f>
        <v>3038</v>
      </c>
      <c r="O64" s="24">
        <f>SUM(N3:N63)</f>
        <v>14544</v>
      </c>
      <c r="P64" s="24">
        <f t="shared" ref="P64" si="3">SUM(P3:P63)</f>
        <v>1650</v>
      </c>
      <c r="R64" s="24">
        <f>SUM(Q3:Q63)</f>
        <v>224076</v>
      </c>
      <c r="S64" s="24">
        <f t="shared" ref="S64" si="4">SUM(S3:S63)</f>
        <v>24229</v>
      </c>
      <c r="U64" s="24">
        <f>SUM(T3:T63)</f>
        <v>113981</v>
      </c>
      <c r="V64" s="24">
        <f t="shared" ref="V64" si="5">SUM(V3:V63)</f>
        <v>13875</v>
      </c>
      <c r="X64" s="24">
        <f>SUM(W3:W63)</f>
        <v>26163</v>
      </c>
      <c r="Y64" s="24">
        <f t="shared" ref="Y64" si="6">SUM(Y3:Y63)</f>
        <v>2517</v>
      </c>
      <c r="AA64" s="24">
        <f>SUM(Z3:Z63)</f>
        <v>9154</v>
      </c>
      <c r="AB64" s="24">
        <f t="shared" ref="AB64" si="7">SUM(AB3:AB63)</f>
        <v>791</v>
      </c>
      <c r="AC64" s="3">
        <f>SUM(AC3:AC63)</f>
        <v>74504</v>
      </c>
      <c r="AD64" s="24">
        <f>SUM(AD3:AD63)</f>
        <v>3170.5</v>
      </c>
      <c r="AE64" s="24">
        <f>SUM(AE3:AE63)</f>
        <v>2781.6</v>
      </c>
      <c r="AF64" s="4">
        <f t="shared" ref="AF64:AW64" si="8">SUM(AF3:AF63)</f>
        <v>388.89999999999986</v>
      </c>
      <c r="AG64" s="4">
        <f>SUM(AG3:AG63)</f>
        <v>2592.6666666666665</v>
      </c>
      <c r="AH64" s="23">
        <f t="shared" si="8"/>
        <v>21612</v>
      </c>
      <c r="AI64" s="23">
        <f t="shared" si="8"/>
        <v>18568.700000000004</v>
      </c>
      <c r="AJ64" s="4">
        <f t="shared" si="8"/>
        <v>3043.2999999999993</v>
      </c>
      <c r="AK64" s="4">
        <f t="shared" si="8"/>
        <v>20288.666666666664</v>
      </c>
      <c r="AL64" s="23">
        <f t="shared" si="8"/>
        <v>19391.100000000002</v>
      </c>
      <c r="AM64" s="23">
        <f t="shared" si="8"/>
        <v>17042</v>
      </c>
      <c r="AN64" s="4">
        <f t="shared" si="8"/>
        <v>2349.1000000000004</v>
      </c>
      <c r="AO64" s="4">
        <f t="shared" si="8"/>
        <v>15660.666666666672</v>
      </c>
      <c r="AP64" s="23">
        <f t="shared" si="8"/>
        <v>9140.9000000000015</v>
      </c>
      <c r="AQ64" s="23">
        <f t="shared" si="8"/>
        <v>8137.5999999999985</v>
      </c>
      <c r="AR64" s="3">
        <f>SUM(AR4:AR63)</f>
        <v>1003.3000000000001</v>
      </c>
      <c r="AS64" s="4">
        <f t="shared" si="8"/>
        <v>6688.666666666667</v>
      </c>
      <c r="AT64" s="23">
        <f t="shared" si="8"/>
        <v>55084.1</v>
      </c>
      <c r="AU64" s="23">
        <f t="shared" si="8"/>
        <v>49744.5</v>
      </c>
      <c r="AV64" s="3">
        <f>SUM(AV4:AV63)</f>
        <v>5339.5999999999995</v>
      </c>
      <c r="AW64" s="22">
        <f t="shared" si="8"/>
        <v>35597.333333333336</v>
      </c>
      <c r="AX64" s="4">
        <f>SUM(AX3:AX63)</f>
        <v>80827.999999999985</v>
      </c>
      <c r="AY64" s="4">
        <f>Tabel2425678910[[#This Row],[Subtotaal waterbar in consumpties]]+Tabel2425678910[[#This Row],[Subtotaal koffieautomaten]]</f>
        <v>155332</v>
      </c>
    </row>
    <row r="65" spans="8:52" x14ac:dyDescent="0.25">
      <c r="H65" s="13"/>
      <c r="I65" s="14"/>
      <c r="J65" s="15"/>
      <c r="K65" s="13"/>
      <c r="L65" s="14"/>
      <c r="M65" s="14"/>
      <c r="AQ65" s="11"/>
      <c r="AU65" s="11"/>
      <c r="AX65" s="3"/>
      <c r="AY65" s="3"/>
    </row>
    <row r="67" spans="8:52" x14ac:dyDescent="0.25">
      <c r="AY67" s="2"/>
      <c r="AZ67" s="2"/>
    </row>
    <row r="68" spans="8:52" x14ac:dyDescent="0.25">
      <c r="AY68" s="2"/>
    </row>
    <row r="71" spans="8:52" x14ac:dyDescent="0.25">
      <c r="AY71" s="2"/>
    </row>
  </sheetData>
  <mergeCells count="3">
    <mergeCell ref="A1:D1"/>
    <mergeCell ref="E1:AC1"/>
    <mergeCell ref="AD1:AY1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2b51fb9-749c-43b1-8822-0905d5bbcdcb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053433467F3B4FA7D04EA6FA386F2C" ma:contentTypeVersion="3" ma:contentTypeDescription="Een nieuw document maken." ma:contentTypeScope="" ma:versionID="88b890158b9b69740551f0922cebd05e">
  <xsd:schema xmlns:xsd="http://www.w3.org/2001/XMLSchema" xmlns:xs="http://www.w3.org/2001/XMLSchema" xmlns:p="http://schemas.microsoft.com/office/2006/metadata/properties" xmlns:ns2="22b51fb9-749c-43b1-8822-0905d5bbcdcb" targetNamespace="http://schemas.microsoft.com/office/2006/metadata/properties" ma:root="true" ma:fieldsID="ad2e090f9696fad153017338357abc8a" ns2:_="">
    <xsd:import namespace="22b51fb9-749c-43b1-8822-0905d5bbcdcb"/>
    <xsd:element name="properties">
      <xsd:complexType>
        <xsd:sequence>
          <xsd:element name="documentManagement">
            <xsd:complexType>
              <xsd:all>
                <xsd:element ref="ns2:SharedWithDetails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b51fb9-749c-43b1-8822-0905d5bbcdcb" elementFormDefault="qualified">
    <xsd:import namespace="http://schemas.microsoft.com/office/2006/documentManagement/types"/>
    <xsd:import namespace="http://schemas.microsoft.com/office/infopath/2007/PartnerControls"/>
    <xsd:element name="SharedWithDetails" ma:index="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edWithUsers" ma:index="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AD9B6D-CBBF-4587-B428-9DDB144600F1}">
  <ds:schemaRefs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56eadfb0-3e4d-499b-a00e-afcf1e550dfd"/>
    <ds:schemaRef ds:uri="http://schemas.openxmlformats.org/package/2006/metadata/core-properties"/>
    <ds:schemaRef ds:uri="77ee1ceb-f47c-4ee1-af54-ea8a0976fe9e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C84351F-E5E8-4B9B-9F54-BEFDAB5741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55AB0A-32A7-4325-87A7-C2973025E66E}"/>
</file>

<file path=docMetadata/LabelInfo.xml><?xml version="1.0" encoding="utf-8"?>
<clbl:labelList xmlns:clbl="http://schemas.microsoft.com/office/2020/mipLabelMetadata">
  <clbl:label id="{8d9c6a90-f909-4a3b-bbd7-3148051137a0}" enabled="0" method="" siteId="{8d9c6a90-f909-4a3b-bbd7-3148051137a0}" removed="1"/>
  <clbl:label id="{d8d339ea-d9ce-405b-8183-2a7dcf3e6ea3}" enabled="0" method="" siteId="{d8d339ea-d9ce-405b-8183-2a7dcf3e6ea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24</vt:i4>
      </vt:variant>
      <vt:variant>
        <vt:lpstr>Benoemde bereiken</vt:lpstr>
      </vt:variant>
      <vt:variant>
        <vt:i4>2</vt:i4>
      </vt:variant>
    </vt:vector>
  </HeadingPairs>
  <TitlesOfParts>
    <vt:vector size="26" baseType="lpstr">
      <vt:lpstr>januari 2023</vt:lpstr>
      <vt:lpstr>februari 2023</vt:lpstr>
      <vt:lpstr>maart 2023</vt:lpstr>
      <vt:lpstr>april 2023</vt:lpstr>
      <vt:lpstr>mei 2023</vt:lpstr>
      <vt:lpstr>juni 2023</vt:lpstr>
      <vt:lpstr>juli 2023</vt:lpstr>
      <vt:lpstr>augustus 2023</vt:lpstr>
      <vt:lpstr>september 2023</vt:lpstr>
      <vt:lpstr>oktober 2023</vt:lpstr>
      <vt:lpstr>november 2023</vt:lpstr>
      <vt:lpstr>december 2023</vt:lpstr>
      <vt:lpstr>januari2025</vt:lpstr>
      <vt:lpstr>februari2025</vt:lpstr>
      <vt:lpstr>maart2025</vt:lpstr>
      <vt:lpstr>april2025</vt:lpstr>
      <vt:lpstr>mei2025</vt:lpstr>
      <vt:lpstr>juni2025</vt:lpstr>
      <vt:lpstr>juli2025</vt:lpstr>
      <vt:lpstr>augustus2025</vt:lpstr>
      <vt:lpstr>september2025</vt:lpstr>
      <vt:lpstr>oktober2025</vt:lpstr>
      <vt:lpstr>november2025</vt:lpstr>
      <vt:lpstr>december2025</vt:lpstr>
      <vt:lpstr>december2025!Afdrukbereik</vt:lpstr>
      <vt:lpstr>december2025!Afdruktitels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 Oosterhuis</dc:creator>
  <cp:keywords/>
  <dc:description/>
  <cp:lastModifiedBy>Graaff, Annet de</cp:lastModifiedBy>
  <cp:revision/>
  <cp:lastPrinted>2026-01-20T09:14:09Z</cp:lastPrinted>
  <dcterms:created xsi:type="dcterms:W3CDTF">2023-02-14T08:18:15Z</dcterms:created>
  <dcterms:modified xsi:type="dcterms:W3CDTF">2026-03-18T07:44:48Z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0x01010030053433467F3B4FA7D04EA6FA386F2C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xd_ProgID">
    <vt:lpwstr/>
  </property>
  <property fmtid="{D5CDD505-2E9C-101B-9397-08002B2CF9AE}" pid="8" name="TemplateUrl">
    <vt:lpwstr/>
  </property>
  <property fmtid="{D5CDD505-2E9C-101B-9397-08002B2CF9AE}" pid="9" name="GUID">
    <vt:lpwstr>bd2ddb17-597c-4358-9f60-c3ac764c72a7</vt:lpwstr>
  </property>
  <property fmtid="{D5CDD505-2E9C-101B-9397-08002B2CF9AE}" pid="10" name="xd_Signature">
    <vt:bool>false</vt:bool>
  </property>
</Properties>
</file>